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烦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M18" i="9" l="1"/>
  <c r="L18" i="9"/>
  <c r="I6" i="34"/>
  <c r="G6" i="34"/>
  <c r="E6" i="34"/>
  <c r="AD5" i="71"/>
  <c r="AH5" i="71"/>
  <c r="AG5" i="71"/>
  <c r="AE5" i="71"/>
  <c r="AF5" i="71"/>
  <c r="Q5" i="71"/>
  <c r="P5" i="71"/>
  <c r="O5" i="71"/>
  <c r="N5" i="71"/>
  <c r="G20" i="43"/>
  <c r="E41" i="43"/>
  <c r="C41" i="43"/>
  <c r="L3" i="71"/>
  <c r="AH3" i="71"/>
  <c r="K3" i="71"/>
  <c r="J3" i="71"/>
  <c r="AE3" i="71"/>
  <c r="I3" i="71"/>
  <c r="AH6" i="71"/>
  <c r="AG6" i="71"/>
  <c r="AE6" i="71"/>
  <c r="AF6" i="7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Q10" i="71"/>
  <c r="F9" i="71"/>
  <c r="F8" i="71"/>
  <c r="F7" i="71"/>
  <c r="P10" i="71"/>
  <c r="E9" i="71"/>
  <c r="V9" i="71"/>
  <c r="O10" i="71"/>
  <c r="N10" i="71"/>
  <c r="A2" i="53"/>
  <c r="K59" i="67"/>
  <c r="K59" i="15"/>
  <c r="P74" i="15"/>
  <c r="D116" i="39"/>
  <c r="E116" i="39"/>
  <c r="F116" i="39"/>
  <c r="G116" i="39"/>
  <c r="H116" i="39"/>
  <c r="I116" i="39"/>
  <c r="J116" i="39"/>
  <c r="K116" i="39"/>
  <c r="L116" i="39"/>
  <c r="M116" i="39"/>
  <c r="C116" i="39"/>
  <c r="A21" i="62"/>
  <c r="B67" i="72"/>
  <c r="A20" i="62"/>
  <c r="A22" i="51"/>
  <c r="A21" i="51"/>
  <c r="B16" i="72"/>
  <c r="A20" i="51"/>
  <c r="A14" i="62"/>
  <c r="A13" i="62"/>
  <c r="A19" i="62"/>
  <c r="B65" i="72"/>
  <c r="A12" i="62"/>
  <c r="B58" i="72"/>
  <c r="A120" i="9"/>
  <c r="H2" i="52"/>
  <c r="A1" i="52"/>
  <c r="A3" i="53"/>
  <c r="Q11" i="71"/>
  <c r="P11" i="71"/>
  <c r="O11" i="71"/>
  <c r="N11"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G9" i="43"/>
  <c r="AF9" i="43"/>
  <c r="AE9" i="43"/>
  <c r="AE12" i="43"/>
  <c r="AD9" i="43"/>
  <c r="AC9" i="43"/>
  <c r="AB9" i="43"/>
  <c r="AB12" i="43"/>
  <c r="AA9" i="43"/>
  <c r="AA12" i="43"/>
  <c r="Z9" i="43"/>
  <c r="AA10" i="43"/>
  <c r="AE10" i="43"/>
  <c r="AI10" i="43"/>
  <c r="AB10" i="43"/>
  <c r="K49" i="9"/>
  <c r="E107" i="9"/>
  <c r="A122" i="9"/>
  <c r="A8" i="52"/>
  <c r="B54" i="72"/>
  <c r="E111" i="9"/>
  <c r="A126" i="9"/>
  <c r="A12" i="52"/>
  <c r="B56" i="72"/>
  <c r="E109" i="9"/>
  <c r="A124" i="9"/>
  <c r="A10" i="52"/>
  <c r="B55" i="72"/>
  <c r="B44" i="72"/>
  <c r="B42" i="72"/>
  <c r="B69" i="72"/>
  <c r="B68" i="72"/>
  <c r="B63" i="72"/>
  <c r="B62" i="72"/>
  <c r="B60" i="72"/>
  <c r="B59" i="72"/>
  <c r="B66" i="72"/>
  <c r="B10" i="72"/>
  <c r="C53" i="10"/>
  <c r="B51" i="10"/>
  <c r="B19" i="72"/>
  <c r="A18" i="51"/>
  <c r="B13" i="72"/>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c r="C53" i="71"/>
  <c r="B53" i="71"/>
  <c r="S53"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F36" i="71"/>
  <c r="P34" i="71"/>
  <c r="E35" i="71"/>
  <c r="E36" i="71"/>
  <c r="E37" i="71"/>
  <c r="U37" i="71"/>
  <c r="O34" i="71"/>
  <c r="C35" i="71"/>
  <c r="C36" i="71"/>
  <c r="N34" i="71"/>
  <c r="B35" i="71"/>
  <c r="B36" i="71"/>
  <c r="B37" i="71"/>
  <c r="S37" i="71"/>
  <c r="D34" i="71"/>
  <c r="T33" i="71"/>
  <c r="Q33" i="71"/>
  <c r="P33" i="71"/>
  <c r="O33" i="71"/>
  <c r="N33" i="71"/>
  <c r="D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Q26" i="71"/>
  <c r="F27" i="71"/>
  <c r="F28" i="71"/>
  <c r="F29" i="71"/>
  <c r="V29" i="71"/>
  <c r="P26" i="71"/>
  <c r="E27" i="71"/>
  <c r="E28" i="71"/>
  <c r="E29" i="71"/>
  <c r="U29" i="71"/>
  <c r="O26" i="71"/>
  <c r="C27" i="71"/>
  <c r="D27" i="71"/>
  <c r="N26" i="71"/>
  <c r="B27" i="71"/>
  <c r="B28" i="71"/>
  <c r="B29" i="71"/>
  <c r="S29" i="71"/>
  <c r="D26" i="71"/>
  <c r="Q25" i="71"/>
  <c r="P25" i="71"/>
  <c r="O25" i="71"/>
  <c r="N25" i="71"/>
  <c r="AB24" i="71"/>
  <c r="Q24" i="71"/>
  <c r="P24" i="71"/>
  <c r="O24" i="71"/>
  <c r="Y24" i="71"/>
  <c r="Z24" i="71"/>
  <c r="N24" i="71"/>
  <c r="X24" i="71"/>
  <c r="Q23" i="71"/>
  <c r="AB23" i="71"/>
  <c r="P23" i="71"/>
  <c r="O23" i="71"/>
  <c r="N23" i="71"/>
  <c r="Q22" i="71"/>
  <c r="AB19" i="71"/>
  <c r="P22" i="71"/>
  <c r="O22" i="71"/>
  <c r="C23" i="71"/>
  <c r="D23" i="71"/>
  <c r="N22" i="71"/>
  <c r="D22" i="71"/>
  <c r="Q21" i="71"/>
  <c r="AB21" i="71"/>
  <c r="P21" i="71"/>
  <c r="O21" i="71"/>
  <c r="Y21" i="71"/>
  <c r="Z21" i="71"/>
  <c r="N21" i="71"/>
  <c r="Q20" i="71"/>
  <c r="P20" i="71"/>
  <c r="O20" i="71"/>
  <c r="Y20" i="71"/>
  <c r="Z20" i="71"/>
  <c r="N20" i="71"/>
  <c r="Q19" i="71"/>
  <c r="P19" i="71"/>
  <c r="O19" i="71"/>
  <c r="N19" i="71"/>
  <c r="Q18" i="71"/>
  <c r="AB15" i="71"/>
  <c r="P18" i="71"/>
  <c r="O18" i="71"/>
  <c r="C19" i="71"/>
  <c r="N18" i="71"/>
  <c r="D18" i="71"/>
  <c r="Q17" i="71"/>
  <c r="AB17" i="71"/>
  <c r="P17" i="71"/>
  <c r="O17" i="71"/>
  <c r="Y17" i="71"/>
  <c r="Z17" i="71"/>
  <c r="N17" i="71"/>
  <c r="Q16" i="71"/>
  <c r="P16" i="71"/>
  <c r="O16" i="71"/>
  <c r="Y16" i="71"/>
  <c r="Z16" i="71"/>
  <c r="N16" i="71"/>
  <c r="X14" i="71"/>
  <c r="Q15" i="71"/>
  <c r="P15" i="71"/>
  <c r="O15" i="71"/>
  <c r="N15" i="71"/>
  <c r="Q14" i="71"/>
  <c r="AB14" i="71"/>
  <c r="P14" i="71"/>
  <c r="O14" i="71"/>
  <c r="Y14" i="71"/>
  <c r="Z14" i="71"/>
  <c r="N14" i="71"/>
  <c r="D14" i="71"/>
  <c r="O13" i="71"/>
  <c r="N13" i="71"/>
  <c r="X10" i="71"/>
  <c r="B15" i="71"/>
  <c r="B16" i="71"/>
  <c r="B17" i="71"/>
  <c r="S17" i="71"/>
  <c r="E15" i="71"/>
  <c r="E16" i="71"/>
  <c r="E17" i="71"/>
  <c r="U17" i="71"/>
  <c r="AA14" i="71"/>
  <c r="B19" i="71"/>
  <c r="B20" i="71"/>
  <c r="B21" i="71"/>
  <c r="S21" i="71"/>
  <c r="B23" i="71"/>
  <c r="B24" i="71"/>
  <c r="B25" i="71"/>
  <c r="S25" i="71"/>
  <c r="X22" i="71"/>
  <c r="E23" i="71"/>
  <c r="E24" i="71"/>
  <c r="E25" i="71"/>
  <c r="U25" i="71"/>
  <c r="N53" i="71"/>
  <c r="E19" i="71"/>
  <c r="E20" i="71"/>
  <c r="E21" i="71"/>
  <c r="U21" i="71"/>
  <c r="C15" i="71"/>
  <c r="C16" i="71"/>
  <c r="X15" i="71"/>
  <c r="X16" i="71"/>
  <c r="X17" i="71"/>
  <c r="Y18" i="71"/>
  <c r="Z18" i="71"/>
  <c r="AA19" i="71"/>
  <c r="X21" i="71"/>
  <c r="AA21" i="71"/>
  <c r="Y22" i="71"/>
  <c r="Z22" i="71"/>
  <c r="X23" i="71"/>
  <c r="AA23" i="71"/>
  <c r="F37" i="71"/>
  <c r="V37" i="71"/>
  <c r="C13" i="71"/>
  <c r="T13" i="71"/>
  <c r="Y10" i="71"/>
  <c r="Z10" i="71"/>
  <c r="Y11" i="71"/>
  <c r="Z11" i="71"/>
  <c r="Y12" i="71"/>
  <c r="Z12" i="71"/>
  <c r="Y13" i="71"/>
  <c r="Z13" i="71"/>
  <c r="B13" i="71"/>
  <c r="B12" i="71"/>
  <c r="B11" i="71"/>
  <c r="X11" i="71"/>
  <c r="X13" i="71"/>
  <c r="D15" i="71"/>
  <c r="C24" i="71"/>
  <c r="C25" i="71"/>
  <c r="C28" i="71"/>
  <c r="C29" i="71"/>
  <c r="C32" i="71"/>
  <c r="D32" i="71"/>
  <c r="D31" i="71"/>
  <c r="D35" i="71"/>
  <c r="P13" i="71"/>
  <c r="E40" i="71"/>
  <c r="E41" i="71"/>
  <c r="U41" i="71"/>
  <c r="E44" i="71"/>
  <c r="E45" i="71"/>
  <c r="U45" i="71"/>
  <c r="E48" i="71"/>
  <c r="E49" i="71"/>
  <c r="U49" i="71"/>
  <c r="U53" i="71"/>
  <c r="E52" i="71"/>
  <c r="Q13" i="71"/>
  <c r="AB10" i="71"/>
  <c r="C40" i="71"/>
  <c r="D39" i="71"/>
  <c r="C44" i="71"/>
  <c r="D43" i="71"/>
  <c r="C48" i="71"/>
  <c r="D47" i="71"/>
  <c r="N52" i="71"/>
  <c r="B51" i="71"/>
  <c r="N51" i="71"/>
  <c r="T53" i="71"/>
  <c r="O53" i="71"/>
  <c r="D53" i="71"/>
  <c r="C52" i="71"/>
  <c r="Q53" i="71"/>
  <c r="C56" i="71"/>
  <c r="E56" i="71"/>
  <c r="E55" i="71"/>
  <c r="D57" i="71"/>
  <c r="C60" i="71"/>
  <c r="E60" i="71"/>
  <c r="E59" i="71"/>
  <c r="D61" i="71"/>
  <c r="C64" i="71"/>
  <c r="E64" i="71"/>
  <c r="E63" i="71"/>
  <c r="D65" i="71"/>
  <c r="C68" i="71"/>
  <c r="C72" i="71"/>
  <c r="C71" i="71"/>
  <c r="D71" i="71"/>
  <c r="C12" i="71"/>
  <c r="C11" i="71"/>
  <c r="D11" i="71"/>
  <c r="F13" i="71"/>
  <c r="F12" i="71"/>
  <c r="F11" i="71"/>
  <c r="AB11" i="71"/>
  <c r="AB13" i="71"/>
  <c r="E13" i="71"/>
  <c r="E12" i="71"/>
  <c r="E11" i="71"/>
  <c r="AA3" i="71"/>
  <c r="AA11" i="71"/>
  <c r="AA13" i="71"/>
  <c r="C51" i="71"/>
  <c r="O52" i="71"/>
  <c r="D52" i="71"/>
  <c r="C49" i="71"/>
  <c r="D49" i="71"/>
  <c r="D48" i="71"/>
  <c r="D68" i="71"/>
  <c r="C67" i="71"/>
  <c r="D67" i="71"/>
  <c r="D60" i="71"/>
  <c r="C59" i="71"/>
  <c r="D59" i="71"/>
  <c r="N50" i="71"/>
  <c r="D72" i="71"/>
  <c r="D64" i="71"/>
  <c r="C63" i="71"/>
  <c r="D63" i="71"/>
  <c r="D56" i="71"/>
  <c r="C55" i="71"/>
  <c r="D55" i="71"/>
  <c r="C45" i="71"/>
  <c r="D44" i="71"/>
  <c r="C41" i="71"/>
  <c r="D40" i="71"/>
  <c r="P52" i="71"/>
  <c r="E51" i="71"/>
  <c r="P50" i="71"/>
  <c r="D28" i="71"/>
  <c r="D24" i="71"/>
  <c r="V13" i="71"/>
  <c r="P51" i="71"/>
  <c r="O51" i="71"/>
  <c r="D51" i="71"/>
  <c r="O50"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C21" i="34"/>
  <c r="Z21" i="33"/>
  <c r="Q21" i="33"/>
  <c r="D83" i="33"/>
  <c r="E83" i="33"/>
  <c r="F83" i="33"/>
  <c r="G83" i="33"/>
  <c r="C21" i="33"/>
  <c r="C21" i="21"/>
  <c r="Q21" i="21"/>
  <c r="Z21" i="21"/>
  <c r="H19" i="21"/>
  <c r="D83" i="21"/>
  <c r="F21" i="21"/>
  <c r="AA21" i="21"/>
  <c r="D81" i="21"/>
  <c r="G20" i="20"/>
  <c r="B86" i="43"/>
  <c r="C22" i="20"/>
  <c r="B75" i="43"/>
  <c r="B55" i="43"/>
  <c r="B66" i="43"/>
  <c r="C25" i="40"/>
  <c r="C29" i="39"/>
  <c r="S25" i="40"/>
  <c r="S29" i="39"/>
  <c r="S18" i="36"/>
  <c r="U18" i="36"/>
  <c r="F94" i="40"/>
  <c r="H25" i="40"/>
  <c r="AB25" i="40"/>
  <c r="G94" i="40"/>
  <c r="J25" i="40"/>
  <c r="AC25" i="40"/>
  <c r="H29" i="39"/>
  <c r="AB29" i="39"/>
  <c r="J29" i="39"/>
  <c r="AC29" i="39"/>
  <c r="J18" i="36"/>
  <c r="AC18" i="36"/>
  <c r="F68" i="35"/>
  <c r="H18" i="35"/>
  <c r="AB18" i="35"/>
  <c r="G68" i="35"/>
  <c r="J18" i="35"/>
  <c r="F77" i="37"/>
  <c r="G77" i="37"/>
  <c r="H21" i="37"/>
  <c r="F21" i="37"/>
  <c r="AA21" i="37"/>
  <c r="H21" i="33"/>
  <c r="U21" i="33"/>
  <c r="F21" i="33"/>
  <c r="E83" i="21"/>
  <c r="F83" i="21"/>
  <c r="G83" i="21"/>
  <c r="S21" i="21"/>
  <c r="H1" i="69"/>
  <c r="W25" i="40"/>
  <c r="U25" i="40"/>
  <c r="U29" i="39"/>
  <c r="W29" i="39"/>
  <c r="W18" i="36"/>
  <c r="AB21" i="37"/>
  <c r="U21" i="37"/>
  <c r="S21" i="37"/>
  <c r="AB21" i="33"/>
  <c r="AA21" i="33"/>
  <c r="S21" i="33"/>
  <c r="U18" i="35"/>
  <c r="AC18" i="35"/>
  <c r="W18" i="35"/>
  <c r="J21" i="37"/>
  <c r="W21" i="37"/>
  <c r="J21" i="33"/>
  <c r="W21" i="33"/>
  <c r="H21" i="21"/>
  <c r="U21" i="21"/>
  <c r="F38" i="69"/>
  <c r="E37" i="69"/>
  <c r="F36" i="69"/>
  <c r="F35" i="69"/>
  <c r="F21" i="69"/>
  <c r="C21" i="69"/>
  <c r="F20" i="69"/>
  <c r="E10" i="69"/>
  <c r="E9" i="69"/>
  <c r="F7" i="69"/>
  <c r="C7" i="69"/>
  <c r="AC21" i="37"/>
  <c r="AC21" i="33"/>
  <c r="AB21" i="21"/>
  <c r="J21" i="21"/>
  <c r="F38" i="68"/>
  <c r="E37" i="68"/>
  <c r="F36" i="68"/>
  <c r="F35" i="68"/>
  <c r="F21" i="68"/>
  <c r="C21" i="68"/>
  <c r="F20" i="68"/>
  <c r="E10" i="68"/>
  <c r="E9" i="68"/>
  <c r="F7" i="68"/>
  <c r="C7" i="68"/>
  <c r="C5" i="68"/>
  <c r="W21" i="21"/>
  <c r="AC21" i="21"/>
  <c r="Q72" i="67"/>
  <c r="Q59" i="67"/>
  <c r="Q58" i="67"/>
  <c r="Q51" i="67"/>
  <c r="J50" i="67"/>
  <c r="M47" i="67"/>
  <c r="J53"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52" i="37"/>
  <c r="F52" i="37"/>
  <c r="G52" i="37"/>
  <c r="F15" i="4"/>
  <c r="F8" i="1"/>
  <c r="F9" i="1"/>
  <c r="F10" i="1"/>
  <c r="F11" i="1"/>
  <c r="F12" i="1"/>
  <c r="F13" i="1"/>
  <c r="D6" i="1"/>
  <c r="D9" i="1"/>
  <c r="D10" i="1"/>
  <c r="D11" i="1"/>
  <c r="D12" i="1"/>
  <c r="D13" i="1"/>
  <c r="D7" i="1"/>
  <c r="D8" i="1"/>
  <c r="A7" i="1"/>
  <c r="A8" i="1"/>
  <c r="B8" i="1"/>
  <c r="E8" i="1"/>
  <c r="A9" i="1"/>
  <c r="A10" i="1"/>
  <c r="A11" i="1"/>
  <c r="A12" i="1"/>
  <c r="A13" i="1"/>
  <c r="A6" i="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7" i="31"/>
  <c r="S27" i="31"/>
  <c r="R28" i="31"/>
  <c r="R29" i="31"/>
  <c r="S29" i="31"/>
  <c r="R30" i="31"/>
  <c r="R31" i="31"/>
  <c r="S31" i="31"/>
  <c r="R32" i="31"/>
  <c r="R33" i="31"/>
  <c r="S33" i="31"/>
  <c r="R34" i="31"/>
  <c r="R35" i="31"/>
  <c r="S35" i="31"/>
  <c r="R36" i="31"/>
  <c r="R37" i="31"/>
  <c r="S37" i="31"/>
  <c r="R38" i="31"/>
  <c r="R39" i="31"/>
  <c r="S39" i="31"/>
  <c r="R40" i="31"/>
  <c r="R41" i="31"/>
  <c r="S41" i="31"/>
  <c r="R42" i="31"/>
  <c r="R43" i="31"/>
  <c r="S43" i="31"/>
  <c r="R44" i="31"/>
  <c r="R45" i="31"/>
  <c r="S45" i="31"/>
  <c r="R46" i="31"/>
  <c r="R47" i="31"/>
  <c r="S47" i="31"/>
  <c r="R48" i="31"/>
  <c r="R49" i="31"/>
  <c r="S49" i="31"/>
  <c r="R50" i="31"/>
  <c r="R51" i="31"/>
  <c r="S51" i="31"/>
  <c r="R52" i="31"/>
  <c r="R53" i="31"/>
  <c r="S53" i="31"/>
  <c r="R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S79" i="31"/>
  <c r="R80" i="31"/>
  <c r="R81" i="31"/>
  <c r="S81" i="31"/>
  <c r="R82" i="31"/>
  <c r="R83" i="31"/>
  <c r="S83" i="31"/>
  <c r="R84" i="31"/>
  <c r="R85" i="31"/>
  <c r="S85" i="31"/>
  <c r="R86" i="31"/>
  <c r="R87" i="31"/>
  <c r="S87" i="31"/>
  <c r="R88" i="31"/>
  <c r="R89" i="31"/>
  <c r="S89" i="31"/>
  <c r="R90" i="31"/>
  <c r="R91" i="31"/>
  <c r="S91" i="31"/>
  <c r="R92" i="31"/>
  <c r="R93" i="31"/>
  <c r="S93" i="31"/>
  <c r="R94" i="31"/>
  <c r="R95" i="31"/>
  <c r="S95" i="31"/>
  <c r="R96" i="31"/>
  <c r="R97" i="31"/>
  <c r="S97" i="31"/>
  <c r="R98" i="31"/>
  <c r="R99" i="31"/>
  <c r="S99" i="31"/>
  <c r="R100" i="31"/>
  <c r="R101" i="31"/>
  <c r="S101" i="31"/>
  <c r="R102" i="31"/>
  <c r="R103" i="31"/>
  <c r="S103" i="31"/>
  <c r="R104" i="31"/>
  <c r="R105" i="31"/>
  <c r="S105" i="31"/>
  <c r="R106" i="31"/>
  <c r="R107" i="31"/>
  <c r="S107" i="31"/>
  <c r="R108" i="31"/>
  <c r="R109" i="31"/>
  <c r="S109" i="31"/>
  <c r="R110" i="31"/>
  <c r="R111" i="31"/>
  <c r="S111" i="31"/>
  <c r="R112" i="31"/>
  <c r="R113" i="31"/>
  <c r="S113" i="31"/>
  <c r="R114" i="31"/>
  <c r="R115" i="31"/>
  <c r="S115" i="31"/>
  <c r="R116" i="31"/>
  <c r="R117" i="31"/>
  <c r="S117" i="31"/>
  <c r="R118" i="31"/>
  <c r="R119" i="31"/>
  <c r="S119" i="31"/>
  <c r="R120" i="31"/>
  <c r="R121" i="31"/>
  <c r="S121" i="31"/>
  <c r="R122" i="31"/>
  <c r="R123" i="31"/>
  <c r="S123" i="31"/>
  <c r="R124" i="31"/>
  <c r="R125" i="31"/>
  <c r="S125" i="31"/>
  <c r="R126" i="31"/>
  <c r="R127" i="31"/>
  <c r="S127" i="31"/>
  <c r="R128" i="31"/>
  <c r="R129" i="31"/>
  <c r="S129" i="31"/>
  <c r="R130" i="31"/>
  <c r="R131" i="31"/>
  <c r="S131" i="31"/>
  <c r="R132" i="31"/>
  <c r="R133" i="31"/>
  <c r="S133" i="31"/>
  <c r="R134" i="31"/>
  <c r="R135" i="31"/>
  <c r="S135" i="31"/>
  <c r="R136" i="31"/>
  <c r="R137" i="31"/>
  <c r="S137" i="31"/>
  <c r="R138" i="31"/>
  <c r="R139" i="31"/>
  <c r="S139" i="31"/>
  <c r="R140" i="31"/>
  <c r="R141" i="31"/>
  <c r="S141" i="31"/>
  <c r="R142" i="31"/>
  <c r="R143" i="31"/>
  <c r="S143" i="31"/>
  <c r="R144" i="31"/>
  <c r="R145" i="31"/>
  <c r="S145" i="31"/>
  <c r="R146" i="31"/>
  <c r="R147" i="31"/>
  <c r="S147" i="31"/>
  <c r="R148" i="31"/>
  <c r="R149" i="31"/>
  <c r="S149" i="31"/>
  <c r="R150" i="31"/>
  <c r="R151" i="31"/>
  <c r="S151" i="31"/>
  <c r="R152" i="31"/>
  <c r="R153" i="31"/>
  <c r="S153" i="31"/>
  <c r="R154" i="31"/>
  <c r="R155" i="31"/>
  <c r="S155" i="31"/>
  <c r="R156" i="31"/>
  <c r="R157" i="31"/>
  <c r="S157" i="31"/>
  <c r="R158" i="31"/>
  <c r="R159" i="31"/>
  <c r="S159" i="31"/>
  <c r="R160" i="31"/>
  <c r="R161" i="31"/>
  <c r="S161" i="31"/>
  <c r="R162" i="31"/>
  <c r="R163" i="31"/>
  <c r="S163" i="31"/>
  <c r="R164" i="31"/>
  <c r="R165" i="31"/>
  <c r="S165" i="31"/>
  <c r="R166" i="31"/>
  <c r="R167" i="31"/>
  <c r="S167" i="31"/>
  <c r="R168" i="31"/>
  <c r="R169" i="31"/>
  <c r="S169" i="31"/>
  <c r="R170" i="31"/>
  <c r="R171" i="31"/>
  <c r="S171" i="31"/>
  <c r="R172" i="31"/>
  <c r="R173" i="31"/>
  <c r="S173" i="31"/>
  <c r="R174" i="31"/>
  <c r="R175" i="31"/>
  <c r="S175" i="31"/>
  <c r="R176" i="31"/>
  <c r="R177" i="31"/>
  <c r="S177" i="31"/>
  <c r="R178" i="31"/>
  <c r="R179" i="31"/>
  <c r="S179" i="31"/>
  <c r="R180" i="31"/>
  <c r="R181" i="31"/>
  <c r="S181" i="31"/>
  <c r="R182" i="31"/>
  <c r="R183" i="31"/>
  <c r="S183" i="31"/>
  <c r="R184" i="31"/>
  <c r="R185" i="31"/>
  <c r="S185" i="31"/>
  <c r="R186" i="31"/>
  <c r="R187" i="31"/>
  <c r="S187" i="31"/>
  <c r="R188" i="31"/>
  <c r="R189" i="31"/>
  <c r="S189" i="31"/>
  <c r="R190" i="31"/>
  <c r="R191" i="31"/>
  <c r="S191" i="31"/>
  <c r="R192" i="31"/>
  <c r="R193" i="31"/>
  <c r="S193" i="31"/>
  <c r="R194" i="31"/>
  <c r="R195" i="31"/>
  <c r="S195" i="31"/>
  <c r="R196" i="31"/>
  <c r="R197" i="31"/>
  <c r="S197" i="31"/>
  <c r="R198" i="31"/>
  <c r="R199" i="31"/>
  <c r="S199" i="31"/>
  <c r="R200" i="31"/>
  <c r="R201" i="31"/>
  <c r="S201" i="31"/>
  <c r="R202" i="31"/>
  <c r="R203" i="31"/>
  <c r="S203" i="31"/>
  <c r="R204" i="31"/>
  <c r="R205" i="31"/>
  <c r="S205" i="31"/>
  <c r="R206" i="31"/>
  <c r="R207" i="31"/>
  <c r="S207" i="31"/>
  <c r="R208" i="31"/>
  <c r="R209" i="31"/>
  <c r="S209" i="31"/>
  <c r="R210" i="31"/>
  <c r="R211" i="31"/>
  <c r="S211" i="31"/>
  <c r="R212" i="31"/>
  <c r="R213" i="31"/>
  <c r="S213" i="31"/>
  <c r="R214" i="31"/>
  <c r="R215" i="31"/>
  <c r="S215" i="31"/>
  <c r="R216" i="31"/>
  <c r="R217" i="31"/>
  <c r="S217" i="31"/>
  <c r="R218" i="31"/>
  <c r="R219" i="31"/>
  <c r="S219" i="31"/>
  <c r="R220" i="31"/>
  <c r="R221" i="31"/>
  <c r="S221" i="31"/>
  <c r="R222" i="31"/>
  <c r="R223" i="31"/>
  <c r="S223" i="31"/>
  <c r="R224" i="31"/>
  <c r="R225" i="31"/>
  <c r="S225" i="31"/>
  <c r="R226" i="31"/>
  <c r="R227" i="31"/>
  <c r="S227" i="31"/>
  <c r="R228" i="31"/>
  <c r="R229" i="31"/>
  <c r="S229" i="31"/>
  <c r="R230" i="31"/>
  <c r="R231" i="31"/>
  <c r="S231" i="31"/>
  <c r="R232" i="31"/>
  <c r="R233" i="31"/>
  <c r="S233" i="31"/>
  <c r="R234" i="31"/>
  <c r="R235" i="31"/>
  <c r="S235" i="31"/>
  <c r="R236" i="31"/>
  <c r="R237" i="31"/>
  <c r="S237" i="31"/>
  <c r="R238" i="31"/>
  <c r="R239" i="31"/>
  <c r="S239" i="31"/>
  <c r="R240" i="31"/>
  <c r="R241" i="31"/>
  <c r="S241" i="31"/>
  <c r="R242" i="31"/>
  <c r="R243" i="31"/>
  <c r="S243" i="31"/>
  <c r="R244" i="31"/>
  <c r="R245" i="31"/>
  <c r="S245" i="31"/>
  <c r="R246" i="31"/>
  <c r="R247" i="31"/>
  <c r="S247" i="31"/>
  <c r="R248" i="31"/>
  <c r="R249" i="31"/>
  <c r="S249" i="31"/>
  <c r="R250" i="31"/>
  <c r="R251" i="31"/>
  <c r="S251" i="31"/>
  <c r="R252" i="31"/>
  <c r="R253" i="31"/>
  <c r="S253" i="31"/>
  <c r="R254" i="31"/>
  <c r="R255" i="31"/>
  <c r="S255" i="31"/>
  <c r="R256" i="31"/>
  <c r="R257" i="31"/>
  <c r="S257" i="31"/>
  <c r="R258" i="31"/>
  <c r="R259" i="31"/>
  <c r="S259" i="31"/>
  <c r="R260" i="31"/>
  <c r="S260" i="31"/>
  <c r="R261" i="31"/>
  <c r="S261" i="31"/>
  <c r="R262" i="31"/>
  <c r="R263" i="31"/>
  <c r="S263" i="31"/>
  <c r="R264" i="31"/>
  <c r="R265" i="31"/>
  <c r="S265" i="31"/>
  <c r="R266" i="31"/>
  <c r="R267" i="31"/>
  <c r="S267" i="31"/>
  <c r="R268" i="31"/>
  <c r="S268" i="31"/>
  <c r="R269" i="31"/>
  <c r="S269" i="31"/>
  <c r="R270" i="31"/>
  <c r="R271" i="31"/>
  <c r="S271" i="31"/>
  <c r="R272" i="31"/>
  <c r="R273" i="31"/>
  <c r="S273" i="31"/>
  <c r="R274" i="31"/>
  <c r="R275" i="31"/>
  <c r="S275" i="31"/>
  <c r="R276" i="31"/>
  <c r="S276" i="31"/>
  <c r="R277" i="31"/>
  <c r="S277" i="31"/>
  <c r="R278" i="31"/>
  <c r="R279" i="31"/>
  <c r="S279" i="31"/>
  <c r="R280" i="31"/>
  <c r="R281" i="31"/>
  <c r="S281" i="31"/>
  <c r="R282" i="31"/>
  <c r="R283" i="31"/>
  <c r="S283" i="31"/>
  <c r="R284" i="31"/>
  <c r="S284" i="31"/>
  <c r="R285" i="31"/>
  <c r="S285" i="31"/>
  <c r="R286" i="31"/>
  <c r="R287" i="31"/>
  <c r="S287" i="31"/>
  <c r="R288" i="31"/>
  <c r="S288" i="31"/>
  <c r="R289" i="31"/>
  <c r="S289" i="31"/>
  <c r="R290" i="31"/>
  <c r="R291" i="31"/>
  <c r="S291" i="31"/>
  <c r="R292" i="31"/>
  <c r="S292" i="31"/>
  <c r="R293" i="31"/>
  <c r="S293" i="31"/>
  <c r="R294" i="31"/>
  <c r="S294" i="31"/>
  <c r="R295" i="31"/>
  <c r="S295" i="31"/>
  <c r="R296" i="31"/>
  <c r="R297" i="31"/>
  <c r="S297" i="31"/>
  <c r="R298" i="31"/>
  <c r="S298" i="31"/>
  <c r="R299" i="31"/>
  <c r="S299" i="31"/>
  <c r="R300" i="31"/>
  <c r="S300" i="31"/>
  <c r="R301" i="31"/>
  <c r="S301" i="31"/>
  <c r="R302" i="31"/>
  <c r="R303" i="31"/>
  <c r="S303" i="31"/>
  <c r="R304" i="31"/>
  <c r="S304" i="31"/>
  <c r="R305" i="31"/>
  <c r="S305" i="31"/>
  <c r="R306" i="31"/>
  <c r="R307" i="31"/>
  <c r="S307" i="31"/>
  <c r="R308" i="31"/>
  <c r="S308" i="31"/>
  <c r="R309" i="31"/>
  <c r="S309" i="31"/>
  <c r="R310" i="31"/>
  <c r="S310" i="31"/>
  <c r="R311" i="31"/>
  <c r="S311" i="31"/>
  <c r="R312" i="31"/>
  <c r="R313" i="31"/>
  <c r="S313" i="31"/>
  <c r="R314" i="31"/>
  <c r="S314" i="31"/>
  <c r="R315" i="31"/>
  <c r="S315" i="31"/>
  <c r="R316" i="31"/>
  <c r="S316" i="31"/>
  <c r="R317" i="31"/>
  <c r="S317" i="31"/>
  <c r="R318" i="31"/>
  <c r="R319" i="31"/>
  <c r="S319" i="31"/>
  <c r="R320" i="31"/>
  <c r="R321" i="31"/>
  <c r="S321" i="31"/>
  <c r="R322" i="31"/>
  <c r="S322" i="31"/>
  <c r="R323" i="31"/>
  <c r="S323" i="31"/>
  <c r="R324" i="31"/>
  <c r="R325" i="31"/>
  <c r="S325" i="31"/>
  <c r="R326" i="31"/>
  <c r="R327" i="31"/>
  <c r="S327" i="31"/>
  <c r="R328" i="31"/>
  <c r="R329" i="31"/>
  <c r="S329" i="31"/>
  <c r="R330" i="31"/>
  <c r="S330" i="31"/>
  <c r="R331" i="31"/>
  <c r="S331" i="31"/>
  <c r="R332" i="31"/>
  <c r="R333" i="31"/>
  <c r="S333" i="31"/>
  <c r="R334" i="31"/>
  <c r="R335" i="31"/>
  <c r="S335" i="31"/>
  <c r="R336" i="31"/>
  <c r="R337" i="31"/>
  <c r="S337" i="31"/>
  <c r="R338" i="31"/>
  <c r="S338" i="31"/>
  <c r="R339" i="31"/>
  <c r="S339" i="31"/>
  <c r="R340" i="31"/>
  <c r="R341" i="31"/>
  <c r="S341" i="31"/>
  <c r="R342" i="31"/>
  <c r="R343" i="31"/>
  <c r="S343" i="31"/>
  <c r="R344" i="31"/>
  <c r="R345" i="31"/>
  <c r="S345" i="31"/>
  <c r="R346" i="31"/>
  <c r="S346" i="31"/>
  <c r="R347" i="31"/>
  <c r="S347" i="31"/>
  <c r="R348" i="31"/>
  <c r="R349" i="31"/>
  <c r="S349" i="31"/>
  <c r="R350" i="31"/>
  <c r="S350" i="31"/>
  <c r="R351" i="31"/>
  <c r="S351" i="31"/>
  <c r="R352" i="31"/>
  <c r="R353" i="31"/>
  <c r="S353" i="31"/>
  <c r="R354" i="31"/>
  <c r="S354" i="31"/>
  <c r="R355" i="31"/>
  <c r="S355" i="31"/>
  <c r="R356" i="31"/>
  <c r="S356" i="31"/>
  <c r="R357" i="31"/>
  <c r="S357" i="31"/>
  <c r="R358" i="31"/>
  <c r="R359" i="31"/>
  <c r="S359" i="31"/>
  <c r="R360" i="31"/>
  <c r="S360" i="31"/>
  <c r="R361" i="31"/>
  <c r="S361" i="31"/>
  <c r="R362" i="31"/>
  <c r="S362" i="31"/>
  <c r="R363" i="31"/>
  <c r="S363" i="31"/>
  <c r="R364" i="31"/>
  <c r="R365" i="31"/>
  <c r="S365" i="31"/>
  <c r="R366" i="31"/>
  <c r="S366" i="31"/>
  <c r="R367" i="31"/>
  <c r="S367" i="31"/>
  <c r="R368" i="31"/>
  <c r="R369" i="31"/>
  <c r="S369" i="31"/>
  <c r="R370" i="31"/>
  <c r="S370" i="31"/>
  <c r="R371" i="31"/>
  <c r="S371" i="31"/>
  <c r="R372" i="31"/>
  <c r="S372" i="31"/>
  <c r="R373" i="31"/>
  <c r="S373" i="31"/>
  <c r="R374" i="31"/>
  <c r="R375" i="31"/>
  <c r="S375" i="31"/>
  <c r="R376" i="31"/>
  <c r="S376" i="31"/>
  <c r="R377" i="31"/>
  <c r="S377" i="31"/>
  <c r="R378" i="31"/>
  <c r="S378" i="31"/>
  <c r="R379" i="31"/>
  <c r="S379" i="31"/>
  <c r="R380" i="31"/>
  <c r="R381" i="31"/>
  <c r="S381" i="31"/>
  <c r="R382" i="31"/>
  <c r="R383" i="31"/>
  <c r="S383" i="31"/>
  <c r="R384" i="31"/>
  <c r="R385" i="31"/>
  <c r="S385" i="31"/>
  <c r="R386" i="31"/>
  <c r="S386" i="31"/>
  <c r="R387" i="31"/>
  <c r="S387" i="31"/>
  <c r="R388" i="31"/>
  <c r="R389" i="31"/>
  <c r="S389" i="31"/>
  <c r="R390" i="31"/>
  <c r="R391" i="31"/>
  <c r="S391" i="31"/>
  <c r="R392" i="31"/>
  <c r="R393" i="31"/>
  <c r="S393" i="31"/>
  <c r="R394" i="31"/>
  <c r="S394" i="31"/>
  <c r="R395" i="31"/>
  <c r="S395" i="31"/>
  <c r="R396" i="31"/>
  <c r="R397" i="31"/>
  <c r="S397" i="31"/>
  <c r="R398" i="31"/>
  <c r="R399" i="31"/>
  <c r="S399" i="31"/>
  <c r="R400" i="31"/>
  <c r="R401" i="31"/>
  <c r="S401" i="31"/>
  <c r="R402" i="31"/>
  <c r="S402" i="31"/>
  <c r="R403" i="31"/>
  <c r="S403" i="31"/>
  <c r="R404" i="31"/>
  <c r="R405" i="31"/>
  <c r="S405" i="31"/>
  <c r="R406" i="31"/>
  <c r="R407" i="31"/>
  <c r="S407" i="31"/>
  <c r="R408" i="31"/>
  <c r="R409" i="31"/>
  <c r="S409" i="31"/>
  <c r="R410" i="31"/>
  <c r="S410" i="31"/>
  <c r="R411" i="31"/>
  <c r="S411" i="31"/>
  <c r="R412" i="31"/>
  <c r="R413" i="31"/>
  <c r="S413" i="31"/>
  <c r="R414" i="31"/>
  <c r="S414" i="31"/>
  <c r="R415" i="31"/>
  <c r="S415" i="31"/>
  <c r="R416" i="31"/>
  <c r="R417" i="31"/>
  <c r="S417" i="31"/>
  <c r="R418" i="31"/>
  <c r="S418" i="31"/>
  <c r="R419" i="31"/>
  <c r="S419" i="31"/>
  <c r="R420" i="31"/>
  <c r="S420" i="31"/>
  <c r="R421" i="31"/>
  <c r="S421" i="31"/>
  <c r="R422" i="31"/>
  <c r="R423" i="31"/>
  <c r="S423" i="31"/>
  <c r="R424" i="31"/>
  <c r="R425" i="31"/>
  <c r="S425" i="31"/>
  <c r="R426" i="31"/>
  <c r="S426" i="31"/>
  <c r="R427" i="31"/>
  <c r="S427" i="31"/>
  <c r="R428" i="31"/>
  <c r="S428" i="31"/>
  <c r="R429" i="31"/>
  <c r="R430" i="31"/>
  <c r="R431" i="31"/>
  <c r="S431" i="31"/>
  <c r="R432" i="31"/>
  <c r="R433" i="31"/>
  <c r="S433" i="31"/>
  <c r="R434" i="31"/>
  <c r="R435" i="31"/>
  <c r="S435" i="31"/>
  <c r="R436" i="31"/>
  <c r="R437" i="31"/>
  <c r="S437" i="31"/>
  <c r="R438" i="31"/>
  <c r="R439" i="31"/>
  <c r="S439" i="31"/>
  <c r="R440" i="31"/>
  <c r="R441" i="31"/>
  <c r="S441" i="31"/>
  <c r="R442" i="31"/>
  <c r="R443" i="31"/>
  <c r="S443" i="31"/>
  <c r="R444" i="31"/>
  <c r="R445" i="31"/>
  <c r="S445" i="31"/>
  <c r="R446" i="31"/>
  <c r="R447" i="31"/>
  <c r="S447" i="31"/>
  <c r="R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R462" i="31"/>
  <c r="S462" i="31"/>
  <c r="R463" i="31"/>
  <c r="S463" i="31"/>
  <c r="R464" i="31"/>
  <c r="S464" i="31"/>
  <c r="R465" i="31"/>
  <c r="S465" i="31"/>
  <c r="R466" i="31"/>
  <c r="S466" i="31"/>
  <c r="R467" i="31"/>
  <c r="S467" i="31"/>
  <c r="R468" i="31"/>
  <c r="S468" i="31"/>
  <c r="R469" i="31"/>
  <c r="S469" i="31"/>
  <c r="R470" i="31"/>
  <c r="R471" i="31"/>
  <c r="S471" i="31"/>
  <c r="R472" i="31"/>
  <c r="S472" i="31"/>
  <c r="R473" i="31"/>
  <c r="S473" i="31"/>
  <c r="R474" i="31"/>
  <c r="R475" i="31"/>
  <c r="S475" i="31"/>
  <c r="R476" i="31"/>
  <c r="S476" i="31"/>
  <c r="R477" i="31"/>
  <c r="S477" i="31"/>
  <c r="R478" i="31"/>
  <c r="R479" i="31"/>
  <c r="S479" i="31"/>
  <c r="R480" i="31"/>
  <c r="S480" i="31"/>
  <c r="R481" i="31"/>
  <c r="S481" i="31"/>
  <c r="R482" i="31"/>
  <c r="R483" i="31"/>
  <c r="S483" i="31"/>
  <c r="R484" i="31"/>
  <c r="S484" i="31"/>
  <c r="R485" i="31"/>
  <c r="S485" i="31"/>
  <c r="R486" i="31"/>
  <c r="R487" i="31"/>
  <c r="S487" i="31"/>
  <c r="R488" i="31"/>
  <c r="S488" i="31"/>
  <c r="R489" i="31"/>
  <c r="S489" i="31"/>
  <c r="R490" i="31"/>
  <c r="R491" i="31"/>
  <c r="S491" i="31"/>
  <c r="R492" i="31"/>
  <c r="S492" i="31"/>
  <c r="R493" i="31"/>
  <c r="S493" i="31"/>
  <c r="R494" i="31"/>
  <c r="R495" i="31"/>
  <c r="S495" i="31"/>
  <c r="R496" i="31"/>
  <c r="S496" i="31"/>
  <c r="R497" i="31"/>
  <c r="S497" i="31"/>
  <c r="R498" i="31"/>
  <c r="S498" i="31"/>
  <c r="R499" i="31"/>
  <c r="S499" i="31"/>
  <c r="R500" i="31"/>
  <c r="R501" i="31"/>
  <c r="S501" i="31"/>
  <c r="R502" i="31"/>
  <c r="S502" i="31"/>
  <c r="R503" i="31"/>
  <c r="S503" i="31"/>
  <c r="R504" i="31"/>
  <c r="R505" i="31"/>
  <c r="S505" i="31"/>
  <c r="R506" i="31"/>
  <c r="S506" i="31"/>
  <c r="R507" i="31"/>
  <c r="S507" i="31"/>
  <c r="R508" i="31"/>
  <c r="S508" i="31"/>
  <c r="R509" i="31"/>
  <c r="S509" i="31"/>
  <c r="R510" i="31"/>
  <c r="S510" i="31"/>
  <c r="R511" i="31"/>
  <c r="S511" i="31"/>
  <c r="R512" i="31"/>
  <c r="S512" i="31"/>
  <c r="R513" i="31"/>
  <c r="R514" i="31"/>
  <c r="S514" i="31"/>
  <c r="R515" i="31"/>
  <c r="S515" i="31"/>
  <c r="R516" i="31"/>
  <c r="S516" i="31"/>
  <c r="R517" i="31"/>
  <c r="S517" i="31"/>
  <c r="R518" i="31"/>
  <c r="S518" i="31"/>
  <c r="R519" i="31"/>
  <c r="S519" i="31"/>
  <c r="R520" i="31"/>
  <c r="S520" i="31"/>
  <c r="R521" i="31"/>
  <c r="S521" i="31"/>
  <c r="R522" i="31"/>
  <c r="S522" i="31"/>
  <c r="R523" i="31"/>
  <c r="S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L16" i="3"/>
  <c r="BM17" i="3"/>
  <c r="BO13" i="3"/>
  <c r="BO14" i="3"/>
  <c r="BO15" i="3"/>
  <c r="BO16" i="3"/>
  <c r="BO17" i="3"/>
  <c r="BN13" i="3"/>
  <c r="BN14" i="3"/>
  <c r="BN15" i="3"/>
  <c r="BN16" i="3"/>
  <c r="BN17" i="3"/>
  <c r="BP13" i="3"/>
  <c r="BP14" i="3"/>
  <c r="BP15" i="3"/>
  <c r="BP16" i="3"/>
  <c r="BP17" i="3"/>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6" i="31"/>
  <c r="S412" i="31"/>
  <c r="S408" i="31"/>
  <c r="S406" i="31"/>
  <c r="S404" i="31"/>
  <c r="S400" i="31"/>
  <c r="S398" i="31"/>
  <c r="S396" i="31"/>
  <c r="S392" i="31"/>
  <c r="S390" i="31"/>
  <c r="S388" i="31"/>
  <c r="S384" i="31"/>
  <c r="S382" i="31"/>
  <c r="S380" i="31"/>
  <c r="S374" i="31"/>
  <c r="S368" i="31"/>
  <c r="S364" i="31"/>
  <c r="S358" i="31"/>
  <c r="S352" i="31"/>
  <c r="S348" i="31"/>
  <c r="S344" i="31"/>
  <c r="S342" i="31"/>
  <c r="S340" i="31"/>
  <c r="S336" i="31"/>
  <c r="S334" i="31"/>
  <c r="S332" i="31"/>
  <c r="S328" i="31"/>
  <c r="S326" i="31"/>
  <c r="S324" i="31"/>
  <c r="S424" i="31"/>
  <c r="S320" i="31"/>
  <c r="S318" i="31"/>
  <c r="S312" i="31"/>
  <c r="S306" i="31"/>
  <c r="S302" i="31"/>
  <c r="S296" i="31"/>
  <c r="S290" i="31"/>
  <c r="S286" i="31"/>
  <c r="S282" i="31"/>
  <c r="S280" i="31"/>
  <c r="S278" i="31"/>
  <c r="S274" i="31"/>
  <c r="S272" i="31"/>
  <c r="S270" i="31"/>
  <c r="S266" i="31"/>
  <c r="S264" i="31"/>
  <c r="S262" i="31"/>
  <c r="S258" i="31"/>
  <c r="S256" i="31"/>
  <c r="S254" i="31"/>
  <c r="S252" i="31"/>
  <c r="S250" i="31"/>
  <c r="S248" i="31"/>
  <c r="S246" i="31"/>
  <c r="S244" i="31"/>
  <c r="S242" i="31"/>
  <c r="S240" i="31"/>
  <c r="S238" i="31"/>
  <c r="S236" i="31"/>
  <c r="S234" i="31"/>
  <c r="S232" i="31"/>
  <c r="S230" i="31"/>
  <c r="S228" i="31"/>
  <c r="S226" i="31"/>
  <c r="S224" i="31"/>
  <c r="S429"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4" i="31"/>
  <c r="S490" i="31"/>
  <c r="S486" i="31"/>
  <c r="S482" i="31"/>
  <c r="S478" i="31"/>
  <c r="S474" i="31"/>
  <c r="S470" i="31"/>
  <c r="S444" i="31"/>
  <c r="S442" i="31"/>
  <c r="S440" i="31"/>
  <c r="S438" i="31"/>
  <c r="S436" i="31"/>
  <c r="S434" i="31"/>
  <c r="S432" i="31"/>
  <c r="S430" i="31"/>
  <c r="S122" i="31"/>
  <c r="S120" i="31"/>
  <c r="S118" i="31"/>
  <c r="S116" i="31"/>
  <c r="S114" i="31"/>
  <c r="S112" i="31"/>
  <c r="S504" i="31"/>
  <c r="S500" i="31"/>
  <c r="S461"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AZ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G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B77" i="35"/>
  <c r="B75" i="35"/>
  <c r="J24" i="35"/>
  <c r="B73" i="35"/>
  <c r="H23" i="35"/>
  <c r="U23" i="35"/>
  <c r="B57" i="35"/>
  <c r="B61" i="35"/>
  <c r="B59" i="35"/>
  <c r="B131" i="34"/>
  <c r="B129" i="34"/>
  <c r="B127" i="34"/>
  <c r="B99" i="34"/>
  <c r="B97" i="34"/>
  <c r="J31" i="34"/>
  <c r="B95" i="34"/>
  <c r="B93" i="34"/>
  <c r="F29"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G77" i="21"/>
  <c r="B130" i="21"/>
  <c r="B128" i="21"/>
  <c r="J45" i="21"/>
  <c r="W45" i="21"/>
  <c r="B126" i="21"/>
  <c r="B98" i="21"/>
  <c r="H31" i="21"/>
  <c r="B96" i="21"/>
  <c r="B94" i="21"/>
  <c r="J29" i="21"/>
  <c r="B92" i="21"/>
  <c r="B90" i="21"/>
  <c r="J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AZ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S36" i="34"/>
  <c r="J35"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F114" i="34"/>
  <c r="G114" i="34"/>
  <c r="H114" i="34"/>
  <c r="I114" i="34"/>
  <c r="J114" i="34"/>
  <c r="K114" i="34"/>
  <c r="L114" i="34"/>
  <c r="M114" i="34"/>
  <c r="H36" i="34"/>
  <c r="U36" i="34"/>
  <c r="F37" i="34"/>
  <c r="AA37" i="34"/>
  <c r="F28" i="34"/>
  <c r="AA28" i="34"/>
  <c r="F27" i="34"/>
  <c r="AA27" i="34"/>
  <c r="F25" i="34"/>
  <c r="S25" i="34"/>
  <c r="H23" i="34"/>
  <c r="U23" i="34"/>
  <c r="J23" i="34"/>
  <c r="W23" i="34"/>
  <c r="F19" i="34"/>
  <c r="AA19" i="34"/>
  <c r="H17" i="34"/>
  <c r="U17" i="34"/>
  <c r="F15" i="34"/>
  <c r="AA15" i="34"/>
  <c r="J15" i="34"/>
  <c r="W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W40" i="34"/>
  <c r="H38" i="34"/>
  <c r="AB38" i="34"/>
  <c r="J36" i="34"/>
  <c r="W36" i="34"/>
  <c r="H37" i="34"/>
  <c r="U37" i="34"/>
  <c r="H25" i="34"/>
  <c r="AB25" i="34"/>
  <c r="J25" i="34"/>
  <c r="AC25" i="34"/>
  <c r="F23" i="34"/>
  <c r="AA23" i="34"/>
  <c r="J19" i="34"/>
  <c r="AC19" i="34"/>
  <c r="F17" i="34"/>
  <c r="AA17" i="34"/>
  <c r="J17" i="34"/>
  <c r="W17" i="34"/>
  <c r="S15" i="34"/>
  <c r="S41" i="33"/>
  <c r="F113" i="33"/>
  <c r="G113" i="33"/>
  <c r="H113" i="33"/>
  <c r="I113" i="33"/>
  <c r="J113" i="33"/>
  <c r="K113" i="33"/>
  <c r="L113" i="33"/>
  <c r="M113" i="33"/>
  <c r="H37" i="33"/>
  <c r="AB37" i="33"/>
  <c r="H15" i="33"/>
  <c r="AB15" i="33"/>
  <c r="H11" i="33"/>
  <c r="AB11" i="33"/>
  <c r="F28" i="40"/>
  <c r="AA28" i="40"/>
  <c r="AA29" i="35"/>
  <c r="AA42" i="34"/>
  <c r="S42" i="34"/>
  <c r="AC38" i="34"/>
  <c r="J37" i="34"/>
  <c r="AC37" i="34"/>
  <c r="J11" i="33"/>
  <c r="W11" i="33"/>
  <c r="U23" i="40"/>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AB30" i="34"/>
  <c r="F30" i="34"/>
  <c r="S30" i="34"/>
  <c r="J30" i="34"/>
  <c r="W30" i="34"/>
  <c r="H32" i="34"/>
  <c r="U32" i="34"/>
  <c r="F32" i="34"/>
  <c r="AA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H29" i="34"/>
  <c r="AB29"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AA14" i="37"/>
  <c r="AC13" i="36"/>
  <c r="W13" i="36"/>
  <c r="S11" i="36"/>
  <c r="W11" i="36"/>
  <c r="W11" i="35"/>
  <c r="AB46" i="34"/>
  <c r="AA14" i="34"/>
  <c r="S45" i="33"/>
  <c r="AB45" i="33"/>
  <c r="AB31" i="33"/>
  <c r="U31" i="33"/>
  <c r="W29" i="33"/>
  <c r="U13" i="33"/>
  <c r="AC28" i="21"/>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4"/>
  <c r="C59" i="34"/>
  <c r="D59" i="34"/>
  <c r="E59" i="34"/>
  <c r="F59" i="34"/>
  <c r="G59" i="34"/>
  <c r="H59" i="34"/>
  <c r="W35" i="40"/>
  <c r="A118" i="9"/>
  <c r="A4" i="52"/>
  <c r="B41" i="72"/>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AC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G29" i="6"/>
  <c r="E29" i="6"/>
  <c r="AC12" i="39"/>
  <c r="W12" i="39"/>
  <c r="AZ401" i="3"/>
  <c r="AZ412" i="3"/>
  <c r="AZ417" i="3"/>
  <c r="AZ428" i="3"/>
  <c r="AZ433" i="3"/>
  <c r="AZ465" i="3"/>
  <c r="W12" i="33"/>
  <c r="AC12" i="3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H100" i="43"/>
  <c r="C30" i="66"/>
  <c r="E26" i="66"/>
  <c r="AC34" i="33"/>
  <c r="AA34" i="33"/>
  <c r="B41" i="1"/>
  <c r="F53" i="9"/>
  <c r="J100" i="43"/>
  <c r="AB37" i="40"/>
  <c r="S35" i="40"/>
  <c r="U35" i="40"/>
  <c r="AC36" i="40"/>
  <c r="AA32" i="40"/>
  <c r="S17" i="40"/>
  <c r="S23" i="40"/>
  <c r="AC17" i="40"/>
  <c r="AC15" i="40"/>
  <c r="AB27" i="40"/>
  <c r="S30" i="40"/>
  <c r="AA19" i="40"/>
  <c r="S28" i="40"/>
  <c r="AA27" i="40"/>
  <c r="U21" i="40"/>
  <c r="AB19" i="40"/>
  <c r="W42" i="39"/>
  <c r="U37"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F17" i="37"/>
  <c r="AA17" i="37"/>
  <c r="AB17" i="37"/>
  <c r="F75" i="37"/>
  <c r="F19" i="37"/>
  <c r="F79" i="37"/>
  <c r="F23" i="37"/>
  <c r="S23" i="37"/>
  <c r="U23" i="37"/>
  <c r="U15" i="37"/>
  <c r="AC13" i="37"/>
  <c r="U9" i="37"/>
  <c r="AA13" i="37"/>
  <c r="AA12" i="37"/>
  <c r="AA9" i="37"/>
  <c r="H10" i="37"/>
  <c r="H60" i="37"/>
  <c r="F63" i="37"/>
  <c r="F11" i="37"/>
  <c r="S11" i="37"/>
  <c r="W25" i="34"/>
  <c r="AB8" i="34"/>
  <c r="AA33" i="34"/>
  <c r="AC42" i="34"/>
  <c r="AB35" i="34"/>
  <c r="AB41" i="34"/>
  <c r="AA45" i="34"/>
  <c r="AA25" i="34"/>
  <c r="S17" i="34"/>
  <c r="U27" i="34"/>
  <c r="S13" i="34"/>
  <c r="H10" i="34"/>
  <c r="AB10" i="34"/>
  <c r="F11" i="34"/>
  <c r="S11" i="34"/>
  <c r="W42" i="33"/>
  <c r="AA35" i="33"/>
  <c r="S27" i="33"/>
  <c r="S32" i="33"/>
  <c r="AA29" i="33"/>
  <c r="AB29" i="33"/>
  <c r="W38" i="33"/>
  <c r="H41" i="33"/>
  <c r="U42" i="33"/>
  <c r="S42" i="33"/>
  <c r="F36" i="33"/>
  <c r="G111" i="33"/>
  <c r="J35" i="33"/>
  <c r="S37" i="33"/>
  <c r="AA37" i="33"/>
  <c r="S39" i="33"/>
  <c r="F101" i="33"/>
  <c r="G101" i="33"/>
  <c r="H101" i="33"/>
  <c r="I101" i="33"/>
  <c r="J101" i="33"/>
  <c r="K101" i="33"/>
  <c r="L101" i="33"/>
  <c r="M101" i="33"/>
  <c r="J32" i="33"/>
  <c r="S46" i="33"/>
  <c r="W43" i="33"/>
  <c r="S43" i="33"/>
  <c r="H27" i="33"/>
  <c r="F87" i="33"/>
  <c r="H25" i="33"/>
  <c r="F25" i="33"/>
  <c r="J23" i="33"/>
  <c r="F85" i="33"/>
  <c r="H23" i="33"/>
  <c r="F81" i="33"/>
  <c r="F19" i="33"/>
  <c r="S19" i="33"/>
  <c r="W19" i="33"/>
  <c r="J17" i="33"/>
  <c r="F79" i="33"/>
  <c r="S15" i="33"/>
  <c r="W15" i="33"/>
  <c r="U9"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N10" i="43"/>
  <c r="M1" i="43"/>
  <c r="M8" i="43"/>
  <c r="N8" i="43"/>
  <c r="N9" i="43"/>
  <c r="D120" i="9"/>
  <c r="C18" i="9"/>
  <c r="D18" i="9"/>
  <c r="F34" i="67"/>
  <c r="F62" i="67"/>
  <c r="M20" i="67"/>
  <c r="F34" i="15"/>
  <c r="F62" i="15"/>
  <c r="G13" i="3"/>
  <c r="BA13" i="3"/>
  <c r="E10" i="6"/>
  <c r="E11" i="6"/>
  <c r="E61" i="39"/>
  <c r="BL17" i="3"/>
  <c r="AZ17" i="3"/>
  <c r="BL13" i="3"/>
  <c r="A24" i="51"/>
  <c r="B18" i="72"/>
  <c r="E14" i="6"/>
  <c r="E64" i="39"/>
  <c r="E5" i="6"/>
  <c r="D9" i="11"/>
  <c r="C9" i="1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54" i="43"/>
  <c r="H78" i="43"/>
  <c r="H70" i="43"/>
  <c r="H71" i="43"/>
  <c r="C17" i="43"/>
  <c r="F33" i="43"/>
  <c r="G17" i="43"/>
  <c r="F34" i="43"/>
  <c r="M7" i="43"/>
  <c r="N6" i="43"/>
  <c r="M2" i="43"/>
  <c r="C6" i="43"/>
  <c r="D5" i="43"/>
  <c r="M10" i="43"/>
  <c r="N3" i="43"/>
  <c r="N11" i="43"/>
  <c r="F38" i="43"/>
  <c r="F37" i="43"/>
  <c r="M9" i="43"/>
  <c r="N12" i="43"/>
  <c r="N5" i="43"/>
  <c r="M5" i="43"/>
  <c r="M12" i="43"/>
  <c r="M4" i="43"/>
  <c r="B19" i="53"/>
  <c r="B37" i="72"/>
  <c r="C7" i="39"/>
  <c r="C68" i="39"/>
  <c r="C7" i="33"/>
  <c r="C58" i="33"/>
  <c r="D58" i="33"/>
  <c r="E58" i="33"/>
  <c r="F58" i="33"/>
  <c r="G58" i="33"/>
  <c r="H58" i="33"/>
  <c r="I58" i="33"/>
  <c r="J58" i="33"/>
  <c r="K58" i="33"/>
  <c r="L58" i="33"/>
  <c r="M58" i="33"/>
  <c r="N58" i="33"/>
  <c r="O58" i="33"/>
  <c r="C7" i="40"/>
  <c r="C63" i="40"/>
  <c r="M47" i="9"/>
  <c r="T35" i="4"/>
  <c r="A19" i="51"/>
  <c r="B14" i="72"/>
  <c r="A4" i="51"/>
  <c r="B6" i="72"/>
  <c r="C4" i="12"/>
  <c r="H62" i="43"/>
  <c r="H66" i="43"/>
  <c r="H61" i="43"/>
  <c r="H65" i="43"/>
  <c r="H60" i="43"/>
  <c r="H64" i="43"/>
  <c r="H59" i="43"/>
  <c r="H63" i="43"/>
  <c r="H67" i="43"/>
  <c r="H55" i="43"/>
  <c r="H51" i="43"/>
  <c r="H56" i="43"/>
  <c r="H76" i="43"/>
  <c r="H72" i="43"/>
  <c r="H77" i="43"/>
  <c r="L20" i="6"/>
  <c r="L27" i="6"/>
  <c r="B6" i="1"/>
  <c r="E6" i="1"/>
  <c r="S8" i="1"/>
  <c r="AR8" i="1"/>
  <c r="K11" i="1"/>
  <c r="M11" i="1"/>
  <c r="AP6"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B47" i="34"/>
  <c r="U25" i="34"/>
  <c r="AB36" i="34"/>
  <c r="AC14" i="34"/>
  <c r="AC32" i="34"/>
  <c r="W46" i="34"/>
  <c r="AC46" i="34"/>
  <c r="S32" i="34"/>
  <c r="U30" i="34"/>
  <c r="S37" i="34"/>
  <c r="U38" i="34"/>
  <c r="S19" i="34"/>
  <c r="AA8" i="34"/>
  <c r="S8" i="34"/>
  <c r="AB9" i="34"/>
  <c r="U9" i="34"/>
  <c r="S46" i="34"/>
  <c r="AA46" i="34"/>
  <c r="AB32" i="34"/>
  <c r="U14" i="34"/>
  <c r="AB14" i="34"/>
  <c r="AC43"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AC33" i="21"/>
  <c r="H33" i="21"/>
  <c r="AB33" i="21"/>
  <c r="F37" i="21"/>
  <c r="AA37" i="21"/>
  <c r="AA26" i="21"/>
  <c r="AB14" i="21"/>
  <c r="AB46" i="21"/>
  <c r="U40" i="21"/>
  <c r="AB31" i="21"/>
  <c r="U31" i="21"/>
  <c r="W8" i="21"/>
  <c r="S35" i="21"/>
  <c r="AB37"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S19" i="21"/>
  <c r="S9" i="21"/>
  <c r="AA9" i="21"/>
  <c r="K141" i="21"/>
  <c r="K144" i="21"/>
  <c r="K143" i="21"/>
  <c r="U27" i="21"/>
  <c r="AB25" i="21"/>
  <c r="AB44" i="21"/>
  <c r="AA30" i="21"/>
  <c r="W13" i="21"/>
  <c r="W42" i="21"/>
  <c r="AC45" i="21"/>
  <c r="F10" i="21"/>
  <c r="AA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T11" i="1"/>
  <c r="AR11" i="1"/>
  <c r="T13" i="1"/>
  <c r="S7" i="1"/>
  <c r="AQ7" i="1"/>
  <c r="E7" i="70"/>
  <c r="AA39" i="40"/>
  <c r="S39" i="40"/>
  <c r="S12" i="33"/>
  <c r="AA12" i="33"/>
  <c r="C16" i="43"/>
  <c r="J32" i="39"/>
  <c r="W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c r="G79" i="37"/>
  <c r="J10" i="37"/>
  <c r="W10" i="37"/>
  <c r="I60" i="37"/>
  <c r="G63" i="37"/>
  <c r="H11" i="37"/>
  <c r="AB10" i="37"/>
  <c r="U10" i="37"/>
  <c r="H11" i="34"/>
  <c r="U11" i="34"/>
  <c r="J10" i="34"/>
  <c r="W10" i="34"/>
  <c r="AB41" i="33"/>
  <c r="U41" i="33"/>
  <c r="W35" i="33"/>
  <c r="AC35" i="33"/>
  <c r="H111" i="33"/>
  <c r="I111" i="33"/>
  <c r="J111" i="33"/>
  <c r="K111" i="33"/>
  <c r="L111" i="33"/>
  <c r="M111" i="33"/>
  <c r="J36" i="33"/>
  <c r="W36" i="33"/>
  <c r="H36" i="33"/>
  <c r="S36" i="33"/>
  <c r="AA36" i="33"/>
  <c r="AC32" i="33"/>
  <c r="W32" i="33"/>
  <c r="U27" i="33"/>
  <c r="AB27" i="33"/>
  <c r="J27" i="33"/>
  <c r="U25" i="33"/>
  <c r="AB25" i="33"/>
  <c r="S25" i="33"/>
  <c r="AA25" i="33"/>
  <c r="G87" i="33"/>
  <c r="H87" i="33"/>
  <c r="I87" i="33"/>
  <c r="J87" i="33"/>
  <c r="K87" i="33"/>
  <c r="L87" i="33"/>
  <c r="M87" i="33"/>
  <c r="J25" i="33"/>
  <c r="AB23" i="33"/>
  <c r="U23" i="33"/>
  <c r="F23" i="33"/>
  <c r="S23" i="33"/>
  <c r="G85" i="33"/>
  <c r="AC23" i="33"/>
  <c r="W23" i="33"/>
  <c r="AA19" i="33"/>
  <c r="H19" i="33"/>
  <c r="G81" i="33"/>
  <c r="G79" i="33"/>
  <c r="H17" i="33"/>
  <c r="AB17" i="33"/>
  <c r="F17" i="33"/>
  <c r="W17" i="33"/>
  <c r="AC17" i="33"/>
  <c r="U10" i="33"/>
  <c r="AB10" i="33"/>
  <c r="AC10" i="33"/>
  <c r="W10" i="33"/>
  <c r="AC37" i="21"/>
  <c r="U33" i="21"/>
  <c r="S37" i="21"/>
  <c r="AA23" i="21"/>
  <c r="AB15" i="21"/>
  <c r="J23" i="21"/>
  <c r="F85" i="21"/>
  <c r="G85" i="21"/>
  <c r="H23" i="21"/>
  <c r="AB23" i="21"/>
  <c r="D6" i="52"/>
  <c r="D121" i="9"/>
  <c r="D7" i="52"/>
  <c r="K120" i="9"/>
  <c r="AQ8" i="1"/>
  <c r="C5" i="43"/>
  <c r="AP7" i="1"/>
  <c r="AB45" i="21"/>
  <c r="W33" i="21"/>
  <c r="S33" i="21"/>
  <c r="AA33" i="21"/>
  <c r="AC32" i="21"/>
  <c r="U9" i="21"/>
  <c r="AA32" i="21"/>
  <c r="S32" i="21"/>
  <c r="W9" i="21"/>
  <c r="AC9" i="21"/>
  <c r="AB32" i="21"/>
  <c r="U32" i="21"/>
  <c r="S10" i="21"/>
  <c r="A18" i="62"/>
  <c r="B64" i="72"/>
  <c r="U32" i="39"/>
  <c r="AB32" i="39"/>
  <c r="AC32" i="39"/>
  <c r="W19" i="37"/>
  <c r="AC19" i="37"/>
  <c r="W23" i="37"/>
  <c r="AB11" i="37"/>
  <c r="U11" i="37"/>
  <c r="H63" i="37"/>
  <c r="I63" i="37"/>
  <c r="J63" i="37"/>
  <c r="K63" i="37"/>
  <c r="L63" i="37"/>
  <c r="M63" i="37"/>
  <c r="J11" i="37"/>
  <c r="AC11" i="37"/>
  <c r="AC10" i="37"/>
  <c r="AB11" i="34"/>
  <c r="J11" i="34"/>
  <c r="AC11" i="34"/>
  <c r="AC36" i="33"/>
  <c r="U36" i="33"/>
  <c r="AB36" i="33"/>
  <c r="W27" i="33"/>
  <c r="AC27" i="33"/>
  <c r="W25" i="33"/>
  <c r="AC25" i="33"/>
  <c r="AA23" i="33"/>
  <c r="AB19" i="33"/>
  <c r="U19" i="33"/>
  <c r="AA17" i="33"/>
  <c r="S17" i="33"/>
  <c r="U17" i="33"/>
  <c r="AC23" i="21"/>
  <c r="W23" i="21"/>
  <c r="F1" i="67"/>
  <c r="Q52" i="67"/>
  <c r="W11" i="37"/>
  <c r="W11" i="34"/>
  <c r="R7" i="1"/>
  <c r="F34" i="11"/>
  <c r="F11" i="12"/>
  <c r="F34" i="68"/>
  <c r="R8" i="1"/>
  <c r="AE7" i="1"/>
  <c r="AE8" i="1"/>
  <c r="AG6" i="1"/>
  <c r="H109" i="9"/>
  <c r="D124" i="9"/>
  <c r="D16" i="53"/>
  <c r="B34" i="72"/>
  <c r="F7" i="33"/>
  <c r="S7" i="33"/>
  <c r="H112" i="9"/>
  <c r="D21" i="53"/>
  <c r="B39" i="72"/>
  <c r="H111" i="9"/>
  <c r="D126" i="9"/>
  <c r="D59" i="9"/>
  <c r="M55" i="9"/>
  <c r="AD3" i="71"/>
  <c r="AO12" i="1"/>
  <c r="F36" i="15"/>
  <c r="F4" i="73"/>
  <c r="F38" i="67"/>
  <c r="AO7" i="1"/>
  <c r="D3" i="73"/>
  <c r="E11" i="76"/>
  <c r="E8" i="76"/>
  <c r="F40" i="67"/>
  <c r="AO11" i="1"/>
  <c r="J15" i="15"/>
  <c r="B13" i="76"/>
  <c r="C76" i="15"/>
  <c r="M22" i="67"/>
  <c r="E2" i="69"/>
  <c r="F42" i="15"/>
  <c r="M26" i="67"/>
  <c r="F37" i="15"/>
  <c r="D2" i="34"/>
  <c r="D4" i="73"/>
  <c r="F37" i="67"/>
  <c r="D2" i="33"/>
  <c r="F43" i="67"/>
  <c r="F5" i="73"/>
  <c r="M23" i="15"/>
  <c r="D2" i="21"/>
  <c r="B12" i="76"/>
  <c r="D2" i="36"/>
  <c r="E7" i="76"/>
  <c r="F8" i="67"/>
  <c r="D6" i="73"/>
  <c r="M6" i="67"/>
  <c r="E9" i="76"/>
  <c r="E12" i="76"/>
  <c r="M21" i="67"/>
  <c r="AO10" i="1"/>
  <c r="B10" i="76"/>
  <c r="F3" i="73"/>
  <c r="F7" i="73"/>
  <c r="B7" i="76"/>
  <c r="M27" i="67"/>
  <c r="L47" i="15"/>
  <c r="F26" i="67"/>
  <c r="F35" i="67"/>
  <c r="B8" i="76"/>
  <c r="F26" i="15"/>
  <c r="B11" i="76"/>
  <c r="M29" i="67"/>
  <c r="D5" i="73"/>
  <c r="AO9" i="1"/>
  <c r="F41" i="67"/>
  <c r="D7" i="73"/>
  <c r="F20" i="31"/>
  <c r="M8" i="67"/>
  <c r="M9" i="67"/>
  <c r="E10" i="76"/>
  <c r="D2" i="35"/>
  <c r="AO13" i="1"/>
  <c r="E13" i="76"/>
  <c r="M6" i="15"/>
  <c r="F6" i="73"/>
  <c r="F38" i="15"/>
  <c r="AO8" i="1"/>
  <c r="F16" i="15"/>
  <c r="M23" i="67"/>
  <c r="E2" i="68"/>
  <c r="D2" i="37"/>
  <c r="F13" i="67"/>
  <c r="F16" i="67"/>
  <c r="L48" i="67"/>
  <c r="B9" i="76"/>
  <c r="AB37" i="34"/>
  <c r="AC10" i="34"/>
  <c r="W34" i="34"/>
  <c r="C65" i="40"/>
  <c r="D63" i="40"/>
  <c r="H7" i="33"/>
  <c r="AB7" i="33"/>
  <c r="T48" i="33"/>
  <c r="G48" i="33"/>
  <c r="J7" i="33"/>
  <c r="W7" i="33"/>
  <c r="G19" i="43"/>
  <c r="O19" i="43"/>
  <c r="C7" i="21"/>
  <c r="C58" i="21"/>
  <c r="H7" i="21"/>
  <c r="C7" i="35"/>
  <c r="C48" i="35"/>
  <c r="D48" i="35"/>
  <c r="E48" i="35"/>
  <c r="F48" i="35"/>
  <c r="C42" i="1"/>
  <c r="C77" i="9"/>
  <c r="C74" i="9"/>
  <c r="C7" i="36"/>
  <c r="C46" i="36"/>
  <c r="D46" i="36"/>
  <c r="AC27" i="34"/>
  <c r="W27" i="34"/>
  <c r="AA30" i="34"/>
  <c r="AC30" i="34"/>
  <c r="H31" i="34"/>
  <c r="AB31" i="34"/>
  <c r="J29" i="34"/>
  <c r="S29" i="34"/>
  <c r="AA29" i="34"/>
  <c r="AC31" i="34"/>
  <c r="W31" i="34"/>
  <c r="U29" i="34"/>
  <c r="F31" i="34"/>
  <c r="U28" i="34"/>
  <c r="G30" i="6"/>
  <c r="G31" i="6"/>
  <c r="E28" i="6"/>
  <c r="K14" i="1"/>
  <c r="M14" i="1"/>
  <c r="O14" i="1"/>
  <c r="AZ557" i="3"/>
  <c r="AB13" i="21"/>
  <c r="U13" i="21"/>
  <c r="W27" i="21"/>
  <c r="AC27" i="21"/>
  <c r="AC29" i="21"/>
  <c r="W29" i="21"/>
  <c r="W26" i="33"/>
  <c r="AC26" i="33"/>
  <c r="AC24" i="35"/>
  <c r="W24" i="35"/>
  <c r="AC34" i="35"/>
  <c r="W34" i="35"/>
  <c r="AB36" i="35"/>
  <c r="U36" i="35"/>
  <c r="S32" i="36"/>
  <c r="AA32" i="36"/>
  <c r="D9" i="53"/>
  <c r="B25" i="72"/>
  <c r="B24" i="72"/>
  <c r="BL5" i="3"/>
  <c r="AZ503" i="3"/>
  <c r="AZ548" i="3"/>
  <c r="S12" i="21"/>
  <c r="AA12" i="21"/>
  <c r="S12" i="34"/>
  <c r="AA12" i="34"/>
  <c r="AB34" i="36"/>
  <c r="U34" i="36"/>
  <c r="AB33" i="36"/>
  <c r="U33" i="36"/>
  <c r="AZ551" i="3"/>
  <c r="BA5" i="3"/>
  <c r="AA7" i="33"/>
  <c r="R48" i="33"/>
  <c r="E48" i="33"/>
  <c r="AZ13" i="3"/>
  <c r="U12" i="37"/>
  <c r="H43" i="34"/>
  <c r="F34" i="35"/>
  <c r="H34" i="35"/>
  <c r="J36" i="35"/>
  <c r="F38" i="40"/>
  <c r="J38" i="40"/>
  <c r="H38" i="40"/>
  <c r="U23" i="21"/>
  <c r="H110" i="9"/>
  <c r="D18" i="53"/>
  <c r="B35" i="72"/>
  <c r="T8" i="1"/>
  <c r="S13" i="21"/>
  <c r="AC15" i="21"/>
  <c r="S27" i="36"/>
  <c r="W39" i="39"/>
  <c r="E15" i="6"/>
  <c r="J39" i="40"/>
  <c r="H39" i="40"/>
  <c r="G551" i="3"/>
  <c r="BL548" i="3"/>
  <c r="AZ399" i="3"/>
  <c r="AZ404" i="3"/>
  <c r="AZ411" i="3"/>
  <c r="AZ414" i="3"/>
  <c r="AZ421" i="3"/>
  <c r="AZ423" i="3"/>
  <c r="AZ427" i="3"/>
  <c r="AZ430" i="3"/>
  <c r="AZ440" i="3"/>
  <c r="AZ449" i="3"/>
  <c r="AZ453" i="3"/>
  <c r="AZ455" i="3"/>
  <c r="AZ460" i="3"/>
  <c r="AZ471" i="3"/>
  <c r="AZ316" i="3"/>
  <c r="G14" i="3"/>
  <c r="AZ475" i="3"/>
  <c r="AZ479" i="3"/>
  <c r="AZ385" i="3"/>
  <c r="AZ210" i="3"/>
  <c r="AZ225" i="3"/>
  <c r="AZ239" i="3"/>
  <c r="AZ262" i="3"/>
  <c r="AZ276" i="3"/>
  <c r="AZ300" i="3"/>
  <c r="AZ118" i="3"/>
  <c r="AZ121" i="3"/>
  <c r="AZ134" i="3"/>
  <c r="AZ137" i="3"/>
  <c r="AZ145" i="3"/>
  <c r="AZ161" i="3"/>
  <c r="AZ177" i="3"/>
  <c r="AZ193" i="3"/>
  <c r="AZ34" i="3"/>
  <c r="AZ38" i="3"/>
  <c r="AZ44" i="3"/>
  <c r="AZ48" i="3"/>
  <c r="AZ60" i="3"/>
  <c r="AZ64" i="3"/>
  <c r="AZ78" i="3"/>
  <c r="AZ91" i="3"/>
  <c r="AZ108" i="3"/>
  <c r="F3" i="35"/>
  <c r="D25" i="71"/>
  <c r="T25" i="71"/>
  <c r="C20" i="71"/>
  <c r="D19" i="71"/>
  <c r="C37" i="71"/>
  <c r="D36" i="71"/>
  <c r="D29" i="71"/>
  <c r="T29" i="71"/>
  <c r="C17" i="71"/>
  <c r="D16" i="71"/>
  <c r="M100" i="43"/>
  <c r="I100" i="43"/>
  <c r="E100" i="43"/>
  <c r="D100" i="43"/>
  <c r="D23" i="67"/>
  <c r="S18" i="35"/>
  <c r="F15" i="71"/>
  <c r="F16" i="71"/>
  <c r="F17" i="71"/>
  <c r="V17" i="71"/>
  <c r="AA15" i="71"/>
  <c r="AA16" i="71"/>
  <c r="F19" i="71"/>
  <c r="F20" i="71"/>
  <c r="F21" i="71"/>
  <c r="V21" i="71"/>
  <c r="AA18" i="71"/>
  <c r="AA17" i="71"/>
  <c r="F23" i="71"/>
  <c r="F24" i="71"/>
  <c r="F25" i="71"/>
  <c r="V25" i="71"/>
  <c r="Z12" i="43"/>
  <c r="Z10" i="43"/>
  <c r="AD12" i="43"/>
  <c r="AD10" i="43"/>
  <c r="AF12" i="43"/>
  <c r="AF10" i="43"/>
  <c r="AH12" i="43"/>
  <c r="AH10" i="43"/>
  <c r="AB9" i="71"/>
  <c r="D12" i="71"/>
  <c r="D13" i="71"/>
  <c r="U13" i="71"/>
  <c r="AA12" i="71"/>
  <c r="AA10" i="71"/>
  <c r="AB12" i="71"/>
  <c r="S13" i="71"/>
  <c r="AA9" i="71"/>
  <c r="X12" i="71"/>
  <c r="Y3" i="71"/>
  <c r="Z3" i="71"/>
  <c r="AB22" i="71"/>
  <c r="AA20" i="71"/>
  <c r="AB18" i="71"/>
  <c r="Y15" i="71"/>
  <c r="Z15" i="71"/>
  <c r="AB16" i="71"/>
  <c r="Y19" i="71"/>
  <c r="Z19" i="71"/>
  <c r="X18" i="71"/>
  <c r="X19" i="71"/>
  <c r="X20" i="71"/>
  <c r="AB20" i="71"/>
  <c r="Y23" i="71"/>
  <c r="Z23" i="71"/>
  <c r="AA24" i="71"/>
  <c r="AA22" i="71"/>
  <c r="B44" i="71"/>
  <c r="B45" i="71"/>
  <c r="S45" i="71"/>
  <c r="V53" i="71"/>
  <c r="F52" i="71"/>
  <c r="AJ10" i="43"/>
  <c r="X7" i="71"/>
  <c r="AC12" i="43"/>
  <c r="AC10" i="43"/>
  <c r="AG12" i="43"/>
  <c r="AG10" i="43"/>
  <c r="P61" i="15"/>
  <c r="P61" i="67"/>
  <c r="P74" i="67"/>
  <c r="X8" i="71"/>
  <c r="B9" i="71"/>
  <c r="X9" i="71"/>
  <c r="E8" i="71"/>
  <c r="E7" i="71"/>
  <c r="Y7" i="71"/>
  <c r="Z7" i="71"/>
  <c r="Y8" i="71"/>
  <c r="Z8" i="71"/>
  <c r="AB7" i="71"/>
  <c r="AB8" i="71"/>
  <c r="AA6" i="71"/>
  <c r="AA7" i="71"/>
  <c r="AB6" i="71"/>
  <c r="AB5" i="71"/>
  <c r="C9" i="71"/>
  <c r="Y9" i="71"/>
  <c r="Z9" i="71"/>
  <c r="AA8" i="71"/>
  <c r="X6" i="71"/>
  <c r="Y6" i="71"/>
  <c r="Z6" i="71"/>
  <c r="X5" i="71"/>
  <c r="AA5" i="71"/>
  <c r="AB45" i="34"/>
  <c r="D19" i="12"/>
  <c r="C19" i="12"/>
  <c r="K56" i="9"/>
  <c r="N56" i="9"/>
  <c r="J56" i="9"/>
  <c r="J57" i="9"/>
  <c r="J59" i="9"/>
  <c r="J61" i="9"/>
  <c r="AA41" i="34"/>
  <c r="AC40" i="34"/>
  <c r="AA36" i="34"/>
  <c r="W41" i="34"/>
  <c r="U39" i="34"/>
  <c r="AA38" i="34"/>
  <c r="AA40" i="34"/>
  <c r="AC39" i="34"/>
  <c r="AA39" i="34"/>
  <c r="AC36" i="34"/>
  <c r="S35" i="34"/>
  <c r="C36" i="69"/>
  <c r="S44" i="34"/>
  <c r="F21" i="34"/>
  <c r="AA21" i="34"/>
  <c r="H21" i="34"/>
  <c r="AB21" i="34"/>
  <c r="J21" i="34"/>
  <c r="F84" i="34"/>
  <c r="G84" i="34"/>
  <c r="U44" i="34"/>
  <c r="S43" i="34"/>
  <c r="AB33" i="34"/>
  <c r="W37" i="34"/>
  <c r="W33" i="34"/>
  <c r="AC28" i="34"/>
  <c r="S28" i="34"/>
  <c r="S27" i="34"/>
  <c r="U21" i="34"/>
  <c r="AC17" i="34"/>
  <c r="AB17" i="34"/>
  <c r="U15" i="34"/>
  <c r="S23" i="34"/>
  <c r="AB23" i="34"/>
  <c r="AA11" i="34"/>
  <c r="U10" i="34"/>
  <c r="S10" i="34"/>
  <c r="W9" i="34"/>
  <c r="C13" i="12"/>
  <c r="AZ5" i="3"/>
  <c r="E3" i="6"/>
  <c r="E6" i="6"/>
  <c r="D10" i="69"/>
  <c r="F19" i="6"/>
  <c r="E19" i="6"/>
  <c r="K6" i="1"/>
  <c r="G5" i="3"/>
  <c r="B3" i="3"/>
  <c r="E304" i="3"/>
  <c r="C94" i="9"/>
  <c r="C92" i="9"/>
  <c r="F28" i="15"/>
  <c r="C28" i="15"/>
  <c r="F54" i="9"/>
  <c r="M18" i="67"/>
  <c r="C36" i="11"/>
  <c r="D68" i="9"/>
  <c r="C24" i="12"/>
  <c r="M18" i="15"/>
  <c r="F32" i="15"/>
  <c r="F60" i="15"/>
  <c r="F30" i="69"/>
  <c r="F32" i="67"/>
  <c r="F60" i="67"/>
  <c r="F31" i="12"/>
  <c r="F28" i="67"/>
  <c r="C28" i="67"/>
  <c r="F30" i="11"/>
  <c r="F30" i="68"/>
  <c r="C40" i="68"/>
  <c r="C40" i="69"/>
  <c r="E237" i="3"/>
  <c r="E395" i="3"/>
  <c r="T7" i="1"/>
  <c r="E175" i="3"/>
  <c r="E305" i="3"/>
  <c r="E347" i="3"/>
  <c r="E399" i="3"/>
  <c r="E124" i="3"/>
  <c r="E397" i="3"/>
  <c r="E568" i="3"/>
  <c r="I6" i="3"/>
  <c r="E536" i="3"/>
  <c r="E549" i="3"/>
  <c r="E453" i="3"/>
  <c r="E368" i="3"/>
  <c r="E244" i="3"/>
  <c r="E196" i="3"/>
  <c r="E13" i="6"/>
  <c r="E12" i="6"/>
  <c r="E8" i="6"/>
  <c r="O7" i="1"/>
  <c r="P7" i="1"/>
  <c r="AR7" i="1"/>
  <c r="H16" i="1"/>
  <c r="Q16" i="1"/>
  <c r="D9" i="68"/>
  <c r="C9" i="68"/>
  <c r="T9" i="1"/>
  <c r="E59" i="40"/>
  <c r="AQ9" i="1"/>
  <c r="D9" i="69"/>
  <c r="C9" i="69"/>
  <c r="P14" i="1"/>
  <c r="O11" i="1"/>
  <c r="P11" i="1"/>
  <c r="O12" i="1"/>
  <c r="P12" i="1"/>
  <c r="E30" i="6"/>
  <c r="K15" i="1"/>
  <c r="K16" i="1"/>
  <c r="O9" i="1"/>
  <c r="P9" i="1"/>
  <c r="E60" i="40"/>
  <c r="E65" i="39"/>
  <c r="O8" i="1"/>
  <c r="D19" i="11"/>
  <c r="C19" i="11"/>
  <c r="D14" i="12"/>
  <c r="D17" i="12"/>
  <c r="C17" i="12"/>
  <c r="B118" i="9"/>
  <c r="B14" i="74"/>
  <c r="B1" i="74"/>
  <c r="E56" i="40"/>
  <c r="B113" i="43"/>
  <c r="G101" i="43"/>
  <c r="C101" i="43"/>
  <c r="J101" i="43"/>
  <c r="N104" i="46"/>
  <c r="L101" i="43"/>
  <c r="H101" i="43"/>
  <c r="G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G16" i="1"/>
  <c r="F10" i="40"/>
  <c r="D127" i="9"/>
  <c r="D13" i="52"/>
  <c r="I14" i="74"/>
  <c r="B8" i="74"/>
  <c r="D12" i="52"/>
  <c r="D10" i="52"/>
  <c r="D125" i="9"/>
  <c r="D11" i="52"/>
  <c r="H14" i="74"/>
  <c r="B7" i="74"/>
  <c r="D19" i="53"/>
  <c r="D17" i="53"/>
  <c r="B36" i="72"/>
  <c r="G52" i="33"/>
  <c r="H52" i="33"/>
  <c r="R49" i="33"/>
  <c r="U7" i="33"/>
  <c r="I59" i="34"/>
  <c r="J59" i="34"/>
  <c r="K59" i="34"/>
  <c r="L59" i="34"/>
  <c r="M59" i="34"/>
  <c r="N59" i="34"/>
  <c r="O59" i="34"/>
  <c r="G48" i="35"/>
  <c r="H48" i="35"/>
  <c r="I48" i="35"/>
  <c r="J48" i="35"/>
  <c r="K48" i="35"/>
  <c r="L48" i="35"/>
  <c r="M48" i="35"/>
  <c r="N48" i="35"/>
  <c r="O48" i="35"/>
  <c r="E46" i="36"/>
  <c r="F46" i="36"/>
  <c r="G46" i="36"/>
  <c r="H46" i="36"/>
  <c r="I46" i="36"/>
  <c r="J46" i="36"/>
  <c r="K46" i="36"/>
  <c r="L46" i="36"/>
  <c r="M46" i="36"/>
  <c r="N46" i="36"/>
  <c r="O46" i="36"/>
  <c r="D58" i="21"/>
  <c r="E58" i="21"/>
  <c r="F58" i="21"/>
  <c r="G58" i="21"/>
  <c r="H58" i="21"/>
  <c r="I58" i="21"/>
  <c r="J58" i="21"/>
  <c r="K58" i="21"/>
  <c r="L58" i="21"/>
  <c r="M58" i="21"/>
  <c r="N58" i="21"/>
  <c r="O58" i="21"/>
  <c r="H52" i="37"/>
  <c r="I52" i="37"/>
  <c r="J52" i="37"/>
  <c r="K52" i="37"/>
  <c r="L52" i="37"/>
  <c r="M52" i="37"/>
  <c r="N52" i="37"/>
  <c r="O52" i="37"/>
  <c r="C70" i="39"/>
  <c r="D68" i="39"/>
  <c r="F6" i="71"/>
  <c r="F5" i="71"/>
  <c r="Y5" i="71"/>
  <c r="Z5" i="71"/>
  <c r="B7" i="49"/>
  <c r="C4" i="4"/>
  <c r="E7" i="49"/>
  <c r="B15" i="49"/>
  <c r="AB3" i="71"/>
  <c r="X3" i="71"/>
  <c r="E6" i="71"/>
  <c r="E5" i="71"/>
  <c r="E10" i="49"/>
  <c r="B6" i="49"/>
  <c r="E14" i="49"/>
  <c r="AF3" i="71"/>
  <c r="P24" i="43"/>
  <c r="B66" i="40"/>
  <c r="P23" i="43"/>
  <c r="B71" i="39"/>
  <c r="P21" i="43"/>
  <c r="P22" i="43"/>
  <c r="C23" i="12"/>
  <c r="B13" i="49"/>
  <c r="E4" i="4"/>
  <c r="B5" i="62"/>
  <c r="B73" i="72"/>
  <c r="B4" i="49"/>
  <c r="B9" i="49"/>
  <c r="E22" i="49"/>
  <c r="E16" i="49"/>
  <c r="E11" i="49"/>
  <c r="B10" i="49"/>
  <c r="E6" i="49"/>
  <c r="E8" i="49"/>
  <c r="E5" i="49"/>
  <c r="B8" i="49"/>
  <c r="B5" i="49"/>
  <c r="E21" i="49"/>
  <c r="E4" i="49"/>
  <c r="B11" i="49"/>
  <c r="B14" i="49"/>
  <c r="B16" i="49"/>
  <c r="E13" i="49"/>
  <c r="E15" i="49"/>
  <c r="E9" i="49"/>
  <c r="B22" i="49"/>
  <c r="F71" i="67"/>
  <c r="F66" i="15"/>
  <c r="B10" i="70"/>
  <c r="F68" i="67"/>
  <c r="F66" i="67"/>
  <c r="N59" i="15"/>
  <c r="L59" i="15"/>
  <c r="M59" i="15"/>
  <c r="F65" i="15"/>
  <c r="B13" i="70"/>
  <c r="E20" i="43"/>
  <c r="B8" i="70"/>
  <c r="C34" i="67"/>
  <c r="F63" i="67"/>
  <c r="C62" i="67"/>
  <c r="B7" i="70"/>
  <c r="F69" i="67"/>
  <c r="J20" i="67"/>
  <c r="F65" i="67"/>
  <c r="Q71" i="15"/>
  <c r="F51" i="67"/>
  <c r="B11" i="70"/>
  <c r="I1" i="73"/>
  <c r="B39" i="1"/>
  <c r="C27" i="15"/>
  <c r="F64" i="15"/>
  <c r="I54" i="67"/>
  <c r="J57" i="67"/>
  <c r="J55" i="67"/>
  <c r="J58" i="67"/>
  <c r="Q50" i="67"/>
  <c r="L56" i="67"/>
  <c r="C27" i="67"/>
  <c r="B12" i="70"/>
  <c r="B9" i="70"/>
  <c r="K1" i="73"/>
  <c r="F31" i="15"/>
  <c r="F59" i="15"/>
  <c r="M17" i="67"/>
  <c r="M17" i="15"/>
  <c r="F59" i="67"/>
  <c r="F31" i="67"/>
  <c r="C76" i="67"/>
  <c r="F6" i="67"/>
  <c r="M8" i="15"/>
  <c r="M24" i="15"/>
  <c r="F6" i="15"/>
  <c r="C16" i="67"/>
  <c r="C14" i="67"/>
  <c r="M28" i="15"/>
  <c r="M24" i="67"/>
  <c r="F42" i="67"/>
  <c r="C17" i="67"/>
  <c r="F43" i="15"/>
  <c r="F9" i="67"/>
  <c r="L47" i="67"/>
  <c r="M22" i="15"/>
  <c r="F13" i="15"/>
  <c r="L48" i="15"/>
  <c r="M28" i="67"/>
  <c r="F8" i="15"/>
  <c r="M26" i="15"/>
  <c r="F36" i="67"/>
  <c r="M27" i="15"/>
  <c r="M9" i="15"/>
  <c r="F40" i="15"/>
  <c r="F7" i="67"/>
  <c r="F9" i="15"/>
  <c r="F7" i="15"/>
  <c r="M29" i="15"/>
  <c r="G1" i="73"/>
  <c r="J15" i="67"/>
  <c r="U31" i="34"/>
  <c r="E63" i="40"/>
  <c r="D65" i="40"/>
  <c r="H7" i="37"/>
  <c r="F7" i="36"/>
  <c r="S7" i="36"/>
  <c r="F7" i="35"/>
  <c r="AC7" i="33"/>
  <c r="V48" i="33"/>
  <c r="I48" i="33"/>
  <c r="G53" i="33"/>
  <c r="H53" i="33"/>
  <c r="C31" i="12"/>
  <c r="C36" i="68"/>
  <c r="W29" i="34"/>
  <c r="AC29" i="34"/>
  <c r="S31" i="34"/>
  <c r="AA31" i="34"/>
  <c r="F70" i="67"/>
  <c r="F51" i="15"/>
  <c r="C6" i="67"/>
  <c r="F68" i="15"/>
  <c r="L59" i="67"/>
  <c r="Q61" i="67"/>
  <c r="N59" i="67"/>
  <c r="M59" i="67"/>
  <c r="L58" i="67"/>
  <c r="Q60" i="67"/>
  <c r="J57" i="15"/>
  <c r="J55" i="15"/>
  <c r="J58" i="15"/>
  <c r="Q50" i="15"/>
  <c r="L56" i="15"/>
  <c r="L58" i="15"/>
  <c r="Q60" i="15"/>
  <c r="I54" i="15"/>
  <c r="J53" i="15"/>
  <c r="Q52" i="15"/>
  <c r="F64" i="67"/>
  <c r="M7" i="67"/>
  <c r="J6" i="67"/>
  <c r="F50" i="67"/>
  <c r="C49" i="67"/>
  <c r="Q71" i="67"/>
  <c r="B8" i="71"/>
  <c r="B7" i="71"/>
  <c r="B6" i="71"/>
  <c r="B5" i="71"/>
  <c r="S9" i="71"/>
  <c r="AC39" i="40"/>
  <c r="W39" i="40"/>
  <c r="AB38" i="40"/>
  <c r="U38" i="40"/>
  <c r="AA38" i="40"/>
  <c r="S38" i="40"/>
  <c r="AB34" i="35"/>
  <c r="U34" i="35"/>
  <c r="AB43" i="34"/>
  <c r="U43" i="34"/>
  <c r="H7" i="34"/>
  <c r="U7" i="34"/>
  <c r="D37" i="11"/>
  <c r="C37" i="11"/>
  <c r="D3" i="21"/>
  <c r="E136" i="3"/>
  <c r="E262" i="3"/>
  <c r="E296" i="3"/>
  <c r="E306" i="3"/>
  <c r="E434" i="3"/>
  <c r="AK6" i="3"/>
  <c r="E16" i="3"/>
  <c r="E511" i="3"/>
  <c r="E314" i="3"/>
  <c r="E293" i="3"/>
  <c r="E280" i="3"/>
  <c r="AA6" i="3"/>
  <c r="E508" i="3"/>
  <c r="E343" i="3"/>
  <c r="E506" i="3"/>
  <c r="E277" i="3"/>
  <c r="C8" i="71"/>
  <c r="T9" i="71"/>
  <c r="D9" i="71"/>
  <c r="U9" i="71"/>
  <c r="F51" i="71"/>
  <c r="Q52" i="71"/>
  <c r="D17" i="71"/>
  <c r="T17" i="71"/>
  <c r="D37" i="71"/>
  <c r="T37" i="71"/>
  <c r="C21" i="71"/>
  <c r="D20" i="71"/>
  <c r="U39" i="40"/>
  <c r="AB39" i="40"/>
  <c r="AC38" i="40"/>
  <c r="W38" i="40"/>
  <c r="AC36" i="35"/>
  <c r="W36" i="35"/>
  <c r="AA34" i="35"/>
  <c r="S34" i="35"/>
  <c r="E16" i="6"/>
  <c r="F50" i="15"/>
  <c r="M7" i="15"/>
  <c r="J6" i="15"/>
  <c r="C6" i="15"/>
  <c r="F71" i="15"/>
  <c r="S21" i="34"/>
  <c r="B4" i="62"/>
  <c r="B71" i="72"/>
  <c r="K4" i="4"/>
  <c r="B46" i="48"/>
  <c r="B4" i="72"/>
  <c r="E530" i="3"/>
  <c r="E97" i="3"/>
  <c r="AD6" i="3"/>
  <c r="E156" i="3"/>
  <c r="E514" i="3"/>
  <c r="W21" i="34"/>
  <c r="AC21" i="34"/>
  <c r="F1" i="15"/>
  <c r="F7" i="37"/>
  <c r="S7" i="37"/>
  <c r="J7" i="37"/>
  <c r="F7" i="21"/>
  <c r="S7" i="21"/>
  <c r="J7" i="21"/>
  <c r="J7" i="36"/>
  <c r="W7" i="36"/>
  <c r="H7" i="36"/>
  <c r="J7" i="35"/>
  <c r="AC7" i="35"/>
  <c r="V38" i="35"/>
  <c r="I38" i="35"/>
  <c r="H7" i="35"/>
  <c r="J7" i="34"/>
  <c r="W7" i="34"/>
  <c r="F7" i="34"/>
  <c r="S7" i="34"/>
  <c r="E191" i="3"/>
  <c r="E159" i="3"/>
  <c r="E245" i="3"/>
  <c r="E301" i="3"/>
  <c r="E263" i="3"/>
  <c r="E303" i="3"/>
  <c r="E382" i="3"/>
  <c r="E350" i="3"/>
  <c r="E423" i="3"/>
  <c r="E402" i="3"/>
  <c r="E578" i="3"/>
  <c r="E586" i="3"/>
  <c r="AI6" i="3"/>
  <c r="AN6" i="3"/>
  <c r="E518" i="3"/>
  <c r="E495" i="3"/>
  <c r="E385" i="3"/>
  <c r="E353" i="3"/>
  <c r="E128" i="3"/>
  <c r="E165" i="3"/>
  <c r="E246" i="3"/>
  <c r="E336" i="3"/>
  <c r="X6" i="3"/>
  <c r="E583" i="3"/>
  <c r="E328" i="3"/>
  <c r="E426" i="3"/>
  <c r="E153" i="3"/>
  <c r="E501" i="3"/>
  <c r="E319" i="3"/>
  <c r="E53" i="3"/>
  <c r="E338" i="3"/>
  <c r="S6" i="3"/>
  <c r="E555" i="3"/>
  <c r="E552" i="3"/>
  <c r="E133" i="3"/>
  <c r="E122" i="3"/>
  <c r="E387" i="3"/>
  <c r="E431" i="3"/>
  <c r="E205" i="3"/>
  <c r="E227" i="3"/>
  <c r="E352" i="3"/>
  <c r="E461" i="3"/>
  <c r="E510" i="3"/>
  <c r="E567" i="3"/>
  <c r="E545" i="3"/>
  <c r="E539" i="3"/>
  <c r="E329" i="3"/>
  <c r="AJ6" i="3"/>
  <c r="N6" i="3"/>
  <c r="E322" i="3"/>
  <c r="E282" i="3"/>
  <c r="E268" i="3"/>
  <c r="E553" i="3"/>
  <c r="E526" i="3"/>
  <c r="E366" i="3"/>
  <c r="E217" i="3"/>
  <c r="E125" i="3"/>
  <c r="E418" i="3"/>
  <c r="E523" i="3"/>
  <c r="E390" i="3"/>
  <c r="E337" i="3"/>
  <c r="E550" i="3"/>
  <c r="E114" i="3"/>
  <c r="E542" i="3"/>
  <c r="E312" i="3"/>
  <c r="E177" i="3"/>
  <c r="E120" i="3"/>
  <c r="E148" i="3"/>
  <c r="E215" i="3"/>
  <c r="M6" i="3"/>
  <c r="E201" i="3"/>
  <c r="E17" i="3"/>
  <c r="AY6" i="3"/>
  <c r="E439" i="3"/>
  <c r="E538" i="3"/>
  <c r="E561" i="3"/>
  <c r="AR6" i="3"/>
  <c r="E533" i="3"/>
  <c r="E270" i="3"/>
  <c r="E143" i="3"/>
  <c r="E410" i="3"/>
  <c r="E388" i="3"/>
  <c r="E260" i="3"/>
  <c r="E415" i="3"/>
  <c r="E502" i="3"/>
  <c r="R6" i="3"/>
  <c r="E499" i="3"/>
  <c r="E575" i="3"/>
  <c r="E286" i="3"/>
  <c r="E193" i="3"/>
  <c r="E224" i="3"/>
  <c r="E45" i="3"/>
  <c r="E89" i="3"/>
  <c r="E269" i="3"/>
  <c r="E236" i="3"/>
  <c r="E189" i="3"/>
  <c r="E335" i="3"/>
  <c r="AB6" i="3"/>
  <c r="E570" i="3"/>
  <c r="E311" i="3"/>
  <c r="E247" i="3"/>
  <c r="E509" i="3"/>
  <c r="E565" i="3"/>
  <c r="E579" i="3"/>
  <c r="E302" i="3"/>
  <c r="E213" i="3"/>
  <c r="E261" i="3"/>
  <c r="AT6" i="3"/>
  <c r="E285" i="3"/>
  <c r="E359" i="3"/>
  <c r="E574" i="3"/>
  <c r="O6" i="3"/>
  <c r="E535" i="3"/>
  <c r="E445" i="3"/>
  <c r="E172" i="3"/>
  <c r="E563" i="3"/>
  <c r="E278" i="3"/>
  <c r="E69" i="3"/>
  <c r="E515" i="3"/>
  <c r="AG6" i="3"/>
  <c r="U6" i="3"/>
  <c r="Z6" i="3"/>
  <c r="E585" i="3"/>
  <c r="E576" i="3"/>
  <c r="E379" i="3"/>
  <c r="E327" i="3"/>
  <c r="E105" i="3"/>
  <c r="E173" i="3"/>
  <c r="E116" i="3"/>
  <c r="E197" i="3"/>
  <c r="E238" i="3"/>
  <c r="E223" i="3"/>
  <c r="E85" i="3"/>
  <c r="E140" i="3"/>
  <c r="E157" i="3"/>
  <c r="E181" i="3"/>
  <c r="E228" i="3"/>
  <c r="E188" i="3"/>
  <c r="E99" i="3"/>
  <c r="E130" i="3"/>
  <c r="E230" i="3"/>
  <c r="E294" i="3"/>
  <c r="E320" i="3"/>
  <c r="E407" i="3"/>
  <c r="V6" i="3"/>
  <c r="E551" i="3"/>
  <c r="E559" i="3"/>
  <c r="E358" i="3"/>
  <c r="E151" i="3"/>
  <c r="E229" i="3"/>
  <c r="E396" i="3"/>
  <c r="E569" i="3"/>
  <c r="E516" i="3"/>
  <c r="E239" i="3"/>
  <c r="E503" i="3"/>
  <c r="E361" i="3"/>
  <c r="E183" i="3"/>
  <c r="E528" i="3"/>
  <c r="M6" i="1"/>
  <c r="C34" i="69"/>
  <c r="E380" i="3"/>
  <c r="E231" i="3"/>
  <c r="E216" i="3"/>
  <c r="E185" i="3"/>
  <c r="E61" i="3"/>
  <c r="E135" i="3"/>
  <c r="E290" i="3"/>
  <c r="E161" i="3"/>
  <c r="E117" i="3"/>
  <c r="E207" i="3"/>
  <c r="E252" i="3"/>
  <c r="E271" i="3"/>
  <c r="E204" i="3"/>
  <c r="E145" i="3"/>
  <c r="E164" i="3"/>
  <c r="E107" i="3"/>
  <c r="E313" i="3"/>
  <c r="E330" i="3"/>
  <c r="E519" i="3"/>
  <c r="K6" i="3"/>
  <c r="E532" i="3"/>
  <c r="Q6" i="3"/>
  <c r="E573" i="3"/>
  <c r="E560"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298" i="3"/>
  <c r="E134" i="3"/>
  <c r="E91" i="3"/>
  <c r="E180" i="3"/>
  <c r="E77" i="3"/>
  <c r="E253" i="3"/>
  <c r="E199" i="3"/>
  <c r="E393" i="3"/>
  <c r="E493" i="3"/>
  <c r="E564" i="3"/>
  <c r="E543"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21" i="3"/>
  <c r="E169" i="3"/>
  <c r="E254" i="3"/>
  <c r="E221" i="3"/>
  <c r="E149" i="3"/>
  <c r="E212" i="3"/>
  <c r="E167" i="3"/>
  <c r="E141" i="3"/>
  <c r="E369" i="3"/>
  <c r="E525" i="3"/>
  <c r="E534" i="3"/>
  <c r="T6"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3" i="33"/>
  <c r="C17" i="4"/>
  <c r="B4" i="52"/>
  <c r="B43" i="72"/>
  <c r="D3" i="34"/>
  <c r="D3" i="37"/>
  <c r="C30" i="68"/>
  <c r="C48" i="68"/>
  <c r="C48" i="11"/>
  <c r="C30" i="11"/>
  <c r="C30" i="69"/>
  <c r="C48" i="69"/>
  <c r="C14" i="12"/>
  <c r="C10" i="69"/>
  <c r="C8" i="69"/>
  <c r="C5" i="69"/>
  <c r="D19" i="69"/>
  <c r="C19" i="69"/>
  <c r="D20" i="12"/>
  <c r="C20" i="12"/>
  <c r="C18" i="12"/>
  <c r="AY87" i="3"/>
  <c r="AY51" i="3"/>
  <c r="AY34" i="3"/>
  <c r="AY207" i="3"/>
  <c r="AY144" i="3"/>
  <c r="AY124" i="3"/>
  <c r="AY95" i="3"/>
  <c r="AY42" i="3"/>
  <c r="AY152" i="3"/>
  <c r="AY281" i="3"/>
  <c r="AY111" i="3"/>
  <c r="AY168" i="3"/>
  <c r="AY253" i="3"/>
  <c r="AY236" i="3"/>
  <c r="AY382" i="3"/>
  <c r="AY366" i="3"/>
  <c r="AY303" i="3"/>
  <c r="AY473"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83" i="3"/>
  <c r="AY23" i="3"/>
  <c r="AY155" i="3"/>
  <c r="AY59" i="3"/>
  <c r="AY131" i="3"/>
  <c r="AY58" i="3"/>
  <c r="AY268" i="3"/>
  <c r="AY371" i="3"/>
  <c r="AY318"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50" i="3"/>
  <c r="AY218" i="3"/>
  <c r="AY396" i="3"/>
  <c r="AY385" i="3"/>
  <c r="AY361" i="3"/>
  <c r="AY352" i="3"/>
  <c r="AY337" i="3"/>
  <c r="AY321" i="3"/>
  <c r="AY66" i="3"/>
  <c r="AY176" i="3"/>
  <c r="AY115" i="3"/>
  <c r="AY188" i="3"/>
  <c r="AY276" i="3"/>
  <c r="AY297" i="3"/>
  <c r="AY225" i="3"/>
  <c r="AY335"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34" i="3"/>
  <c r="AY380" i="3"/>
  <c r="AY364" i="3"/>
  <c r="AY329"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23" i="3"/>
  <c r="AY369" i="3"/>
  <c r="AY345" i="3"/>
  <c r="AY313" i="3"/>
  <c r="AY344" i="3"/>
  <c r="AY328" i="3"/>
  <c r="AY312" i="3"/>
  <c r="AY487" i="3"/>
  <c r="AY471" i="3"/>
  <c r="AY484" i="3"/>
  <c r="AY468" i="3"/>
  <c r="AY453" i="3"/>
  <c r="AY458" i="3"/>
  <c r="AY442" i="3"/>
  <c r="AY426" i="3"/>
  <c r="AY410" i="3"/>
  <c r="AY439" i="3"/>
  <c r="AY423" i="3"/>
  <c r="AY407" i="3"/>
  <c r="AY579" i="3"/>
  <c r="AY506" i="3"/>
  <c r="AY499" i="3"/>
  <c r="AY14" i="3"/>
  <c r="D3" i="6"/>
  <c r="D12"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0" i="11"/>
  <c r="C10" i="11"/>
  <c r="D10" i="68"/>
  <c r="D22" i="43"/>
  <c r="E62" i="39"/>
  <c r="E57" i="40"/>
  <c r="AC6" i="3"/>
  <c r="E51" i="40"/>
  <c r="F27" i="6"/>
  <c r="E56" i="39"/>
  <c r="D8" i="6"/>
  <c r="E58" i="40"/>
  <c r="D13" i="6"/>
  <c r="E63" i="39"/>
  <c r="F27" i="68"/>
  <c r="F28" i="12"/>
  <c r="C29" i="12"/>
  <c r="D28" i="12"/>
  <c r="F27" i="11"/>
  <c r="F27" i="69"/>
  <c r="C20" i="11"/>
  <c r="C28" i="11"/>
  <c r="C27" i="11"/>
  <c r="P8" i="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F10" i="39"/>
  <c r="AA10" i="39"/>
  <c r="H10" i="39"/>
  <c r="AB10" i="39"/>
  <c r="J10" i="39"/>
  <c r="AC10" i="39"/>
  <c r="J10" i="40"/>
  <c r="AC10" i="40"/>
  <c r="H10" i="40"/>
  <c r="U10" i="40"/>
  <c r="C7" i="74"/>
  <c r="C8" i="74"/>
  <c r="B38" i="72"/>
  <c r="D20" i="53"/>
  <c r="B40" i="72"/>
  <c r="AA10" i="40"/>
  <c r="S10" i="40"/>
  <c r="U7" i="37"/>
  <c r="AB7" i="37"/>
  <c r="T42" i="37"/>
  <c r="G42" i="37"/>
  <c r="AB7" i="21"/>
  <c r="T48" i="21"/>
  <c r="G48" i="21"/>
  <c r="U7" i="21"/>
  <c r="AA7" i="36"/>
  <c r="R36" i="36"/>
  <c r="AA7" i="35"/>
  <c r="R38" i="35"/>
  <c r="S7" i="35"/>
  <c r="AB7" i="34"/>
  <c r="T49" i="34"/>
  <c r="G49" i="34"/>
  <c r="C49" i="33"/>
  <c r="B2" i="33"/>
  <c r="B3" i="33"/>
  <c r="C48" i="33"/>
  <c r="E68" i="39"/>
  <c r="D70" i="39"/>
  <c r="AA7" i="37"/>
  <c r="R42" i="37"/>
  <c r="W7" i="37"/>
  <c r="AC7" i="37"/>
  <c r="V42" i="37"/>
  <c r="I42" i="37"/>
  <c r="AA7" i="21"/>
  <c r="R48" i="21"/>
  <c r="AC7" i="21"/>
  <c r="V48" i="21"/>
  <c r="I48" i="21"/>
  <c r="W7" i="21"/>
  <c r="AC7" i="36"/>
  <c r="V36" i="36"/>
  <c r="I36" i="36"/>
  <c r="AB7" i="36"/>
  <c r="T36" i="36"/>
  <c r="G36" i="36"/>
  <c r="U7" i="36"/>
  <c r="W7" i="35"/>
  <c r="AB7" i="35"/>
  <c r="T38" i="35"/>
  <c r="G38" i="35"/>
  <c r="U7" i="35"/>
  <c r="I53" i="33"/>
  <c r="J53" i="33"/>
  <c r="AC7" i="34"/>
  <c r="V49" i="34"/>
  <c r="I49" i="34"/>
  <c r="AA7" i="34"/>
  <c r="E53" i="33"/>
  <c r="F53" i="33"/>
  <c r="E52" i="33"/>
  <c r="F52" i="33"/>
  <c r="P25" i="43"/>
  <c r="B40" i="1"/>
  <c r="C18" i="67"/>
  <c r="C15" i="67"/>
  <c r="M11" i="15"/>
  <c r="F11" i="67"/>
  <c r="F11" i="15"/>
  <c r="M11" i="67"/>
  <c r="J10" i="67"/>
  <c r="P17" i="43"/>
  <c r="M17" i="43"/>
  <c r="N17" i="43"/>
  <c r="O17" i="43"/>
  <c r="Q74" i="15"/>
  <c r="Q61" i="15"/>
  <c r="C16" i="15"/>
  <c r="AE6" i="1"/>
  <c r="Q74" i="67"/>
  <c r="Q73" i="15"/>
  <c r="C49" i="15"/>
  <c r="I52" i="33"/>
  <c r="J52" i="33"/>
  <c r="E65" i="40"/>
  <c r="F63" i="40"/>
  <c r="Q73" i="67"/>
  <c r="J10" i="15"/>
  <c r="J5" i="15"/>
  <c r="J24" i="15"/>
  <c r="J5" i="67"/>
  <c r="J26" i="67"/>
  <c r="J29" i="67"/>
  <c r="R49" i="34"/>
  <c r="R50" i="34"/>
  <c r="D21" i="71"/>
  <c r="T21" i="71"/>
  <c r="Q51" i="71"/>
  <c r="Q50" i="71"/>
  <c r="C7" i="71"/>
  <c r="D8" i="71"/>
  <c r="W10" i="39"/>
  <c r="D37" i="69"/>
  <c r="C37" i="69"/>
  <c r="AY98" i="3"/>
  <c r="AY82" i="3"/>
  <c r="AY18" i="3"/>
  <c r="AY191" i="3"/>
  <c r="AY171" i="3"/>
  <c r="AY132" i="3"/>
  <c r="AY90" i="3"/>
  <c r="AY31" i="3"/>
  <c r="AY163" i="3"/>
  <c r="AY292" i="3"/>
  <c r="AY75" i="3"/>
  <c r="AY147" i="3"/>
  <c r="AY237" i="3"/>
  <c r="AY220" i="3"/>
  <c r="AY387" i="3"/>
  <c r="AY350" i="3"/>
  <c r="AY334" i="3"/>
  <c r="AY486" i="3"/>
  <c r="AY103" i="3"/>
  <c r="AY67" i="3"/>
  <c r="AY50" i="3"/>
  <c r="AY196" i="3"/>
  <c r="AY160" i="3"/>
  <c r="AY139" i="3"/>
  <c r="AY289" i="3"/>
  <c r="AY74" i="3"/>
  <c r="AY183" i="3"/>
  <c r="AY123" i="3"/>
  <c r="AY261" i="3"/>
  <c r="AY204" i="3"/>
  <c r="AY284" i="3"/>
  <c r="AY252" i="3"/>
  <c r="AY209" i="3"/>
  <c r="AY363" i="3"/>
  <c r="AY319" i="3"/>
  <c r="AY489" i="3"/>
  <c r="H6" i="3"/>
  <c r="E6" i="3"/>
  <c r="U10" i="39"/>
  <c r="C38" i="69"/>
  <c r="C35" i="69"/>
  <c r="O6" i="1"/>
  <c r="M16" i="1"/>
  <c r="C20" i="69"/>
  <c r="C28" i="69"/>
  <c r="C27" i="69"/>
  <c r="D19" i="6"/>
  <c r="M19" i="9"/>
  <c r="C118" i="9"/>
  <c r="C14" i="74"/>
  <c r="B2" i="74"/>
  <c r="D15" i="6"/>
  <c r="D23" i="6"/>
  <c r="D10" i="6"/>
  <c r="E61" i="40"/>
  <c r="D25" i="6"/>
  <c r="D22" i="6"/>
  <c r="D14" i="6"/>
  <c r="D9" i="6"/>
  <c r="D28" i="6"/>
  <c r="D29" i="6"/>
  <c r="D11" i="6"/>
  <c r="D20" i="6"/>
  <c r="D21" i="6"/>
  <c r="D26" i="6"/>
  <c r="D6" i="6"/>
  <c r="D5" i="6"/>
  <c r="D24" i="6"/>
  <c r="C18" i="4"/>
  <c r="C10" i="68"/>
  <c r="D19" i="68"/>
  <c r="E66" i="39"/>
  <c r="F31" i="6"/>
  <c r="E27" i="6"/>
  <c r="C29" i="11"/>
  <c r="D27" i="11"/>
  <c r="C47" i="11"/>
  <c r="D45" i="11"/>
  <c r="C29" i="68"/>
  <c r="D27" i="68"/>
  <c r="C47" i="68"/>
  <c r="D45" i="68"/>
  <c r="C47" i="69"/>
  <c r="D45" i="69"/>
  <c r="C29" i="69"/>
  <c r="D27" i="69"/>
  <c r="C115" i="43"/>
  <c r="D113" i="43"/>
  <c r="S2" i="43"/>
  <c r="S6" i="43"/>
  <c r="S4" i="43"/>
  <c r="S5" i="43"/>
  <c r="S3" i="43"/>
  <c r="C23" i="43"/>
  <c r="C21" i="43"/>
  <c r="S7" i="43"/>
  <c r="S10" i="39"/>
  <c r="AB10" i="40"/>
  <c r="W10" i="40"/>
  <c r="G42" i="35"/>
  <c r="H42" i="35"/>
  <c r="G43" i="35"/>
  <c r="H43" i="35"/>
  <c r="I42" i="35"/>
  <c r="J42" i="35"/>
  <c r="G40" i="36"/>
  <c r="H40" i="36"/>
  <c r="G41" i="36"/>
  <c r="H41" i="36"/>
  <c r="I52" i="21"/>
  <c r="J52" i="21"/>
  <c r="F68" i="39"/>
  <c r="E70" i="39"/>
  <c r="E38" i="35"/>
  <c r="R39" i="35"/>
  <c r="G52" i="21"/>
  <c r="H52" i="21"/>
  <c r="G53" i="21"/>
  <c r="H53" i="21"/>
  <c r="I53" i="34"/>
  <c r="J53" i="34"/>
  <c r="I40" i="36"/>
  <c r="J40" i="36"/>
  <c r="E48" i="21"/>
  <c r="R49" i="21"/>
  <c r="I46" i="37"/>
  <c r="J46" i="37"/>
  <c r="E42" i="37"/>
  <c r="R43" i="37"/>
  <c r="G53" i="34"/>
  <c r="H53" i="34"/>
  <c r="G54" i="34"/>
  <c r="H54" i="34"/>
  <c r="E36" i="36"/>
  <c r="R37" i="36"/>
  <c r="G46" i="37"/>
  <c r="H46" i="37"/>
  <c r="G47" i="37"/>
  <c r="H47" i="37"/>
  <c r="C19" i="67"/>
  <c r="C20" i="67"/>
  <c r="C26" i="67"/>
  <c r="J24" i="67"/>
  <c r="C53" i="67"/>
  <c r="C48" i="67"/>
  <c r="C10" i="67"/>
  <c r="C5" i="67"/>
  <c r="J18" i="15"/>
  <c r="C53" i="15"/>
  <c r="C48" i="15"/>
  <c r="C10" i="15"/>
  <c r="C5" i="15"/>
  <c r="F24" i="67"/>
  <c r="C24" i="67"/>
  <c r="F22" i="68"/>
  <c r="F22" i="11"/>
  <c r="F22" i="69"/>
  <c r="F25" i="12"/>
  <c r="F24" i="15"/>
  <c r="C24" i="15"/>
  <c r="F41" i="15"/>
  <c r="J18" i="67"/>
  <c r="G63" i="40"/>
  <c r="F65" i="40"/>
  <c r="J26" i="15"/>
  <c r="J29" i="15"/>
  <c r="E49" i="34"/>
  <c r="I54" i="34"/>
  <c r="J54" i="34"/>
  <c r="D7" i="71"/>
  <c r="C6" i="71"/>
  <c r="F69" i="15"/>
  <c r="C33" i="69"/>
  <c r="C39" i="69"/>
  <c r="C43" i="69"/>
  <c r="D16" i="6"/>
  <c r="P6" i="1"/>
  <c r="P16" i="1"/>
  <c r="C11" i="12"/>
  <c r="O16" i="1"/>
  <c r="L16" i="1"/>
  <c r="C34" i="68"/>
  <c r="N16" i="1"/>
  <c r="C34" i="11"/>
  <c r="D27" i="6"/>
  <c r="D30" i="6"/>
  <c r="D7" i="74"/>
  <c r="D8" i="74"/>
  <c r="A7" i="51"/>
  <c r="B7" i="72"/>
  <c r="C4" i="52"/>
  <c r="B45" i="72"/>
  <c r="A10" i="51"/>
  <c r="B9" i="72"/>
  <c r="C19" i="68"/>
  <c r="C24" i="68"/>
  <c r="D37" i="68"/>
  <c r="C37" i="68"/>
  <c r="K19" i="6"/>
  <c r="S6" i="1"/>
  <c r="K26" i="6"/>
  <c r="M26" i="6"/>
  <c r="I26" i="6"/>
  <c r="E31" i="6"/>
  <c r="K22" i="6"/>
  <c r="M22" i="6"/>
  <c r="I22" i="6"/>
  <c r="K23" i="6"/>
  <c r="M23" i="6"/>
  <c r="I23" i="6"/>
  <c r="K24" i="6"/>
  <c r="M24" i="6"/>
  <c r="I24" i="6"/>
  <c r="K21" i="6"/>
  <c r="M21" i="6"/>
  <c r="I21" i="6"/>
  <c r="K25" i="6"/>
  <c r="M25" i="6"/>
  <c r="I25" i="6"/>
  <c r="K20" i="6"/>
  <c r="M20" i="6"/>
  <c r="I20" i="6"/>
  <c r="E40" i="36"/>
  <c r="F40" i="36"/>
  <c r="E41" i="36"/>
  <c r="F41" i="36"/>
  <c r="E47" i="37"/>
  <c r="F47" i="37"/>
  <c r="E46" i="37"/>
  <c r="F46" i="37"/>
  <c r="I47" i="37"/>
  <c r="J47" i="37"/>
  <c r="E52" i="21"/>
  <c r="F52" i="21"/>
  <c r="E53" i="21"/>
  <c r="F53" i="21"/>
  <c r="I41" i="36"/>
  <c r="J41" i="36"/>
  <c r="C50" i="34"/>
  <c r="C49" i="34"/>
  <c r="C38" i="35"/>
  <c r="C39" i="35"/>
  <c r="B2" i="35"/>
  <c r="B3" i="35"/>
  <c r="G68" i="39"/>
  <c r="F70" i="39"/>
  <c r="C36" i="36"/>
  <c r="C37" i="36"/>
  <c r="B2" i="36"/>
  <c r="B3" i="36"/>
  <c r="C42" i="37"/>
  <c r="C43" i="37"/>
  <c r="B2" i="37"/>
  <c r="B3" i="37"/>
  <c r="C48" i="21"/>
  <c r="C49" i="21"/>
  <c r="B2" i="21"/>
  <c r="E43" i="35"/>
  <c r="F43" i="35"/>
  <c r="E42" i="35"/>
  <c r="F42" i="35"/>
  <c r="I53" i="21"/>
  <c r="J53" i="21"/>
  <c r="I43" i="35"/>
  <c r="J43" i="35"/>
  <c r="C23" i="68"/>
  <c r="C26" i="68"/>
  <c r="D22" i="68"/>
  <c r="C44" i="68"/>
  <c r="D41" i="68"/>
  <c r="C38" i="15"/>
  <c r="C32" i="15"/>
  <c r="C26" i="12"/>
  <c r="D25" i="12"/>
  <c r="C44" i="11"/>
  <c r="D41" i="11"/>
  <c r="C23" i="11"/>
  <c r="C26" i="11"/>
  <c r="D22" i="11"/>
  <c r="C24" i="11"/>
  <c r="C25" i="11"/>
  <c r="C23" i="67"/>
  <c r="C29" i="67"/>
  <c r="C66" i="15"/>
  <c r="C60" i="15"/>
  <c r="C60" i="67"/>
  <c r="C66" i="67"/>
  <c r="C44" i="69"/>
  <c r="D41" i="69"/>
  <c r="C23" i="69"/>
  <c r="C25" i="69"/>
  <c r="C26" i="69"/>
  <c r="D22" i="69"/>
  <c r="C24" i="69"/>
  <c r="C38" i="67"/>
  <c r="C32" i="67"/>
  <c r="C17" i="15"/>
  <c r="B2" i="34"/>
  <c r="B3" i="34"/>
  <c r="R24" i="31"/>
  <c r="E53" i="34"/>
  <c r="F53" i="34"/>
  <c r="H63" i="40"/>
  <c r="G65" i="40"/>
  <c r="E54" i="34"/>
  <c r="F54" i="34"/>
  <c r="D6" i="71"/>
  <c r="C5" i="71"/>
  <c r="D5" i="71"/>
  <c r="M20" i="43"/>
  <c r="C19" i="43"/>
  <c r="E6" i="70"/>
  <c r="E2" i="70"/>
  <c r="B3" i="21"/>
  <c r="C46" i="69"/>
  <c r="C45" i="69"/>
  <c r="C42" i="69"/>
  <c r="C41" i="69"/>
  <c r="F50" i="11"/>
  <c r="F50" i="69"/>
  <c r="F50" i="68"/>
  <c r="C12" i="12"/>
  <c r="C15" i="12"/>
  <c r="C35" i="11"/>
  <c r="C38" i="11"/>
  <c r="C38" i="68"/>
  <c r="C35" i="68"/>
  <c r="AQ6" i="1"/>
  <c r="T6" i="1"/>
  <c r="S16" i="1"/>
  <c r="AR6" i="1"/>
  <c r="D31" i="6"/>
  <c r="I6" i="6"/>
  <c r="C20" i="68"/>
  <c r="C25" i="68"/>
  <c r="C22" i="68"/>
  <c r="H20" i="6"/>
  <c r="R20" i="6"/>
  <c r="S20" i="6"/>
  <c r="S21" i="6"/>
  <c r="H21" i="6"/>
  <c r="R21" i="6"/>
  <c r="S23" i="6"/>
  <c r="H23" i="6"/>
  <c r="R23" i="6"/>
  <c r="M19" i="6"/>
  <c r="K27" i="6"/>
  <c r="H25" i="6"/>
  <c r="R25" i="6"/>
  <c r="S25" i="6"/>
  <c r="S24" i="6"/>
  <c r="H24" i="6"/>
  <c r="R24" i="6"/>
  <c r="S22" i="6"/>
  <c r="H22" i="6"/>
  <c r="R22" i="6"/>
  <c r="S26" i="6"/>
  <c r="H26" i="6"/>
  <c r="R26" i="6"/>
  <c r="H68" i="39"/>
  <c r="G70" i="39"/>
  <c r="C22" i="69"/>
  <c r="C31" i="69"/>
  <c r="C33" i="15"/>
  <c r="J59" i="15"/>
  <c r="J60" i="15"/>
  <c r="C22" i="11"/>
  <c r="C31" i="11"/>
  <c r="C33" i="67"/>
  <c r="C31" i="67"/>
  <c r="J14" i="67"/>
  <c r="C57" i="67"/>
  <c r="C13" i="67"/>
  <c r="J19" i="67"/>
  <c r="J17" i="67"/>
  <c r="Q49" i="67"/>
  <c r="C36" i="67"/>
  <c r="J59" i="67"/>
  <c r="J60" i="67"/>
  <c r="C14" i="15"/>
  <c r="S24" i="31"/>
  <c r="R26" i="31"/>
  <c r="S26" i="31"/>
  <c r="R25" i="31"/>
  <c r="S25" i="31"/>
  <c r="I63" i="40"/>
  <c r="H65" i="40"/>
  <c r="C37" i="43"/>
  <c r="T13" i="43"/>
  <c r="V13" i="43"/>
  <c r="C35" i="43"/>
  <c r="T8" i="43"/>
  <c r="V8" i="43"/>
  <c r="C36" i="43"/>
  <c r="T2" i="43"/>
  <c r="V2" i="43"/>
  <c r="C29" i="43"/>
  <c r="T5" i="43"/>
  <c r="V5" i="43"/>
  <c r="C38" i="43"/>
  <c r="T6" i="43"/>
  <c r="V6" i="43"/>
  <c r="T3" i="43"/>
  <c r="V3" i="43"/>
  <c r="C39" i="43"/>
  <c r="T14" i="43"/>
  <c r="V14" i="43"/>
  <c r="C34" i="43"/>
  <c r="T11" i="43"/>
  <c r="V11" i="43"/>
  <c r="T12" i="43"/>
  <c r="V12" i="43"/>
  <c r="T7" i="43"/>
  <c r="V7" i="43"/>
  <c r="C33" i="43"/>
  <c r="T16" i="43"/>
  <c r="V16" i="43"/>
  <c r="T4" i="43"/>
  <c r="V4" i="43"/>
  <c r="T10" i="43"/>
  <c r="V10" i="43"/>
  <c r="T9" i="43"/>
  <c r="V9" i="43"/>
  <c r="T15" i="43"/>
  <c r="V15" i="43"/>
  <c r="C33" i="11"/>
  <c r="C42" i="11"/>
  <c r="C18" i="15"/>
  <c r="C15" i="15"/>
  <c r="T16" i="1"/>
  <c r="C49" i="69"/>
  <c r="C51" i="69"/>
  <c r="C52" i="69"/>
  <c r="B2" i="69"/>
  <c r="B3" i="69"/>
  <c r="C33" i="68"/>
  <c r="C39" i="68"/>
  <c r="C43" i="68"/>
  <c r="C16" i="12"/>
  <c r="C21" i="12"/>
  <c r="I5" i="6"/>
  <c r="C28" i="68"/>
  <c r="C27" i="68"/>
  <c r="C31" i="68"/>
  <c r="I19" i="6"/>
  <c r="M27" i="6"/>
  <c r="I68" i="39"/>
  <c r="H70" i="39"/>
  <c r="Q48" i="67"/>
  <c r="L46" i="67"/>
  <c r="C75" i="67"/>
  <c r="C37" i="67"/>
  <c r="C30" i="67"/>
  <c r="C39" i="67"/>
  <c r="Q70" i="67"/>
  <c r="C56" i="67"/>
  <c r="C65" i="67"/>
  <c r="J13" i="67"/>
  <c r="J23" i="67"/>
  <c r="J22" i="67"/>
  <c r="Q48" i="15"/>
  <c r="C61" i="67"/>
  <c r="C59" i="67"/>
  <c r="C64" i="67"/>
  <c r="S22" i="31"/>
  <c r="J63" i="40"/>
  <c r="I65" i="40"/>
  <c r="G33" i="43"/>
  <c r="I33" i="43"/>
  <c r="E33" i="43"/>
  <c r="G34" i="43"/>
  <c r="I34" i="43"/>
  <c r="E34" i="43"/>
  <c r="G39" i="43"/>
  <c r="I39" i="43"/>
  <c r="E39" i="43"/>
  <c r="E38" i="43"/>
  <c r="G38" i="43"/>
  <c r="I38" i="43"/>
  <c r="E29" i="43"/>
  <c r="C30" i="43"/>
  <c r="E30" i="43"/>
  <c r="C27" i="43"/>
  <c r="G36" i="43"/>
  <c r="I36" i="43"/>
  <c r="E36" i="43"/>
  <c r="G35" i="43"/>
  <c r="I35" i="43"/>
  <c r="E35" i="43"/>
  <c r="G37" i="43"/>
  <c r="I37" i="43"/>
  <c r="E37" i="43"/>
  <c r="C19" i="15"/>
  <c r="C20" i="15"/>
  <c r="C26" i="15"/>
  <c r="C39" i="11"/>
  <c r="C46" i="11"/>
  <c r="C45" i="11"/>
  <c r="C42" i="68"/>
  <c r="C41" i="68"/>
  <c r="C46" i="68"/>
  <c r="C45" i="68"/>
  <c r="C22" i="12"/>
  <c r="C30" i="12"/>
  <c r="C28" i="12"/>
  <c r="C43" i="11"/>
  <c r="C41" i="11"/>
  <c r="H19" i="6"/>
  <c r="L19" i="9"/>
  <c r="I27" i="6"/>
  <c r="S19" i="6"/>
  <c r="S27" i="6"/>
  <c r="J68" i="39"/>
  <c r="I70" i="39"/>
  <c r="J16" i="67"/>
  <c r="J25" i="67"/>
  <c r="C57" i="69"/>
  <c r="C56" i="69"/>
  <c r="C40" i="67"/>
  <c r="Q69" i="67"/>
  <c r="Q68" i="67"/>
  <c r="C58" i="67"/>
  <c r="C67" i="67"/>
  <c r="C68" i="67"/>
  <c r="C80" i="67"/>
  <c r="C79" i="67"/>
  <c r="L51" i="67"/>
  <c r="R22" i="31"/>
  <c r="B21" i="31"/>
  <c r="B20" i="31"/>
  <c r="C26" i="43"/>
  <c r="J65" i="40"/>
  <c r="K63" i="40"/>
  <c r="B2" i="43"/>
  <c r="C49" i="11"/>
  <c r="C51" i="11"/>
  <c r="C52" i="11"/>
  <c r="B2" i="11"/>
  <c r="B3" i="11"/>
  <c r="C23" i="15"/>
  <c r="C29" i="15"/>
  <c r="C49" i="68"/>
  <c r="C51" i="68"/>
  <c r="C52" i="68"/>
  <c r="B2" i="68"/>
  <c r="B3" i="68"/>
  <c r="C27" i="12"/>
  <c r="C25" i="12"/>
  <c r="C32" i="12"/>
  <c r="B2" i="12"/>
  <c r="B3" i="12"/>
  <c r="R19" i="6"/>
  <c r="H27" i="6"/>
  <c r="K68" i="39"/>
  <c r="J70" i="39"/>
  <c r="Q67" i="67"/>
  <c r="L57" i="67"/>
  <c r="L60" i="67"/>
  <c r="C71" i="67"/>
  <c r="C45" i="67"/>
  <c r="C46" i="67"/>
  <c r="Q56" i="67"/>
  <c r="Q47" i="67"/>
  <c r="Q53" i="67"/>
  <c r="Q65" i="67"/>
  <c r="C43" i="67"/>
  <c r="D2" i="67"/>
  <c r="C83" i="67"/>
  <c r="C82" i="67"/>
  <c r="B6" i="76"/>
  <c r="D20" i="9"/>
  <c r="E6" i="76"/>
  <c r="D19" i="9"/>
  <c r="D103" i="9"/>
  <c r="D102" i="9"/>
  <c r="D21" i="9"/>
  <c r="E2" i="76"/>
  <c r="K65" i="40"/>
  <c r="L63" i="40"/>
  <c r="B2" i="76"/>
  <c r="B3" i="43"/>
  <c r="C56" i="11"/>
  <c r="C57" i="11"/>
  <c r="J19" i="15"/>
  <c r="J14" i="15"/>
  <c r="C36" i="15"/>
  <c r="Q49" i="15"/>
  <c r="C57" i="15"/>
  <c r="C13" i="15"/>
  <c r="C57" i="68"/>
  <c r="C56" i="68"/>
  <c r="R27" i="6"/>
  <c r="R6" i="1"/>
  <c r="L68" i="39"/>
  <c r="K70" i="39"/>
  <c r="Q66" i="67"/>
  <c r="Q75" i="67"/>
  <c r="Q57" i="67"/>
  <c r="Q62" i="67"/>
  <c r="B2" i="67"/>
  <c r="B3" i="67"/>
  <c r="F35" i="15"/>
  <c r="M21" i="15"/>
  <c r="B3" i="76"/>
  <c r="M63" i="40"/>
  <c r="L65" i="40"/>
  <c r="C64" i="15"/>
  <c r="C61" i="15"/>
  <c r="Q70" i="15"/>
  <c r="C56" i="15"/>
  <c r="C65" i="15"/>
  <c r="C75" i="15"/>
  <c r="C37" i="15"/>
  <c r="J22" i="15"/>
  <c r="J13" i="15"/>
  <c r="J23" i="15"/>
  <c r="J20" i="15"/>
  <c r="J17" i="15"/>
  <c r="F63" i="15"/>
  <c r="C62" i="15"/>
  <c r="C59" i="15"/>
  <c r="C34" i="15"/>
  <c r="C31" i="15"/>
  <c r="R16" i="1"/>
  <c r="M68" i="39"/>
  <c r="L70" i="39"/>
  <c r="N63" i="40"/>
  <c r="M65" i="40"/>
  <c r="C58" i="15"/>
  <c r="C67" i="15"/>
  <c r="C68" i="15"/>
  <c r="C71" i="15"/>
  <c r="C30" i="15"/>
  <c r="C39" i="15"/>
  <c r="C80" i="15"/>
  <c r="C79" i="15"/>
  <c r="J16" i="15"/>
  <c r="J25" i="15"/>
  <c r="L57" i="15"/>
  <c r="L60" i="15"/>
  <c r="N68" i="39"/>
  <c r="M70" i="39"/>
  <c r="L51" i="15"/>
  <c r="N65" i="40"/>
  <c r="O63" i="40"/>
  <c r="O65" i="40"/>
  <c r="H7" i="40"/>
  <c r="J7" i="40"/>
  <c r="Q67" i="15"/>
  <c r="Q69" i="15"/>
  <c r="Q68" i="15"/>
  <c r="C40" i="15"/>
  <c r="C46" i="15"/>
  <c r="L46" i="15"/>
  <c r="Q66" i="15"/>
  <c r="Q57" i="15"/>
  <c r="O68" i="39"/>
  <c r="O70" i="39"/>
  <c r="N70" i="39"/>
  <c r="AB7" i="40"/>
  <c r="T42" i="40"/>
  <c r="G42" i="40"/>
  <c r="U7" i="40"/>
  <c r="AC7" i="40"/>
  <c r="V42" i="40"/>
  <c r="I42" i="40"/>
  <c r="I46" i="40"/>
  <c r="J46" i="40"/>
  <c r="W7" i="40"/>
  <c r="F7" i="40"/>
  <c r="Q65" i="15"/>
  <c r="Q75" i="15"/>
  <c r="C83" i="15"/>
  <c r="C82" i="15"/>
  <c r="Q56" i="15"/>
  <c r="Q47" i="15"/>
  <c r="Q53" i="15"/>
  <c r="C43" i="15"/>
  <c r="B2" i="15"/>
  <c r="B3" i="15"/>
  <c r="Q62" i="15"/>
  <c r="H7" i="39"/>
  <c r="J7" i="39"/>
  <c r="F7" i="39"/>
  <c r="C20" i="9"/>
  <c r="AO6" i="1"/>
  <c r="C19" i="9"/>
  <c r="AA7" i="40"/>
  <c r="R42" i="40"/>
  <c r="S7" i="40"/>
  <c r="G46" i="40"/>
  <c r="H46" i="40"/>
  <c r="G47" i="40"/>
  <c r="H47" i="40"/>
  <c r="B6" i="70"/>
  <c r="B2" i="70"/>
  <c r="B3" i="70"/>
  <c r="D22" i="9"/>
  <c r="C102" i="9"/>
  <c r="G19" i="9"/>
  <c r="G21" i="9"/>
  <c r="C21" i="9"/>
  <c r="G20" i="9"/>
  <c r="C103" i="9"/>
  <c r="C32" i="9"/>
  <c r="S7" i="39"/>
  <c r="AA7" i="39"/>
  <c r="R47" i="39"/>
  <c r="AB7" i="39"/>
  <c r="T47" i="39"/>
  <c r="G47" i="39"/>
  <c r="U7" i="39"/>
  <c r="AC7" i="39"/>
  <c r="V47" i="39"/>
  <c r="I47" i="39"/>
  <c r="W7" i="39"/>
  <c r="R43" i="40"/>
  <c r="E42" i="40"/>
  <c r="H118" i="9"/>
  <c r="I51" i="39"/>
  <c r="J51" i="39"/>
  <c r="G52" i="39"/>
  <c r="H52" i="39"/>
  <c r="G51" i="39"/>
  <c r="H51" i="39"/>
  <c r="E47" i="39"/>
  <c r="R48" i="39"/>
  <c r="D35" i="9"/>
  <c r="C35" i="9"/>
  <c r="F118" i="9"/>
  <c r="I47" i="40"/>
  <c r="J47" i="40"/>
  <c r="E47" i="40"/>
  <c r="F47" i="40"/>
  <c r="E46" i="40"/>
  <c r="F46" i="40"/>
  <c r="C43" i="40"/>
  <c r="C42" i="40"/>
  <c r="H119" i="9"/>
  <c r="H5" i="52"/>
  <c r="I118" i="9"/>
  <c r="H101" i="9"/>
  <c r="H4" i="52"/>
  <c r="D14" i="74"/>
  <c r="C104" i="9"/>
  <c r="E51" i="39"/>
  <c r="F51" i="39"/>
  <c r="E52" i="39"/>
  <c r="F52" i="39"/>
  <c r="C48" i="39"/>
  <c r="C47" i="39"/>
  <c r="I52" i="39"/>
  <c r="J52" i="39"/>
  <c r="D34" i="9"/>
  <c r="C34" i="9"/>
  <c r="G118" i="9"/>
  <c r="G4" i="52"/>
  <c r="B52" i="72"/>
  <c r="F4" i="52"/>
  <c r="B51" i="72"/>
  <c r="F119" i="9"/>
  <c r="F5" i="52"/>
  <c r="B53" i="72"/>
  <c r="D118" i="9"/>
  <c r="D119" i="9"/>
  <c r="D5" i="52"/>
  <c r="B49" i="72"/>
  <c r="F61" i="40"/>
  <c r="B2" i="40"/>
  <c r="B3" i="40"/>
  <c r="B55" i="40"/>
  <c r="F55" i="40"/>
  <c r="B56" i="40"/>
  <c r="F56" i="40"/>
  <c r="B58" i="40"/>
  <c r="F58" i="40"/>
  <c r="B60" i="40"/>
  <c r="F60" i="40"/>
  <c r="B54" i="40"/>
  <c r="F54" i="40"/>
  <c r="B52" i="40"/>
  <c r="F52" i="40"/>
  <c r="B57" i="40"/>
  <c r="F57" i="40"/>
  <c r="B53" i="40"/>
  <c r="F53" i="40"/>
  <c r="B51" i="40"/>
  <c r="F51" i="40"/>
  <c r="B59" i="40"/>
  <c r="F59" i="40"/>
  <c r="I4" i="52"/>
  <c r="C105" i="9"/>
  <c r="H102" i="9"/>
  <c r="D7" i="53"/>
  <c r="B21" i="72"/>
  <c r="B5" i="74"/>
  <c r="E14" i="74"/>
  <c r="F14" i="74"/>
  <c r="D45" i="9"/>
  <c r="M48" i="9"/>
  <c r="H107" i="9"/>
  <c r="H108" i="9"/>
  <c r="D5" i="53"/>
  <c r="B60" i="39"/>
  <c r="F60" i="39"/>
  <c r="B58" i="39"/>
  <c r="F58" i="39"/>
  <c r="B64" i="39"/>
  <c r="F64" i="39"/>
  <c r="B57" i="39"/>
  <c r="F57" i="39"/>
  <c r="B62" i="39"/>
  <c r="F62" i="39"/>
  <c r="B61" i="39"/>
  <c r="F61" i="39"/>
  <c r="B56" i="39"/>
  <c r="F56" i="39"/>
  <c r="F66" i="39"/>
  <c r="B2" i="39"/>
  <c r="B3" i="39"/>
  <c r="B59" i="39"/>
  <c r="F59" i="39"/>
  <c r="B65" i="39"/>
  <c r="F65" i="39"/>
  <c r="B63" i="39"/>
  <c r="F63" i="39"/>
  <c r="E118" i="9"/>
  <c r="E4" i="52"/>
  <c r="B48" i="72"/>
  <c r="D4" i="52"/>
  <c r="B47" i="72"/>
  <c r="D55" i="9"/>
  <c r="M53" i="9"/>
  <c r="C93" i="9"/>
  <c r="C86" i="9"/>
  <c r="C78" i="9"/>
  <c r="C73" i="9"/>
  <c r="C64" i="9"/>
  <c r="C63" i="9"/>
  <c r="C67" i="9"/>
  <c r="C68" i="9"/>
  <c r="D54" i="9"/>
  <c r="D52" i="9"/>
  <c r="C85" i="9"/>
  <c r="C72" i="9"/>
  <c r="D53" i="9"/>
  <c r="M49" i="9"/>
  <c r="D13" i="53"/>
  <c r="D15" i="53"/>
  <c r="B31" i="72"/>
  <c r="D122" i="9"/>
  <c r="D6" i="53"/>
  <c r="B22" i="72"/>
  <c r="B20" i="72"/>
  <c r="C5" i="74"/>
  <c r="D5" i="74"/>
  <c r="C95" i="9"/>
  <c r="C96" i="9"/>
  <c r="E96" i="9"/>
  <c r="E97" i="9"/>
  <c r="C79" i="9"/>
  <c r="C80" i="9"/>
  <c r="E80" i="9"/>
  <c r="E81" i="9"/>
  <c r="D123" i="9"/>
  <c r="D9" i="52"/>
  <c r="G14" i="74"/>
  <c r="B6" i="74"/>
  <c r="D8" i="52"/>
  <c r="B30" i="72"/>
  <c r="D14" i="53"/>
  <c r="B32" i="72"/>
  <c r="L65" i="9"/>
  <c r="M65" i="9"/>
  <c r="L64" i="9"/>
  <c r="M64" i="9"/>
  <c r="L67" i="9"/>
  <c r="M67" i="9"/>
  <c r="L68" i="9"/>
  <c r="M68" i="9"/>
  <c r="L66" i="9"/>
  <c r="M66" i="9"/>
  <c r="L63" i="9"/>
  <c r="M63" i="9"/>
  <c r="M69" i="9"/>
  <c r="N69" i="9"/>
  <c r="C81" i="9"/>
  <c r="C97" i="9"/>
  <c r="D58" i="9"/>
  <c r="D56" i="9"/>
  <c r="M54" i="9"/>
  <c r="N57" i="9"/>
  <c r="N59" i="9"/>
  <c r="N61" i="9"/>
  <c r="C6" i="74"/>
  <c r="D6" i="74"/>
  <c r="P57" i="9"/>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<sst xmlns="http://schemas.openxmlformats.org/spreadsheetml/2006/main" count="7415" uniqueCount="3142">
  <si>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</si>
  <si>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</si>
  <si>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</si>
  <si>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</si>
  <si>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</si>
  <si>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</si>
  <si>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</si>
  <si>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</si>
  <si>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</si>
  <si>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</si>
  <si>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</si>
  <si>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</si>
  <si>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</si>
  <si>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</si>
  <si>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</si>
  <si>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</si>
  <si>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</si>
  <si>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</si>
  <si>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</si>
  <si>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</si>
  <si>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</si>
  <si>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</si>
  <si>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</si>
  <si>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</si>
  <si>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</si>
  <si>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</si>
  <si>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</si>
  <si>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</si>
  <si>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</si>
  <si>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</si>
  <si>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</si>
  <si>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</si>
  <si>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</si>
  <si>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</si>
  <si>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</si>
  <si>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</si>
  <si>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</si>
  <si>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</si>
  <si>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</si>
  <si>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</si>
  <si>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</si>
  <si>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</si>
  <si>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</si>
  <si>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</si>
  <si>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</si>
  <si>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</si>
  <si>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</si>
  <si>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</si>
  <si>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</si>
  <si>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</si>
  <si>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</si>
  <si>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</si>
  <si>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</si>
  <si>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</si>
  <si>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</si>
  <si>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</si>
  <si>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</si>
  <si>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</si>
  <si>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</si>
  <si>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</si>
  <si>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</si>
  <si>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</si>
  <si>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</si>
  <si>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</si>
  <si>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</si>
  <si>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</si>
  <si>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</si>
  <si>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</si>
  <si>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</si>
  <si>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</si>
  <si>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</si>
  <si>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</si>
  <si>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</si>
  <si>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</si>
  <si>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</si>
  <si>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</si>
  <si>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</si>
  <si>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</si>
  <si>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</si>
  <si>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</si>
  <si>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</si>
  <si>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</si>
  <si>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</si>
  <si>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</si>
  <si>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</si>
  <si>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</si>
  <si>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</si>
  <si>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</si>
  <si>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</si>
  <si>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</si>
  <si>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</si>
  <si>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</si>
  <si>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</si>
  <si>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</si>
  <si>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</si>
  <si>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</si>
  <si>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</si>
  <si>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</si>
  <si>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</si>
  <si>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</si>
  <si>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</si>
  <si>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</si>
  <si>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</si>
  <si>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</si>
  <si>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</si>
  <si>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</si>
  <si>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</si>
  <si>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</si>
  <si>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</si>
  <si>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</si>
  <si>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</si>
  <si>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</si>
  <si>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</si>
  <si>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</si>
  <si>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</si>
  <si>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</si>
  <si>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</si>
  <si>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</si>
  <si>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</si>
  <si>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</si>
  <si>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</si>
  <si>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</si>
  <si>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</si>
  <si>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</si>
  <si>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</si>
  <si>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</si>
  <si>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</si>
  <si>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</si>
  <si>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</si>
  <si>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</si>
  <si>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</si>
  <si>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</si>
  <si>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</si>
  <si>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</si>
  <si>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</si>
  <si>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</si>
  <si>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</si>
  <si>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</si>
  <si>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</si>
  <si>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</si>
  <si>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</si>
  <si>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</si>
  <si>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</si>
  <si>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</si>
  <si>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</si>
  <si>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</si>
  <si>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</si>
  <si>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</si>
  <si>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</si>
  <si>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</si>
  <si>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</si>
  <si>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</si>
  <si>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</si>
  <si>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</si>
  <si>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</si>
  <si>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</si>
  <si>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</si>
  <si>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</si>
  <si>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</si>
  <si>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</si>
  <si>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</si>
  <si>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</si>
  <si>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</si>
  <si>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</si>
  <si>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</si>
  <si>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</si>
  <si>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</si>
  <si>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</si>
  <si>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</si>
  <si>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</si>
  <si>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</si>
  <si>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</si>
  <si>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</si>
  <si>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</si>
  <si>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</si>
  <si>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</si>
  <si>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</si>
  <si>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</si>
  <si>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</si>
  <si>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</si>
  <si>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</si>
  <si>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</si>
  <si>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</si>
  <si>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</si>
  <si>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</si>
  <si>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</si>
  <si>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</si>
  <si>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</si>
  <si>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</si>
  <si>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</si>
  <si>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</si>
  <si>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</si>
  <si>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</si>
  <si>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</si>
  <si>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</si>
  <si>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</si>
  <si>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</si>
  <si>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</si>
  <si>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</si>
  <si>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</si>
  <si>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</si>
  <si>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</si>
  <si>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</si>
  <si>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</si>
  <si>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</si>
  <si>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</si>
  <si>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</si>
  <si>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</si>
  <si>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</si>
  <si>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</si>
  <si>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</si>
  <si>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</si>
  <si>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</si>
  <si>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</si>
  <si>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</si>
  <si>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</si>
  <si>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</si>
  <si>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</si>
  <si>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</si>
  <si>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</si>
  <si>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</si>
  <si>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</si>
  <si>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</si>
  <si>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</si>
  <si>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</si>
  <si>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</si>
  <si>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</si>
  <si>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</si>
  <si>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</si>
  <si>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</si>
  <si>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</si>
  <si>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</si>
  <si>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</si>
  <si>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</si>
  <si>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</si>
  <si>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</si>
  <si>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</si>
  <si>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</si>
  <si>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</si>
  <si>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</si>
  <si>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</si>
  <si>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</si>
  <si>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</si>
  <si>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</si>
  <si>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</si>
  <si>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</si>
  <si>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</si>
  <si>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</si>
  <si>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</si>
  <si>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</si>
  <si>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</si>
  <si>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</si>
  <si>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</si>
  <si>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</si>
  <si>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</si>
  <si>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</si>
  <si>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</si>
  <si>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</si>
  <si>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</si>
  <si>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</si>
  <si>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</si>
  <si>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</si>
  <si>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</si>
  <si>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</si>
  <si>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</si>
  <si>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</si>
  <si>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</si>
  <si>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</si>
  <si>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</si>
  <si>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</si>
  <si>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</si>
  <si>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</si>
  <si>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</si>
  <si>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</si>
  <si>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</si>
  <si>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</si>
  <si>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</si>
  <si>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</si>
  <si>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</si>
  <si>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</si>
  <si>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</si>
  <si>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</si>
  <si>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</si>
  <si>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</si>
  <si>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</si>
  <si>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</si>
  <si>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</si>
  <si>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</si>
  <si>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</si>
  <si>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</si>
  <si>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</si>
  <si>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</si>
  <si>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</si>
  <si>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</si>
  <si>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</si>
  <si>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</si>
  <si>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</si>
  <si>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</si>
  <si>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</si>
  <si>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</si>
  <si>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</si>
  <si>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</si>
  <si>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</si>
  <si>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</si>
  <si>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</si>
  <si>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</si>
  <si>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</si>
  <si>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</si>
  <si>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</si>
  <si>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</si>
  <si>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</si>
  <si>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</si>
  <si>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</si>
  <si>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</si>
  <si>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</si>
  <si>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</si>
  <si>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</si>
  <si>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</si>
  <si>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</si>
  <si>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</si>
  <si>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</si>
  <si>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</si>
  <si>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</si>
  <si>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</si>
  <si>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</si>
  <si>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</si>
  <si>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</si>
  <si>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</si>
  <si>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</si>
  <si>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</si>
  <si>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</si>
  <si>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</si>
  <si>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</si>
  <si>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</si>
  <si>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</si>
  <si>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</si>
  <si>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</si>
  <si>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</si>
  <si>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</si>
  <si>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</si>
  <si>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</si>
  <si>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</si>
  <si>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</si>
  <si>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</si>
  <si>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</si>
  <si>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</si>
  <si>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</si>
  <si>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</si>
  <si>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</si>
  <si>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</si>
  <si>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</si>
  <si>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</si>
  <si>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</si>
  <si>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</si>
  <si>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</si>
  <si>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</si>
  <si>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</si>
  <si>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</si>
  <si>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</si>
  <si>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</si>
  <si>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</si>
  <si>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</si>
  <si>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</si>
  <si>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</si>
  <si>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</si>
  <si>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</si>
  <si>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</si>
  <si>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</si>
  <si>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</si>
  <si>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</si>
  <si>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</si>
  <si>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</si>
  <si>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</si>
  <si>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</si>
  <si>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</si>
  <si>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</si>
  <si>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</si>
  <si>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</si>
  <si>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</si>
  <si>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</si>
  <si>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</si>
  <si>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</si>
  <si>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</si>
  <si>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</si>
  <si>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</si>
  <si>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</si>
  <si>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</si>
  <si>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</si>
  <si>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</si>
  <si>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</si>
  <si>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</si>
  <si>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</si>
  <si>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</si>
  <si>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</si>
  <si>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</si>
  <si>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</si>
  <si>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</si>
  <si>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</si>
  <si>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</si>
  <si>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</si>
  <si>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</si>
  <si>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</si>
  <si>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</si>
  <si>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</si>
  <si>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</si>
  <si>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</si>
  <si>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</si>
  <si>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</si>
  <si>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</si>
  <si>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</si>
  <si>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</si>
  <si>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</si>
  <si>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</si>
  <si>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</si>
  <si>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</si>
  <si>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</si>
  <si>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</si>
  <si>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</si>
  <si>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</si>
  <si>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</si>
  <si>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</si>
  <si>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</si>
  <si>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</si>
  <si>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</si>
  <si>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</si>
  <si>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</si>
  <si>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</si>
  <si>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</si>
  <si>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</si>
  <si>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</si>
  <si>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</si>
  <si>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</si>
  <si>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</si>
  <si>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</si>
  <si>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</si>
  <si>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</si>
  <si>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</si>
  <si>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</si>
  <si>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</si>
  <si>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</si>
  <si>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</si>
  <si>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</si>
  <si>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</si>
  <si>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</si>
  <si>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</si>
  <si>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</si>
  <si>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</si>
  <si>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</si>
  <si>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</si>
  <si>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</si>
  <si>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</si>
  <si>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</si>
  <si>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</si>
  <si>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</si>
  <si>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</si>
  <si>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</si>
  <si>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</si>
  <si>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</si>
  <si>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</si>
  <si>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</si>
  <si>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</si>
  <si>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</si>
  <si>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</si>
  <si>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</si>
  <si>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</si>
  <si>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</si>
  <si>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</si>
  <si>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</si>
  <si>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</si>
  <si>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</si>
  <si>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</si>
  <si>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</si>
  <si>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</si>
  <si>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</si>
  <si>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</si>
  <si>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</si>
  <si>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</si>
  <si>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</si>
  <si>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</si>
  <si>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</si>
  <si>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</si>
  <si>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</si>
  <si>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</si>
  <si>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</si>
  <si>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</si>
  <si>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</si>
  <si>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</si>
  <si>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</si>
  <si>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</si>
  <si>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</si>
  <si>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</si>
  <si>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</si>
  <si>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</si>
  <si>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</si>
  <si>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</si>
  <si>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</si>
  <si>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</si>
  <si>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</si>
  <si>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</si>
  <si>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</si>
  <si>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</si>
  <si>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</si>
  <si>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</si>
  <si>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</si>
  <si>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</si>
  <si>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</si>
  <si>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</si>
  <si>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</si>
  <si>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</si>
  <si>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</si>
  <si>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</si>
  <si>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</si>
  <si>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</si>
  <si>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</si>
  <si>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</si>
  <si>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</si>
  <si>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</si>
  <si>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</si>
  <si>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</si>
  <si>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</si>
  <si>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</si>
  <si>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</si>
  <si>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</si>
  <si>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</si>
  <si>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</si>
  <si>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</si>
  <si>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</si>
  <si>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</si>
  <si>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</si>
  <si>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</si>
  <si>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</si>
  <si>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</si>
  <si>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</si>
  <si>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</si>
  <si>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</si>
  <si>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</si>
  <si>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</si>
  <si>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</si>
  <si>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</si>
  <si>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</si>
  <si>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</si>
  <si>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</si>
  <si>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</si>
  <si>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</si>
  <si>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</si>
  <si>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</si>
  <si>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</si>
  <si>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</si>
  <si>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</si>
  <si>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</si>
  <si>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</si>
  <si>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</si>
  <si>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</si>
  <si>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</si>
  <si>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</si>
  <si>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</si>
  <si>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</si>
  <si>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</si>
  <si>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</si>
  <si>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</si>
  <si>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</si>
  <si>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</si>
  <si>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</si>
  <si>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</si>
  <si>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</si>
  <si>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</si>
  <si>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</si>
  <si>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</si>
  <si>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</si>
  <si>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</si>
  <si>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</si>
  <si>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</si>
  <si>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</si>
  <si>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</si>
  <si>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</si>
  <si>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</si>
  <si>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</si>
  <si>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</si>
  <si>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</si>
  <si>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</si>
  <si>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</si>
  <si>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</si>
  <si>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</si>
  <si>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</si>
  <si>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</si>
  <si>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</si>
  <si>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</si>
  <si>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</si>
  <si>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</si>
  <si>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</si>
  <si>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</si>
  <si>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</si>
  <si>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</si>
  <si>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</si>
  <si>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</si>
  <si>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</si>
  <si>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</si>
  <si>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</si>
  <si>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</si>
  <si>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</si>
  <si>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</si>
  <si>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</si>
  <si>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</si>
  <si>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</si>
  <si>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</si>
  <si>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</si>
  <si>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</si>
  <si>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</si>
  <si>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</si>
  <si>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</si>
  <si>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</si>
  <si>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</si>
  <si>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</si>
  <si>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</si>
  <si>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</si>
  <si>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</si>
  <si>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</si>
  <si>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</si>
  <si>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</si>
  <si>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</si>
  <si>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</si>
  <si>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</si>
  <si>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</si>
  <si>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</si>
  <si>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</si>
  <si>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</si>
  <si>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</si>
  <si>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</si>
  <si>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</si>
  <si>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</si>
  <si>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</si>
  <si>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</si>
  <si>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</si>
  <si>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</si>
  <si>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</si>
  <si>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</si>
  <si>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</si>
  <si>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</si>
  <si>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</si>
  <si>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</si>
  <si>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</si>
  <si>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</si>
  <si>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</si>
  <si>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</si>
  <si>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</si>
  <si>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</si>
  <si>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</si>
  <si>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</si>
  <si>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</si>
  <si>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</si>
  <si>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</si>
  <si>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</si>
  <si>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</si>
  <si>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</si>
  <si>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</si>
  <si>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</si>
  <si>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</si>
  <si>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</si>
  <si>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</si>
  <si>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</si>
  <si>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</si>
  <si>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</si>
  <si>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</si>
  <si>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</si>
  <si>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</si>
  <si>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</si>
  <si>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</si>
  <si>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</si>
  <si>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</si>
  <si>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</si>
  <si>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</si>
  <si>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</si>
  <si>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</si>
  <si>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</si>
  <si>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</si>
  <si>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</si>
  <si>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</si>
  <si>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</si>
  <si>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</si>
  <si>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</si>
  <si>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</si>
  <si>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</si>
  <si>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</si>
  <si>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</si>
  <si>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</si>
  <si>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</si>
  <si>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</si>
  <si>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</si>
  <si>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</si>
  <si>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</si>
  <si>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</si>
  <si>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</si>
  <si>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</si>
  <si>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</si>
  <si>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</si>
  <si>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</si>
  <si>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</si>
  <si>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</si>
  <si>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</si>
  <si>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</si>
  <si>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</si>
  <si>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</si>
  <si>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</si>
  <si>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</si>
  <si>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</si>
  <si>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</si>
  <si>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</si>
  <si>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</si>
  <si>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</si>
  <si>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</si>
  <si>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</si>
  <si>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</si>
  <si>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</si>
  <si>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</si>
  <si>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</si>
  <si>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</si>
  <si>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</si>
  <si>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</si>
  <si>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</si>
  <si>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</si>
  <si>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</si>
  <si>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</si>
  <si>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</si>
  <si>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</si>
  <si>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</si>
  <si>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</si>
  <si>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</si>
  <si>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</si>
  <si>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</si>
  <si>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</si>
  <si>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</si>
  <si>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</si>
  <si>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</si>
  <si>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</si>
  <si>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</si>
  <si>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</si>
  <si>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</si>
  <si>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</si>
  <si>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</si>
  <si>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</si>
  <si>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</si>
  <si>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</si>
  <si>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</si>
  <si>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</si>
  <si>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</si>
  <si>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</si>
  <si>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</si>
  <si>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</si>
  <si>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</si>
  <si>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</si>
  <si>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</si>
  <si>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</si>
  <si>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</si>
  <si>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</si>
  <si>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</si>
  <si>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</si>
  <si>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</si>
  <si>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</si>
  <si>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</si>
  <si>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</si>
  <si>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</si>
  <si>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</si>
  <si>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</si>
  <si>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</si>
  <si>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</si>
  <si>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</si>
  <si>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</si>
  <si>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</si>
  <si>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</si>
  <si>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</si>
  <si>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</si>
  <si>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</si>
  <si>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</si>
  <si>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</si>
  <si>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</si>
  <si>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</si>
  <si>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</si>
  <si>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</si>
  <si>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</si>
  <si>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</si>
  <si>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</si>
  <si>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</si>
  <si>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</si>
  <si>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</si>
  <si>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</si>
  <si>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</si>
  <si>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</si>
  <si>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</si>
  <si>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</si>
  <si>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</si>
  <si>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</si>
  <si>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</si>
  <si>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</si>
  <si>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</si>
  <si>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</si>
  <si>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</si>
  <si>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</si>
  <si>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</si>
  <si>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</si>
  <si>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</si>
  <si>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</si>
  <si>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</si>
  <si>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</si>
  <si>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</si>
  <si>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</si>
  <si>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</si>
  <si>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</si>
  <si>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</si>
  <si>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</si>
  <si>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</si>
  <si>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</si>
  <si>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</si>
  <si>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</si>
  <si>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</si>
  <si>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</si>
  <si>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</si>
  <si>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</si>
  <si>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</si>
  <si>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</si>
  <si>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</si>
  <si>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</si>
  <si>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</si>
  <si>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</si>
  <si>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</si>
  <si>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</si>
  <si>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</si>
  <si>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</si>
  <si>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</si>
  <si>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</si>
  <si>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</si>
  <si>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</si>
  <si>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</si>
  <si>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</si>
  <si>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</si>
  <si>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</si>
  <si>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</si>
  <si>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</si>
  <si>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</si>
  <si>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</si>
  <si>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</si>
  <si>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</si>
  <si>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</si>
  <si>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</si>
  <si>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</si>
  <si>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</si>
  <si>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</si>
  <si>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</si>
  <si>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</si>
  <si>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</si>
  <si>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</si>
  <si>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</si>
  <si>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</si>
  <si>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</si>
  <si>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</si>
  <si>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</si>
  <si>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</si>
  <si>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</si>
  <si>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</si>
  <si>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</si>
  <si>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</si>
  <si>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</si>
  <si>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</si>
  <si>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</si>
  <si>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</si>
  <si>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</si>
  <si>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</si>
  <si>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</si>
  <si>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</si>
  <si>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</si>
  <si>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</si>
  <si>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</si>
  <si>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</si>
  <si>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</si>
  <si>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</si>
  <si>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</si>
  <si>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</si>
  <si>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</si>
  <si>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</si>
  <si>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</si>
  <si>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</si>
  <si>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</si>
  <si>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</si>
  <si>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</si>
  <si>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</si>
  <si>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</si>
  <si>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</si>
  <si>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</si>
  <si>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</si>
  <si>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</si>
  <si>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</si>
  <si>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</si>
  <si>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</si>
  <si>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</si>
  <si>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</si>
  <si>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</si>
  <si>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</si>
  <si>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</si>
  <si>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</si>
  <si>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</si>
  <si>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</si>
  <si>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</si>
  <si>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</si>
  <si>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</si>
  <si>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</si>
  <si>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</si>
  <si>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</si>
  <si>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</si>
  <si>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</si>
  <si>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</si>
  <si>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</si>
  <si>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</si>
  <si>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</si>
  <si>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</si>
  <si>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</si>
  <si>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</si>
  <si>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</si>
  <si>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</si>
  <si>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</si>
  <si>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</si>
  <si>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</si>
  <si>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</si>
  <si>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</si>
  <si>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</si>
  <si>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</si>
  <si>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</si>
  <si>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</si>
  <si>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</si>
  <si>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</si>
  <si>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</si>
  <si>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</si>
  <si>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</si>
  <si>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</si>
  <si>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</si>
  <si>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</si>
  <si>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</si>
  <si>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</si>
  <si>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</si>
  <si>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</si>
  <si>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</si>
  <si>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</si>
  <si>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</si>
  <si>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</si>
  <si>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</si>
  <si>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</si>
  <si>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</si>
  <si>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</si>
  <si>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</si>
  <si>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</si>
  <si>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</si>
  <si>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</si>
  <si>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</si>
  <si>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</si>
  <si>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</si>
  <si>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</si>
  <si>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</si>
  <si>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</si>
  <si>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</si>
  <si>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</si>
  <si>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</si>
  <si>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</si>
  <si>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</si>
  <si>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</si>
  <si>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</si>
  <si>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</si>
  <si>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</si>
  <si>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</si>
  <si>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</si>
  <si>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</si>
  <si>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</si>
  <si>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</si>
  <si>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</si>
  <si>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</si>
  <si>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</si>
  <si>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</si>
  <si>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</si>
  <si>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</si>
  <si>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</si>
  <si>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</si>
  <si>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</si>
  <si>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</si>
  <si>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</si>
  <si>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</si>
  <si>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</si>
  <si>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</si>
  <si>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</si>
  <si>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</si>
  <si>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</si>
  <si>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</si>
  <si>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</si>
  <si>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</si>
  <si>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</si>
  <si>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</si>
  <si>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</si>
  <si>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</si>
  <si>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</si>
  <si>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</si>
  <si>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</si>
  <si>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</si>
  <si>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</si>
  <si>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</si>
  <si>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</si>
  <si>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</si>
  <si>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</si>
  <si>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</si>
  <si>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</si>
  <si>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</si>
  <si>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</si>
  <si>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</si>
  <si>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</si>
  <si>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</si>
  <si>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</si>
  <si>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</si>
  <si>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</si>
  <si>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</si>
  <si>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</si>
  <si>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</si>
  <si>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</si>
  <si>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</si>
  <si>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</si>
  <si>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</si>
  <si>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</si>
  <si>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</si>
  <si>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</si>
  <si>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</si>
  <si>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</si>
  <si>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</si>
  <si>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</si>
  <si>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</si>
  <si>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</si>
  <si>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</si>
  <si>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</si>
  <si>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</si>
  <si>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</si>
  <si>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</si>
  <si>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</si>
  <si>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</si>
  <si>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</si>
  <si>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</si>
  <si>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</si>
  <si>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</si>
  <si>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</si>
  <si>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</si>
  <si>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</si>
  <si>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</si>
  <si>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</si>
  <si>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</si>
  <si>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</si>
  <si>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</si>
  <si>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</si>
  <si>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</si>
  <si>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</si>
  <si>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</si>
  <si>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</si>
  <si>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</si>
  <si>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</si>
  <si>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</si>
  <si>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</si>
  <si>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</si>
  <si>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</si>
  <si>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</si>
  <si>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</si>
  <si>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</si>
  <si>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</si>
  <si>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</si>
  <si>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</si>
  <si>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</si>
  <si>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</si>
  <si>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</si>
  <si>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</si>
  <si>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</si>
  <si>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</si>
  <si>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</si>
  <si>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</si>
  <si>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</si>
  <si>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</si>
  <si>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</si>
  <si>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</si>
  <si>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</si>
  <si>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</si>
  <si>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</si>
  <si>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</si>
  <si>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</si>
  <si>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</si>
  <si>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</si>
  <si>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</si>
  <si>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</si>
  <si>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</si>
  <si>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</si>
  <si>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</si>
  <si>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</si>
  <si>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</si>
  <si>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</si>
  <si>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</si>
  <si>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</si>
  <si>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</si>
  <si>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</si>
  <si>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</si>
  <si>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</si>
  <si>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</si>
  <si>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</si>
  <si>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</si>
  <si>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</si>
  <si>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</si>
  <si>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</si>
  <si>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</si>
  <si>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</si>
  <si>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</si>
  <si>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</si>
  <si>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</si>
  <si>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</si>
  <si>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</si>
  <si>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</si>
  <si>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</si>
  <si>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</si>
  <si>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</si>
  <si>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</si>
  <si>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</si>
  <si>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</si>
  <si>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</si>
  <si>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</si>
  <si>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</si>
  <si>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</si>
  <si>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</si>
  <si>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</si>
  <si>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</si>
  <si>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</si>
  <si>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</si>
  <si>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</si>
  <si>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</si>
  <si>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</si>
  <si>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</si>
  <si>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</si>
  <si>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</si>
  <si>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</si>
  <si>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</si>
  <si>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</si>
  <si>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</si>
  <si>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</si>
  <si>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</si>
  <si>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</si>
  <si>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</si>
  <si>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</si>
  <si>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</si>
  <si>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</si>
  <si>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</si>
  <si>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</si>
  <si>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</si>
  <si>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</si>
  <si>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</si>
  <si>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</si>
  <si>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</si>
  <si>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</si>
  <si>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</si>
  <si>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</si>
  <si>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</si>
  <si>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</si>
  <si>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</si>
  <si>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</si>
  <si>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</si>
  <si>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</si>
  <si>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</si>
  <si>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</si>
  <si>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</si>
  <si>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</si>
  <si>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</si>
  <si>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</si>
  <si>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</si>
  <si>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</si>
  <si>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</si>
  <si>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</si>
  <si>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</si>
  <si>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</si>
  <si>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</si>
  <si>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</si>
  <si>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</si>
  <si>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</si>
  <si>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</si>
  <si>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</si>
  <si>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</si>
  <si>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</si>
  <si>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</si>
  <si>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</si>
  <si>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</si>
  <si>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</si>
  <si>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</si>
  <si>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</si>
  <si>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</si>
  <si>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</si>
  <si>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</si>
  <si>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</si>
  <si>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</si>
  <si>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</si>
  <si>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</si>
  <si>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</si>
  <si>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</si>
  <si>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</si>
  <si>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</si>
  <si>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</si>
  <si>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</si>
  <si>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</si>
  <si>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</si>
  <si>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</si>
  <si>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</si>
  <si>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</si>
  <si>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</si>
  <si>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</si>
  <si>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</si>
  <si>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</si>
  <si>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</si>
  <si>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</si>
  <si>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</si>
  <si>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</si>
  <si>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</si>
  <si>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</si>
  <si>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</si>
  <si>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</si>
  <si>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</si>
  <si>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</si>
  <si>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</si>
  <si>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</si>
  <si>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</si>
  <si>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</si>
  <si>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</si>
  <si>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</si>
  <si>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</si>
  <si>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</si>
  <si>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</si>
  <si>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</si>
  <si>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</si>
  <si>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</si>
  <si>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</si>
  <si>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</si>
  <si>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</si>
  <si>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</si>
  <si>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</si>
  <si>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</si>
  <si>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</si>
  <si>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</si>
  <si>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</si>
  <si>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</si>
  <si>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</si>
  <si>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</si>
  <si>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</si>
  <si>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</si>
  <si>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</si>
  <si>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</si>
  <si>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</si>
  <si>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</si>
  <si>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</si>
  <si>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</si>
  <si>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</si>
  <si>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</si>
  <si>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</si>
  <si>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</si>
  <si>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</si>
  <si>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</si>
  <si>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</si>
  <si>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</si>
  <si>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</si>
  <si>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</si>
  <si>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</si>
  <si>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</si>
  <si>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</si>
  <si>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</si>
  <si>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</si>
  <si>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</si>
  <si>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</si>
  <si>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</si>
  <si>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</si>
  <si>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</si>
  <si>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</si>
  <si>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</si>
  <si>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</si>
  <si>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</si>
  <si>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</si>
  <si>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</si>
  <si>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</si>
  <si>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</si>
  <si>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</si>
  <si>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</si>
  <si>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</si>
  <si>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</si>
  <si>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</si>
  <si>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</si>
  <si>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</si>
  <si>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</si>
  <si>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</si>
  <si>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</si>
  <si>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</si>
  <si>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</si>
  <si>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</si>
  <si>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</si>
  <si>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</si>
  <si>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</si>
  <si>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</si>
  <si>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</si>
  <si>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</si>
  <si>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</si>
  <si>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</si>
  <si>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</si>
  <si>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</si>
  <si>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</si>
  <si>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</si>
  <si>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</si>
  <si>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</si>
  <si>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</si>
  <si>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</si>
  <si>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</si>
  <si>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</si>
  <si>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</si>
  <si>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</si>
  <si>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</si>
  <si>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</si>
  <si>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</si>
  <si>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</si>
  <si>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</si>
  <si>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</si>
  <si>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</si>
  <si>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</si>
  <si>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</si>
  <si>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</si>
  <si>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</si>
  <si>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</si>
  <si>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</si>
  <si>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</si>
  <si>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</si>
  <si>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</si>
  <si>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</si>
  <si>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</si>
  <si>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</si>
  <si>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</si>
  <si>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</si>
  <si>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</si>
  <si>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</si>
  <si>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</si>
  <si>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</si>
  <si>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</si>
  <si>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</si>
  <si>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</si>
  <si>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</si>
  <si>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</si>
  <si>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</si>
  <si>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</si>
  <si>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</si>
  <si>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</si>
  <si>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</si>
  <si>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</si>
  <si>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</si>
  <si>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</si>
  <si>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</si>
  <si>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</si>
  <si>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</si>
  <si>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</si>
  <si>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</si>
  <si>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</si>
  <si>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</si>
  <si>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</si>
  <si>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</si>
  <si>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</si>
  <si>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</si>
  <si>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</si>
  <si>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</si>
  <si>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</si>
  <si>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</si>
  <si>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</si>
  <si>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</si>
  <si>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</si>
  <si>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</si>
  <si>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</si>
  <si>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</si>
  <si>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</si>
  <si>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</si>
  <si>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</si>
  <si>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</si>
  <si>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</si>
  <si>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</si>
  <si>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</si>
  <si>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</si>
  <si>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</si>
  <si>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</si>
  <si>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</si>
  <si>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</si>
  <si>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</si>
  <si>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</si>
  <si>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</si>
  <si>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</si>
  <si>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</si>
  <si>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</si>
  <si>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</si>
  <si>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</si>
  <si>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</si>
  <si>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</si>
  <si>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</si>
  <si>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</si>
  <si>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</si>
  <si>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</si>
  <si>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</si>
  <si>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</si>
  <si>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</si>
  <si>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</si>
  <si>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</si>
  <si>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</si>
  <si>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</si>
  <si>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</si>
  <si>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</si>
  <si>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</si>
  <si>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</si>
  <si>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</si>
  <si>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</si>
  <si>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</si>
  <si>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</si>
  <si>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</si>
  <si>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</si>
  <si>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</si>
  <si>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</si>
  <si>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</si>
  <si>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</si>
  <si>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</si>
  <si>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</si>
  <si>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</si>
  <si>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</si>
  <si>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</si>
  <si>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</si>
  <si>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</si>
  <si>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</si>
  <si>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</si>
  <si>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</si>
  <si>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</si>
  <si>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</si>
  <si>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</si>
  <si>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</si>
  <si>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</si>
  <si>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</si>
  <si>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</si>
  <si>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</si>
  <si>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</si>
  <si>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</si>
  <si>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</si>
  <si>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</si>
  <si>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</si>
  <si>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</si>
  <si>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</si>
  <si>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</si>
  <si>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</si>
  <si>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</si>
  <si>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</si>
  <si>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</si>
  <si>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</si>
  <si>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</si>
  <si>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</si>
  <si>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</si>
  <si>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</si>
  <si>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</si>
  <si>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</si>
  <si>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</si>
  <si>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</si>
  <si>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</si>
  <si>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</si>
  <si>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</si>
  <si>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</si>
  <si>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</si>
  <si>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</si>
  <si>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</si>
  <si>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</si>
  <si>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</si>
  <si>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</si>
  <si>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</si>
  <si>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</si>
  <si>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</si>
  <si>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</si>
  <si>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</si>
  <si>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</si>
  <si>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</si>
  <si>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</si>
  <si>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</si>
  <si>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</si>
  <si>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</si>
  <si>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</si>
  <si>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</si>
  <si>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</si>
  <si>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</si>
  <si>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</si>
  <si>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</si>
  <si>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</si>
  <si>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</si>
  <si>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</si>
  <si>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</si>
  <si>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</si>
  <si>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</si>
  <si>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</si>
  <si>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</si>
  <si>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</si>
  <si>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</si>
  <si>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</si>
  <si>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</si>
  <si>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</si>
  <si>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</si>
  <si>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</si>
  <si>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</si>
  <si>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</si>
  <si>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</si>
  <si>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</si>
  <si>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</si>
  <si>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</si>
  <si>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</si>
  <si>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</si>
  <si>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</si>
  <si>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</si>
  <si>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</si>
  <si>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</si>
  <si>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</si>
  <si>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</si>
  <si>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</si>
  <si>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</si>
  <si>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</si>
  <si>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</si>
  <si>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</si>
  <si>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</si>
  <si>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</si>
  <si>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</si>
  <si>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</si>
  <si>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</si>
  <si>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</si>
  <si>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</si>
  <si>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</si>
  <si>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</si>
  <si>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</si>
  <si>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</si>
  <si>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</si>
  <si>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</si>
  <si>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</si>
  <si>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</si>
  <si>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</si>
  <si>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</si>
  <si>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</si>
  <si>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</si>
  <si>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</si>
  <si>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</si>
  <si>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</si>
  <si>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</si>
  <si>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</si>
  <si>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</si>
  <si>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</si>
  <si>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</si>
  <si>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</si>
  <si>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</si>
  <si>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</si>
  <si>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</si>
  <si>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</si>
  <si>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</si>
  <si>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</si>
  <si>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</si>
  <si>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</si>
  <si>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</si>
  <si>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</si>
  <si>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</si>
  <si>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</si>
  <si>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</si>
  <si>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</si>
  <si>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</si>
  <si>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</si>
  <si>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</si>
  <si>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</si>
  <si>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</si>
  <si>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</si>
  <si>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</si>
  <si>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</si>
  <si>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</si>
  <si>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</si>
  <si>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</si>
  <si>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</si>
  <si>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</si>
  <si>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</si>
  <si>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</si>
  <si>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</si>
  <si>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</si>
  <si>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</si>
  <si>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</si>
  <si>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</si>
  <si>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</si>
  <si>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</si>
  <si>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</si>
  <si>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</si>
  <si>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</si>
  <si>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</si>
  <si>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</si>
  <si>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</si>
  <si>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</si>
  <si>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</si>
  <si>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</si>
  <si>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</si>
  <si>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</si>
  <si>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</si>
  <si>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</si>
  <si>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</si>
  <si>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</si>
  <si>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</si>
  <si>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</si>
  <si>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</si>
  <si>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</si>
  <si>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</si>
  <si>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</si>
  <si>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</si>
  <si>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</si>
  <si>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</si>
  <si>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</si>
  <si>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</si>
  <si>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</si>
  <si>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</si>
  <si>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</si>
  <si>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</si>
  <si>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</si>
  <si>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</si>
  <si>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</si>
  <si>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</si>
  <si>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</si>
  <si>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</si>
  <si>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</si>
  <si>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</si>
  <si>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</si>
  <si>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</si>
  <si>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</si>
  <si>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</si>
  <si>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</si>
  <si>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</si>
  <si>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</si>
  <si>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</si>
  <si>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</si>
  <si>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</si>
  <si>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</si>
  <si>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</si>
  <si>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</si>
  <si>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</si>
  <si>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</si>
  <si>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</si>
  <si>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</si>
  <si>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</si>
  <si>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</si>
  <si>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</si>
  <si>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</si>
  <si>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</si>
  <si>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</si>
  <si>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</si>
  <si>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</si>
  <si>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</si>
  <si>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</si>
  <si>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</si>
  <si>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</si>
  <si>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</si>
  <si>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</si>
  <si>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</si>
  <si>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</si>
  <si>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</si>
  <si>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</si>
  <si>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</si>
  <si>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</si>
  <si>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</si>
  <si>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</si>
  <si>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</si>
  <si>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</si>
  <si>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</si>
  <si>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</si>
  <si>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</si>
  <si>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</si>
  <si>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</si>
  <si>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</si>
  <si>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</si>
  <si>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</si>
  <si>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</si>
  <si>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</si>
  <si>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</si>
  <si>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</si>
  <si>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</si>
  <si>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</si>
  <si>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</si>
  <si>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</si>
  <si>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</si>
  <si>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</si>
  <si>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</si>
  <si>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</si>
  <si>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</si>
  <si>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</si>
  <si>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</si>
  <si>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</si>
  <si>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</si>
  <si>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</si>
  <si>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</si>
  <si>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</si>
  <si>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</si>
  <si>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</si>
  <si>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</si>
  <si>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</si>
  <si>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</si>
  <si>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</si>
  <si>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</si>
  <si>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</si>
  <si>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</si>
  <si>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</si>
  <si>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</si>
  <si>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</si>
  <si>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</si>
  <si>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</si>
  <si>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</si>
  <si>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</si>
  <si>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</si>
  <si>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</si>
  <si>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</si>
  <si>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</si>
  <si>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</si>
  <si>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</si>
  <si>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</si>
  <si>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</si>
  <si>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</si>
  <si>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</si>
  <si>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</si>
  <si>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</si>
  <si>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</si>
  <si>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</si>
  <si>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</si>
  <si>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</si>
  <si>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</si>
  <si>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</si>
  <si>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</si>
  <si>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</si>
  <si>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</si>
  <si>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</si>
  <si>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</si>
  <si>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</si>
  <si>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</si>
  <si>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</si>
  <si>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</si>
  <si>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</si>
  <si>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</si>
  <si>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</si>
  <si>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</si>
  <si>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</si>
  <si>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</si>
  <si>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</si>
  <si>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</si>
  <si>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</si>
  <si>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</si>
  <si>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</si>
  <si>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</si>
  <si>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</si>
  <si>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</si>
  <si>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</si>
  <si>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</si>
  <si>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</si>
  <si>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</si>
  <si>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</si>
  <si>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</si>
  <si>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</si>
  <si>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</si>
  <si>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</si>
  <si>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</si>
  <si>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</si>
  <si>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</si>
  <si>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</si>
  <si>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</si>
  <si>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</si>
  <si>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</si>
  <si>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</si>
  <si>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</si>
  <si>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</si>
  <si>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</si>
  <si>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</si>
  <si>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</si>
  <si>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</si>
  <si>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</si>
  <si>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</si>
  <si>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</si>
  <si>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</si>
  <si>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</si>
  <si>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</si>
  <si>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</si>
  <si>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</si>
  <si>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</si>
  <si>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</si>
  <si>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</si>
  <si>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</si>
  <si>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</si>
  <si>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</si>
  <si>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</si>
  <si>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</si>
  <si>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</si>
  <si>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</si>
  <si>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</si>
  <si>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</si>
  <si>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</si>
  <si>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</si>
  <si>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</si>
  <si>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</si>
  <si>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</si>
  <si>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</si>
  <si>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</si>
  <si>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</si>
  <si>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</si>
  <si>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</si>
  <si>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</si>
  <si>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</si>
  <si>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</si>
  <si>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</si>
  <si>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</si>
  <si>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</si>
  <si>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</si>
  <si>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</si>
  <si>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</si>
  <si>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</si>
  <si>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</si>
  <si>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</si>
  <si>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</si>
  <si>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</si>
  <si>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</si>
  <si>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</si>
  <si>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</si>
  <si>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</si>
  <si>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</si>
  <si>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</si>
  <si>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</si>
  <si>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</si>
  <si>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</si>
  <si>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</si>
  <si>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</si>
  <si>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</si>
  <si>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</si>
  <si>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</si>
  <si>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</si>
  <si>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</si>
  <si>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</si>
  <si>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</si>
  <si>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</si>
  <si>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</si>
  <si>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</si>
  <si>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</si>
  <si>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</si>
  <si>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</si>
  <si>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</si>
  <si>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</si>
  <si>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</si>
  <si>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</si>
  <si>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</si>
  <si>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</si>
  <si>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</si>
  <si>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</si>
  <si>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</si>
  <si>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</si>
  <si>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</si>
  <si>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</si>
  <si>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</si>
  <si>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</si>
  <si>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</si>
  <si>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</si>
  <si>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</si>
  <si>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</si>
  <si>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</si>
  <si>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</si>
  <si>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</si>
  <si>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</si>
  <si>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</si>
  <si>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</si>
  <si>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</si>
  <si>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</si>
  <si>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</si>
  <si>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</si>
  <si>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</si>
  <si>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</si>
  <si>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</si>
  <si>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</si>
  <si>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</si>
  <si>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</si>
  <si>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</si>
  <si>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</si>
  <si>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</si>
  <si>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</si>
  <si>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</si>
  <si>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</si>
  <si>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</si>
  <si>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</si>
  <si>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</si>
  <si>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</si>
  <si>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</si>
  <si>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</si>
  <si>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</si>
  <si>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</si>
  <si>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</si>
  <si>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</si>
  <si>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</si>
  <si>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</si>
  <si>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</si>
  <si>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</si>
  <si>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</si>
  <si>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</si>
  <si>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</si>
  <si>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</si>
  <si>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</si>
  <si>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</si>
  <si>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</si>
  <si>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</si>
  <si>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</si>
  <si>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</si>
  <si>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</si>
  <si>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</si>
  <si>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</si>
  <si>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</si>
  <si>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</si>
  <si>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</si>
  <si>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</si>
  <si>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</si>
  <si>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</si>
  <si>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</si>
  <si>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</si>
  <si>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</si>
  <si>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</si>
  <si>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</si>
  <si>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</si>
  <si>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</si>
  <si>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</si>
  <si>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</si>
  <si>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</si>
  <si>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</si>
  <si>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</si>
  <si>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</si>
  <si>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</si>
  <si>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</si>
  <si>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</si>
  <si>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</si>
  <si>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</si>
  <si>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</si>
  <si>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</si>
  <si>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</si>
  <si>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</si>
  <si>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</si>
  <si>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</si>
  <si>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</si>
  <si>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</si>
  <si>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</si>
  <si>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</si>
  <si>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</si>
  <si>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</si>
  <si>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</si>
  <si>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</si>
  <si>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</si>
  <si>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</si>
  <si>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</si>
  <si>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</si>
  <si>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</si>
  <si>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</si>
  <si>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</si>
  <si>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</si>
  <si>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</si>
  <si>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</si>
  <si>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</si>
  <si>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</si>
  <si>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</si>
  <si>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</si>
  <si>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</si>
  <si>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</si>
  <si>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</si>
  <si>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</si>
  <si>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</si>
  <si>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</si>
  <si>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</si>
  <si>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</si>
  <si>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</si>
  <si>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</si>
  <si>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</si>
  <si>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</si>
  <si>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</si>
  <si>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</si>
  <si>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</si>
  <si>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</si>
  <si>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</si>
  <si>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</si>
  <si>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</si>
  <si>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</si>
  <si>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</si>
  <si>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</si>
  <si>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</si>
  <si>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</si>
  <si>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</si>
  <si>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</si>
  <si>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</si>
  <si>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</si>
  <si>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</si>
  <si>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</si>
  <si>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</si>
  <si>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</si>
  <si>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</si>
  <si>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</si>
  <si>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</si>
  <si>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</si>
  <si>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</si>
  <si>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</si>
  <si>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</si>
  <si>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</si>
  <si>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</si>
  <si>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</si>
  <si>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</si>
  <si>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</si>
  <si>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</si>
  <si>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</si>
  <si>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</si>
  <si>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</si>
  <si>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</si>
  <si>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</si>
  <si>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</si>
  <si>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</si>
  <si>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</si>
  <si>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</si>
  <si>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</si>
  <si>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</si>
  <si>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</si>
  <si>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</si>
  <si>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</si>
  <si>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</si>
  <si>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</si>
  <si>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</si>
  <si>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</si>
  <si>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</si>
  <si>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</si>
  <si>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</si>
  <si>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</si>
  <si>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</si>
  <si>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</si>
  <si>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</si>
  <si>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</si>
  <si>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</si>
  <si>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</si>
  <si>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</si>
  <si>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</si>
  <si>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</si>
  <si>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</si>
  <si>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</si>
  <si>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</si>
  <si>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</si>
  <si>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</si>
  <si>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</si>
  <si>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</si>
  <si>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</si>
  <si>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</si>
  <si>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</si>
  <si>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</si>
  <si>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</si>
  <si>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</si>
  <si>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</si>
  <si>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</si>
  <si>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</si>
  <si>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</si>
  <si>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</si>
  <si>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</si>
  <si>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</si>
  <si>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</si>
  <si>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</si>
  <si>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</si>
  <si>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</si>
  <si>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</si>
  <si>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</si>
  <si>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</si>
  <si>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</si>
  <si>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</si>
  <si>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</si>
  <si>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</si>
  <si>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</si>
  <si>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</si>
  <si>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</si>
  <si>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</si>
  <si>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</si>
  <si>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</si>
  <si>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</si>
  <si>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</si>
  <si>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</si>
  <si>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</si>
  <si>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</si>
  <si>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</si>
  <si>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</si>
  <si>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</si>
  <si>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</si>
  <si>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</si>
  <si>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</si>
  <si>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</si>
  <si>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</si>
  <si>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</si>
  <si>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</si>
  <si>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</si>
  <si>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</si>
  <si>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</si>
  <si>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</si>
  <si>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</si>
  <si>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</si>
  <si>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</si>
  <si>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</si>
  <si>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</si>
  <si>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</si>
  <si>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</si>
  <si>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</si>
  <si>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</si>
  <si>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</si>
  <si>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</si>
  <si>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</si>
  <si>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</si>
  <si>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</si>
  <si>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</si>
  <si>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</si>
  <si>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</si>
  <si>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</si>
  <si>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</si>
  <si>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</si>
  <si>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</si>
  <si>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</si>
  <si>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</si>
  <si>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</si>
  <si>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</si>
  <si>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</si>
  <si>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</si>
  <si>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</si>
  <si>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</si>
  <si>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</si>
  <si>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</si>
  <si>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</si>
  <si>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</si>
  <si>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</si>
  <si>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</si>
  <si>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</si>
  <si>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</si>
  <si>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</si>
  <si>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</si>
  <si>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</si>
  <si>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</si>
  <si>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</si>
  <si>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</si>
  <si>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</si>
  <si>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</si>
  <si>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</si>
  <si>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</si>
  <si>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</si>
  <si>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</si>
  <si>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</si>
  <si>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</si>
  <si>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</si>
  <si>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</si>
  <si>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</si>
  <si>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</si>
  <si>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</si>
  <si>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</si>
  <si>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</si>
  <si>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</si>
  <si>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</si>
  <si>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</si>
  <si>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</si>
  <si>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</si>
  <si>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</si>
  <si>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</si>
  <si>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</si>
  <si>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</si>
  <si>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</si>
  <si>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</si>
  <si>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</si>
  <si>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</si>
  <si>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</si>
  <si>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</si>
  <si>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</si>
  <si>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</si>
  <si>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</si>
  <si>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</si>
  <si>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</si>
  <si>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</si>
  <si>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</si>
  <si>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</si>
  <si>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</si>
  <si>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</si>
  <si>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</si>
  <si>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</si>
  <si>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</si>
  <si>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</si>
  <si>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</si>
  <si>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</si>
  <si>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</si>
  <si>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</si>
  <si>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</si>
  <si>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</si>
  <si>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</si>
  <si>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</si>
  <si>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</si>
  <si>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</si>
  <si>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</si>
  <si>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</si>
  <si>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</si>
  <si>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</si>
  <si>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</si>
  <si>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</si>
  <si>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</si>
  <si>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</si>
  <si>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</si>
  <si>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</si>
  <si>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</si>
  <si>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</si>
  <si>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</si>
  <si>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</si>
  <si>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</si>
  <si>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</si>
  <si>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</si>
  <si>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</si>
  <si>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</si>
  <si>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</si>
  <si>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</si>
  <si>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</si>
  <si>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</si>
  <si>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</si>
  <si>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</si>
  <si>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</si>
  <si>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</si>
  <si>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</si>
  <si>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</si>
  <si>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</si>
  <si>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</si>
  <si>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</si>
  <si>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</si>
  <si>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</si>
  <si>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</si>
  <si>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</si>
  <si>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</si>
  <si>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</si>
  <si>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</si>
  <si>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</si>
  <si>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</si>
  <si>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</si>
  <si>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</si>
  <si>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</si>
  <si>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</si>
  <si>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</si>
  <si>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</si>
  <si>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</si>
  <si>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</si>
  <si>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</si>
  <si>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</si>
  <si>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</si>
  <si>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</si>
  <si>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</si>
  <si>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</si>
  <si>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</si>
  <si>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</si>
  <si>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</si>
  <si>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</si>
  <si>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</si>
  <si>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</si>
  <si>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</si>
  <si>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</si>
  <si>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</si>
  <si>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</si>
  <si>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</si>
  <si>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</si>
  <si>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</si>
  <si>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</si>
  <si>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</si>
  <si>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</si>
  <si>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</si>
  <si>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</si>
  <si>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</si>
  <si>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</si>
  <si>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</si>
  <si>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</si>
  <si>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</si>
  <si>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</si>
  <si>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</si>
  <si>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</si>
  <si>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</si>
  <si>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</si>
  <si>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</si>
  <si>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</si>
  <si>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</si>
  <si>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</si>
  <si>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</si>
  <si>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</si>
  <si>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</si>
  <si>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</si>
  <si>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</si>
  <si>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</si>
  <si>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</si>
  <si>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</si>
  <si>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</si>
  <si>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</si>
  <si>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</si>
  <si>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</si>
  <si>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</si>
  <si>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</si>
  <si>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</si>
  <si>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</si>
  <si>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</si>
  <si>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</si>
  <si>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</si>
  <si>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</si>
  <si>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</si>
  <si>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</si>
  <si>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</si>
  <si>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</si>
  <si>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</si>
  <si>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</si>
  <si>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</si>
  <si>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</si>
  <si>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</si>
  <si>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</si>
  <si>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</si>
  <si>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</si>
  <si>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</si>
  <si>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</si>
  <si>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</si>
  <si>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</si>
  <si>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</si>
  <si>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</si>
  <si>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</si>
  <si>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</si>
  <si>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</si>
  <si>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</si>
  <si>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</si>
  <si>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</si>
  <si>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</si>
  <si>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</si>
  <si>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</si>
  <si>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</si>
  <si>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</si>
  <si>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</si>
  <si>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</si>
  <si>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</si>
  <si>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</si>
  <si>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</si>
  <si>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</si>
  <si>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</si>
  <si>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</si>
  <si>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</si>
  <si>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</si>
  <si>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</si>
  <si>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</si>
  <si>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</si>
  <si>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</si>
  <si>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</si>
  <si>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</si>
  <si>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</si>
  <si>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</si>
  <si>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</si>
  <si>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</si>
  <si>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</si>
  <si>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</si>
  <si>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</si>
  <si>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</si>
  <si>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</si>
  <si>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</si>
  <si>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</si>
  <si>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</si>
  <si>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</si>
  <si>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</si>
  <si>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</si>
  <si>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</si>
  <si>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</si>
  <si>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</si>
  <si>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</si>
  <si>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</si>
  <si>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</si>
  <si>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</si>
  <si>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</si>
  <si>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</si>
  <si>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</si>
  <si>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</si>
  <si>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</si>
  <si>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</si>
  <si>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</si>
  <si>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</si>
  <si>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</si>
  <si>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</si>
  <si>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</si>
  <si>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</si>
  <si>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</si>
  <si>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</si>
  <si>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</si>
  <si>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</si>
  <si>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</si>
  <si>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</si>
  <si>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</si>
  <si>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</si>
  <si>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</si>
  <si>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</si>
  <si>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</si>
  <si>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</si>
  <si>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</si>
  <si>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</si>
  <si>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</si>
  <si>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</si>
  <si>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</si>
  <si>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</si>
  <si>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</si>
  <si>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</si>
  <si>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</si>
  <si>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</si>
  <si>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</si>
  <si>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</si>
  <si>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</si>
  <si>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</si>
  <si>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</si>
  <si>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</si>
  <si>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</si>
  <si>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</si>
  <si>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</si>
  <si>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</si>
  <si>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</si>
  <si>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</si>
  <si>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</si>
  <si>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</si>
  <si>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</si>
  <si>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</si>
  <si>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</si>
  <si>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</si>
  <si>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</si>
  <si>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</si>
  <si>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</si>
  <si>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</si>
  <si>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</si>
  <si>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</si>
  <si>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</si>
  <si>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</si>
  <si>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</si>
  <si>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</si>
  <si>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</si>
  <si>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</si>
  <si>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</si>
  <si>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</si>
  <si>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</si>
  <si>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</si>
  <si>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</si>
  <si>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</si>
  <si>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</si>
  <si>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</si>
  <si>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</si>
  <si>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</si>
  <si>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</si>
  <si>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</si>
  <si>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</si>
  <si>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</si>
  <si>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</si>
  <si>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</si>
  <si>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</si>
  <si>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</si>
  <si>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</si>
  <si>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</si>
  <si>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</si>
  <si>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</si>
  <si>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</si>
  <si>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</si>
  <si>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</si>
  <si>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</si>
  <si>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</si>
  <si>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</si>
  <si>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</si>
  <si>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</si>
  <si>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</si>
  <si>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</si>
  <si>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</si>
  <si>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</si>
  <si>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</si>
  <si>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</si>
  <si>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</si>
  <si>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</si>
  <si>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</si>
  <si>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</si>
  <si>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</si>
  <si>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</si>
  <si>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</si>
  <si>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</si>
  <si>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</si>
  <si>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</si>
  <si>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</si>
  <si>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</si>
  <si>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</si>
  <si>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</si>
  <si>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</si>
  <si>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</si>
  <si>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</si>
  <si>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</si>
  <si>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</si>
  <si>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</si>
  <si>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</si>
  <si>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</si>
  <si>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</si>
  <si>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</si>
  <si>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</si>
  <si>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</si>
  <si>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</si>
  <si>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</si>
  <si>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</si>
  <si>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</si>
  <si>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</si>
  <si>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</si>
  <si>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</si>
  <si>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</si>
  <si>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</si>
  <si>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</si>
  <si>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</si>
  <si>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</si>
  <si>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</si>
  <si>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</si>
  <si>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</si>
  <si>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</si>
  <si>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</si>
  <si>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</si>
  <si>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</si>
  <si>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</si>
  <si>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</si>
  <si>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</si>
  <si>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</si>
  <si>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</si>
  <si>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</si>
  <si>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</si>
  <si>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</si>
  <si>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</si>
  <si>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</si>
  <si>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</si>
  <si>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</si>
  <si>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</si>
  <si>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</si>
  <si>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</si>
  <si>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</si>
  <si>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</si>
  <si>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</si>
  <si>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</si>
  <si>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</si>
  <si>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</si>
  <si>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</si>
  <si>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</si>
  <si>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</si>
  <si>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</si>
  <si>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</si>
  <si>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</si>
  <si>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</si>
  <si>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</si>
  <si>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</si>
  <si>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</si>
  <si>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</si>
  <si>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</si>
  <si>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</si>
  <si>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</si>
  <si>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</si>
  <si>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</si>
  <si>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</si>
  <si>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</si>
  <si>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</si>
  <si>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</si>
  <si>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</si>
  <si>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</si>
  <si>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</si>
  <si>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</si>
  <si>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</si>
  <si>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</si>
  <si>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</si>
  <si>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</si>
  <si>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</si>
  <si>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</si>
  <si>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</si>
  <si>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</si>
  <si>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</si>
  <si>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</si>
  <si>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</si>
  <si>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</si>
  <si>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</si>
  <si>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</si>
  <si>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</si>
  <si>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</si>
  <si>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</si>
  <si>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</si>
  <si>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</si>
  <si>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</si>
  <si>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</si>
  <si>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</si>
  <si>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</si>
  <si>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</si>
  <si>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</si>
  <si>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</si>
  <si>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</si>
  <si>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</si>
  <si>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</si>
  <si>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</si>
  <si>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</si>
  <si>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</si>
  <si>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</si>
  <si>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</si>
  <si>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</si>
  <si>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</si>
  <si>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</si>
  <si>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</si>
  <si>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</si>
  <si>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</si>
  <si>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</si>
  <si>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</si>
  <si>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</si>
  <si>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</si>
  <si>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</si>
  <si>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</si>
  <si>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</si>
  <si>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</si>
  <si>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</si>
  <si>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</si>
  <si>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</si>
  <si>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</si>
  <si>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</si>
  <si>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</si>
  <si>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</si>
  <si>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</si>
  <si>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</si>
  <si>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</si>
  <si>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</si>
  <si>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</si>
  <si>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</si>
  <si>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</si>
  <si>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</si>
  <si>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</si>
  <si>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</si>
  <si>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</si>
  <si>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</si>
  <si>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</si>
  <si>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</si>
  <si>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</si>
  <si>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</si>
  <si>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</si>
  <si>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</si>
  <si>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</si>
  <si>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</si>
  <si>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</si>
  <si>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</si>
  <si>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</si>
  <si>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</si>
  <si>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</si>
  <si>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</si>
  <si>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</si>
  <si>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</si>
  <si>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</si>
  <si>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</si>
  <si>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</si>
  <si>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</si>
  <si>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</si>
  <si>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</si>
  <si>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</si>
  <si>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</si>
  <si>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</si>
  <si>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</si>
  <si>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</si>
  <si>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</si>
  <si>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</si>
  <si>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</si>
  <si>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</si>
  <si>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</si>
  <si>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</si>
  <si>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</si>
  <si>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</si>
  <si>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</si>
  <si>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</si>
  <si>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</si>
  <si>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</si>
  <si>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</si>
  <si>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</si>
  <si>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</si>
  <si>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</si>
  <si>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</si>
  <si>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</si>
  <si>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</si>
  <si>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</si>
  <si>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</si>
  <si>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</si>
  <si>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</si>
  <si>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</si>
  <si>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</si>
  <si>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</si>
  <si>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</si>
  <si>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</si>
  <si>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</si>
  <si>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</si>
  <si>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</si>
  <si>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</si>
  <si>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</si>
  <si>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</si>
  <si>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</si>
  <si>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</si>
  <si>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</si>
  <si>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</si>
  <si>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</si>
  <si>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</si>
  <si>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</si>
  <si>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</si>
  <si>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</si>
  <si>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</si>
  <si>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</si>
  <si>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</si>
  <si>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</si>
  <si>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</si>
  <si>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</si>
  <si>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</si>
  <si>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</si>
  <si>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</si>
  <si>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</si>
  <si>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</si>
  <si>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</si>
  <si>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</si>
  <si>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</si>
  <si>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</si>
  <si>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</si>
  <si>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</si>
  <si>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</si>
  <si>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</si>
  <si>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</si>
  <si>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</si>
  <si>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</si>
  <si>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</si>
  <si>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</si>
  <si>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</si>
  <si>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</si>
  <si>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</si>
  <si>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</si>
  <si>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</si>
  <si>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</si>
  <si>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</si>
  <si>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</si>
  <si>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</si>
  <si>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</si>
  <si>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</si>
  <si>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</si>
  <si>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</si>
  <si>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</si>
  <si>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</si>
  <si>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</si>
  <si>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</si>
  <si>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</si>
  <si>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</si>
  <si>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</si>
  <si>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</si>
  <si>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</si>
  <si>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</si>
  <si>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</si>
  <si>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</si>
  <si>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</si>
  <si>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</si>
  <si>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</si>
  <si>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</si>
  <si>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</si>
  <si>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</si>
  <si>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</si>
  <si>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</si>
  <si>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</si>
  <si>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</si>
  <si>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</si>
  <si>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</si>
  <si>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</si>
  <si>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</si>
  <si>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</si>
  <si>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</si>
  <si>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</si>
  <si>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</si>
  <si>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</si>
  <si>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</si>
  <si>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</si>
  <si>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</si>
  <si>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</si>
  <si>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</si>
  <si>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</si>
  <si>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</si>
  <si>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</si>
  <si>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</si>
  <si>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</si>
  <si>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</si>
  <si>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</si>
  <si>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</si>
  <si>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</si>
  <si>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</si>
  <si>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</si>
  <si>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</si>
  <si>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</si>
  <si>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</si>
  <si>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</si>
  <si>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</si>
  <si>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</si>
  <si>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</si>
  <si>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</si>
  <si>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</si>
  <si>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</si>
  <si>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</si>
  <si>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</si>
  <si>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</si>
  <si>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</si>
  <si>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</si>
  <si>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</si>
  <si>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</si>
  <si>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</si>
  <si>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</si>
  <si>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</si>
  <si>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</si>
  <si>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</si>
  <si>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</si>
  <si>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</si>
  <si>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</si>
  <si>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</si>
  <si>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</si>
  <si>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</si>
  <si>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</si>
  <si>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</si>
  <si>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</si>
  <si>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</si>
  <si>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</si>
  <si>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</si>
  <si>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</si>
  <si>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</si>
  <si>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</si>
  <si>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</si>
  <si>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</si>
  <si>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</si>
  <si>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</si>
  <si>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</si>
  <si>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</si>
  <si>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</si>
  <si>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</si>
  <si>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</si>
  <si>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</si>
  <si>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</si>
  <si>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</si>
  <si>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</si>
  <si>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</si>
  <si>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</si>
  <si>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</si>
  <si>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</si>
  <si>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</si>
  <si>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</si>
  <si>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</si>
  <si>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</si>
  <si>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</si>
  <si>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</si>
  <si>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</si>
  <si>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</si>
  <si>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</si>
  <si>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</si>
  <si>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</si>
  <si>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</si>
  <si>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</si>
  <si>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</si>
  <si>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</si>
  <si>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</si>
  <si>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</si>
  <si>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</si>
  <si>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</si>
  <si>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</si>
  <si>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</si>
  <si>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</si>
  <si>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</si>
  <si>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</si>
  <si>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</si>
  <si>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</si>
  <si>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</si>
  <si>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</si>
  <si>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</si>
  <si>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</si>
  <si>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</si>
  <si>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</si>
  <si>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</si>
  <si>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</si>
  <si>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</si>
  <si>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</si>
  <si>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</si>
  <si>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</si>
  <si>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</si>
  <si>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</si>
  <si>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</si>
  <si>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</si>
  <si>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</si>
  <si>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</si>
  <si>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</si>
  <si>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</si>
  <si>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</si>
  <si>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</si>
  <si>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</si>
  <si>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</si>
  <si>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</si>
  <si>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</si>
  <si>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</si>
  <si>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</si>
  <si>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</si>
  <si>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</si>
  <si>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</si>
  <si>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</si>
  <si>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</si>
  <si>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</si>
  <si>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</si>
  <si>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</si>
  <si>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</si>
  <si>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</si>
  <si>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</si>
  <si>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</si>
  <si>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</si>
  <si>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</si>
  <si>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</si>
  <si>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</si>
  <si>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</si>
  <si>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</si>
  <si>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</si>
  <si>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</si>
  <si>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</si>
  <si>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</si>
  <si>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</si>
  <si>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</si>
  <si>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</si>
  <si>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</si>
  <si>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</si>
  <si>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</si>
  <si>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</si>
  <si>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</si>
  <si>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</si>
  <si>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</si>
  <si>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</si>
  <si>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</si>
  <si>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</si>
  <si>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</si>
  <si>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</si>
  <si>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</si>
  <si>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</si>
  <si>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</si>
  <si>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</si>
  <si>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</si>
  <si>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</si>
  <si>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</si>
  <si>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</si>
  <si>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</si>
  <si>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</si>
  <si>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</si>
  <si>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</si>
  <si>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</si>
  <si>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</si>
  <si>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</si>
  <si>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</si>
  <si>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</si>
  <si>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</si>
  <si>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</si>
  <si>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</si>
  <si>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</si>
  <si>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</si>
  <si>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</si>
  <si>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</si>
  <si>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</si>
  <si>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</si>
  <si>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</si>
  <si>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</si>
  <si>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</si>
  <si>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</si>
  <si>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</si>
  <si>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</si>
  <si>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</si>
  <si>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</si>
  <si>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</si>
  <si>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</si>
  <si>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</si>
  <si>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</si>
  <si>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</si>
  <si>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</si>
  <si>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</si>
  <si>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</si>
  <si>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</si>
  <si>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</si>
  <si>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</si>
  <si>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</si>
  <si>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</si>
  <si>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</si>
  <si>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</si>
  <si>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</si>
  <si>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</si>
  <si>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</si>
  <si>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</si>
  <si>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</si>
  <si>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</si>
  <si>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</si>
  <si>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</si>
  <si>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</si>
  <si>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</si>
  <si>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</si>
  <si>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</si>
  <si>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</si>
  <si>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</si>
  <si>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</si>
  <si>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</si>
  <si>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</si>
  <si>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</si>
  <si>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</si>
  <si>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</si>
  <si>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</si>
  <si>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</si>
  <si>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</si>
  <si>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</si>
  <si>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</si>
  <si>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</si>
  <si>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</si>
  <si>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</si>
  <si>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</si>
  <si>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</si>
  <si>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</si>
  <si>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</si>
  <si>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</si>
  <si>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</si>
  <si>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</si>
  <si>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</si>
  <si>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</si>
  <si>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</si>
  <si>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</si>
  <si>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</si>
  <si>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</si>
  <si>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</si>
  <si>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</si>
  <si>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</si>
  <si>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</si>
  <si>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</si>
  <si>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</si>
  <si>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</si>
  <si>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</si>
  <si>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</si>
  <si>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</si>
  <si>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</si>
  <si>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</si>
  <si>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</si>
  <si>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</si>
  <si>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</si>
  <si>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</si>
  <si>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</si>
  <si>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</si>
  <si>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</si>
  <si>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</si>
  <si>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</si>
  <si>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</si>
  <si>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</si>
  <si>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</si>
  <si>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</si>
  <si>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</si>
  <si>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</si>
  <si>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</si>
  <si>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</si>
  <si>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</si>
  <si>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</si>
  <si>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</si>
  <si>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</si>
  <si>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</si>
  <si>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</si>
  <si>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</si>
  <si>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</si>
  <si>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</si>
  <si>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</si>
  <si>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</si>
  <si>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</si>
  <si>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</si>
  <si>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</si>
  <si>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</si>
  <si>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</si>
  <si>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</si>
  <si>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</si>
  <si>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</si>
  <si>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</si>
  <si>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</si>
  <si>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</si>
  <si>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办公项目</t>
  </si>
  <si>
    <t>无</t>
  </si>
  <si>
    <t>否</t>
  </si>
  <si>
    <r>
      <rPr>
        <sz val="10"/>
        <color indexed="8"/>
        <rFont val="宋体"/>
        <family val="3"/>
        <charset val="134"/>
      </rPr>
      <t>浙（</t>
    </r>
    <r>
      <rPr>
        <sz val="10"/>
        <color indexed="8"/>
        <rFont val="Arial"/>
        <family val="2"/>
      </rPr>
      <t>2018</t>
    </r>
    <r>
      <rPr>
        <sz val="10"/>
        <color indexed="8"/>
        <rFont val="宋体"/>
        <family val="3"/>
        <charset val="134"/>
      </rPr>
      <t>）象山县不动产权第</t>
    </r>
    <r>
      <rPr>
        <sz val="10"/>
        <color indexed="8"/>
        <rFont val="Arial"/>
        <family val="2"/>
      </rPr>
      <t>0004001</t>
    </r>
    <r>
      <rPr>
        <sz val="10"/>
        <color indexed="8"/>
        <rFont val="宋体"/>
        <family val="3"/>
        <charset val="134"/>
      </rPr>
      <t>号</t>
    </r>
    <phoneticPr fontId="3" type="noConversion"/>
  </si>
  <si>
    <t>办公</t>
    <phoneticPr fontId="3" type="noConversion"/>
  </si>
  <si>
    <t>是</t>
  </si>
  <si>
    <t>地上</t>
  </si>
  <si>
    <t>附属用房</t>
    <phoneticPr fontId="3" type="noConversion"/>
  </si>
  <si>
    <t>办公</t>
    <phoneticPr fontId="7" type="noConversion"/>
  </si>
  <si>
    <t>成新度</t>
  </si>
  <si>
    <t>请录依据文件名称：象山县人民政府办公室关于印发《象山县城市市政基础设施配套费管理办法》的通知</t>
    <phoneticPr fontId="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</si>
  <si>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浙（</t>
    </r>
    <r>
      <rPr>
        <sz val="12"/>
        <color theme="9" tint="-0.249977111117893"/>
        <rFont val="Arial"/>
        <family val="2"/>
      </rPr>
      <t>2018</t>
    </r>
    <r>
      <rPr>
        <sz val="12"/>
        <color theme="9" tint="-0.249977111117893"/>
        <rFont val="宋体"/>
        <family val="3"/>
        <charset val="134"/>
      </rPr>
      <t>）象山县不动产权第</t>
    </r>
    <r>
      <rPr>
        <sz val="12"/>
        <color theme="9" tint="-0.249977111117893"/>
        <rFont val="Arial"/>
        <family val="2"/>
      </rPr>
      <t>0004001</t>
    </r>
    <r>
      <rPr>
        <sz val="12"/>
        <color theme="9" tint="-0.249977111117893"/>
        <rFont val="宋体"/>
        <family val="3"/>
        <charset val="134"/>
      </rPr>
      <t>号</t>
    </r>
    <r>
      <rPr>
        <sz val="12"/>
        <color theme="9" tint="-0.249977111117893"/>
        <rFont val="Arial"/>
        <family val="2"/>
      </rPr>
      <t>]</t>
    </r>
    <phoneticPr fontId="6" type="noConversion"/>
  </si>
  <si>
    <t>收益法</t>
  </si>
  <si>
    <t>钢混</t>
  </si>
  <si>
    <t>非生产用房</t>
  </si>
  <si>
    <t>按租金收入计税</t>
  </si>
  <si>
    <t>天安路999号</t>
    <phoneticPr fontId="3" type="noConversion"/>
  </si>
  <si>
    <t>奥林大厦</t>
    <phoneticPr fontId="3" type="noConversion"/>
  </si>
  <si>
    <t>正常</t>
  </si>
  <si>
    <t>办公</t>
    <phoneticPr fontId="32" type="noConversion"/>
  </si>
  <si>
    <t>30-40（含）</t>
  </si>
  <si>
    <t>较好</t>
  </si>
  <si>
    <t>六通</t>
  </si>
  <si>
    <t>五通</t>
  </si>
  <si>
    <t>主干道</t>
    <phoneticPr fontId="32" type="noConversion"/>
  </si>
  <si>
    <t>次干道</t>
  </si>
  <si>
    <t>次干道</t>
    <phoneticPr fontId="32" type="noConversion"/>
  </si>
  <si>
    <t>支路</t>
    <phoneticPr fontId="32" type="noConversion"/>
  </si>
  <si>
    <t>天安路</t>
    <phoneticPr fontId="32" type="noConversion"/>
  </si>
  <si>
    <t>高层区</t>
    <phoneticPr fontId="32" type="noConversion"/>
  </si>
  <si>
    <t>中层区</t>
  </si>
  <si>
    <t>中层区</t>
    <phoneticPr fontId="32" type="noConversion"/>
  </si>
  <si>
    <t>低层区</t>
    <phoneticPr fontId="32" type="noConversion"/>
  </si>
  <si>
    <t>全朝向</t>
  </si>
  <si>
    <t>南</t>
  </si>
  <si>
    <t>东北</t>
  </si>
  <si>
    <t>西北</t>
  </si>
  <si>
    <t>标准写字楼</t>
  </si>
  <si>
    <t>标准写字楼</t>
    <phoneticPr fontId="32" type="noConversion"/>
  </si>
  <si>
    <t>精装修</t>
  </si>
  <si>
    <t>精装修</t>
    <phoneticPr fontId="32" type="noConversion"/>
  </si>
  <si>
    <t>普通装修</t>
    <phoneticPr fontId="32" type="noConversion"/>
  </si>
  <si>
    <t>简单装修</t>
    <phoneticPr fontId="32" type="noConversion"/>
  </si>
  <si>
    <t>毛坯</t>
  </si>
  <si>
    <t>毛坯</t>
    <phoneticPr fontId="32" type="noConversion"/>
  </si>
  <si>
    <t>好</t>
  </si>
  <si>
    <t>现房</t>
  </si>
  <si>
    <t>滨海大道</t>
    <phoneticPr fontId="32" type="noConversion"/>
  </si>
  <si>
    <t>王鹏</t>
  </si>
  <si>
    <t>郑燚</t>
  </si>
  <si>
    <t>钢混</t>
    <phoneticPr fontId="32" type="noConversion"/>
  </si>
  <si>
    <t>好</t>
    <phoneticPr fontId="32" type="noConversion"/>
  </si>
  <si>
    <t>较好</t>
    <phoneticPr fontId="32" type="noConversion"/>
  </si>
  <si>
    <t>一般</t>
    <phoneticPr fontId="32" type="noConversion"/>
  </si>
  <si>
    <t>甲级</t>
  </si>
  <si>
    <t>甲级</t>
    <phoneticPr fontId="32" type="noConversion"/>
  </si>
  <si>
    <t>乙级</t>
    <phoneticPr fontId="32" type="noConversion"/>
  </si>
  <si>
    <t>好</t>
    <phoneticPr fontId="32" type="noConversion"/>
  </si>
  <si>
    <t>六通</t>
    <phoneticPr fontId="32" type="noConversion"/>
  </si>
  <si>
    <t>五通</t>
    <phoneticPr fontId="32" type="noConversion"/>
  </si>
  <si>
    <t>四通</t>
    <phoneticPr fontId="32" type="noConversion"/>
  </si>
  <si>
    <t>超高层高</t>
    <phoneticPr fontId="32" type="noConversion"/>
  </si>
  <si>
    <t>标准层高</t>
  </si>
  <si>
    <t>标准层高</t>
    <phoneticPr fontId="32" type="noConversion"/>
  </si>
  <si>
    <t>浙江省宁波市</t>
    <phoneticPr fontId="6" type="noConversion"/>
  </si>
  <si>
    <r>
      <rPr>
        <sz val="12"/>
        <color theme="9" tint="-0.249977111117893"/>
        <rFont val="宋体"/>
        <family val="3"/>
        <charset val="134"/>
      </rPr>
      <t>象山县丹东街道天安路</t>
    </r>
    <r>
      <rPr>
        <sz val="12"/>
        <color theme="9" tint="-0.249977111117893"/>
        <rFont val="Arial"/>
        <family val="2"/>
      </rPr>
      <t>999</t>
    </r>
    <r>
      <rPr>
        <sz val="12"/>
        <color theme="9" tint="-0.249977111117893"/>
        <rFont val="宋体"/>
        <family val="3"/>
        <charset val="134"/>
      </rPr>
      <t>号</t>
    </r>
    <phoneticPr fontId="6" type="noConversion"/>
  </si>
  <si>
    <t>办公</t>
    <phoneticPr fontId="6" type="noConversion"/>
  </si>
  <si>
    <t>土地面积</t>
  </si>
  <si>
    <t>项目全部</t>
  </si>
  <si>
    <t>其他</t>
    <phoneticPr fontId="32" type="noConversion"/>
  </si>
  <si>
    <t>无</t>
    <phoneticPr fontId="32" type="noConversion"/>
  </si>
  <si>
    <t>售价</t>
  </si>
  <si>
    <t>财富中心</t>
    <phoneticPr fontId="3" type="noConversion"/>
  </si>
  <si>
    <t>40-50（含）</t>
  </si>
  <si>
    <t>象山县城市新中心区开发有限公司</t>
    <phoneticPr fontId="6" type="noConversion"/>
  </si>
  <si>
    <r>
      <rPr>
        <sz val="10"/>
        <color indexed="8"/>
        <rFont val="宋体"/>
        <family val="3"/>
        <charset val="134"/>
      </rPr>
      <t>办公楼</t>
    </r>
    <r>
      <rPr>
        <sz val="10"/>
        <color indexed="8"/>
        <rFont val="Arial"/>
        <family val="2"/>
      </rPr>
      <t>1</t>
    </r>
    <phoneticPr fontId="25" type="noConversion"/>
  </si>
  <si>
    <r>
      <rPr>
        <sz val="10"/>
        <color indexed="8"/>
        <rFont val="宋体"/>
        <family val="3"/>
        <charset val="134"/>
      </rPr>
      <t>办公楼</t>
    </r>
    <r>
      <rPr>
        <sz val="10"/>
        <color indexed="8"/>
        <rFont val="Arial"/>
        <family val="2"/>
      </rPr>
      <t>2</t>
    </r>
    <phoneticPr fontId="25" type="noConversion"/>
  </si>
  <si>
    <t>典型户型修正</t>
  </si>
  <si>
    <t>押二</t>
  </si>
  <si>
    <t>地下可免费使用</t>
    <phoneticPr fontId="32" type="noConversion"/>
  </si>
  <si>
    <t>地下可免费使用</t>
    <phoneticPr fontId="32" type="noConversion"/>
  </si>
  <si>
    <t>总楼层</t>
    <phoneticPr fontId="32" type="noConversion"/>
  </si>
  <si>
    <t>天力大厦</t>
    <phoneticPr fontId="3" type="noConversion"/>
  </si>
  <si>
    <t>总楼层</t>
    <phoneticPr fontId="3" type="noConversion"/>
  </si>
  <si>
    <r>
      <rPr>
        <sz val="11"/>
        <color indexed="8"/>
        <rFont val="宋体"/>
        <family val="3"/>
        <charset val="134"/>
      </rPr>
      <t>每</t>
    </r>
    <r>
      <rPr>
        <sz val="11"/>
        <color indexed="8"/>
        <rFont val="Arial"/>
        <family val="2"/>
      </rPr>
      <t>10</t>
    </r>
    <r>
      <rPr>
        <sz val="11"/>
        <color indexed="8"/>
        <rFont val="宋体"/>
        <family val="3"/>
        <charset val="134"/>
      </rPr>
      <t>层修</t>
    </r>
    <r>
      <rPr>
        <sz val="11"/>
        <color indexed="8"/>
        <rFont val="Arial"/>
        <family val="2"/>
      </rPr>
      <t>1</t>
    </r>
    <r>
      <rPr>
        <sz val="11"/>
        <color indexed="8"/>
        <rFont val="宋体"/>
        <family val="3"/>
        <charset val="134"/>
      </rPr>
      <t>个点</t>
    </r>
    <phoneticPr fontId="32" type="noConversion"/>
  </si>
  <si>
    <r>
      <t>每</t>
    </r>
    <r>
      <rPr>
        <sz val="10"/>
        <color indexed="8"/>
        <rFont val="Arial"/>
        <family val="2"/>
      </rPr>
      <t>10</t>
    </r>
    <r>
      <rPr>
        <sz val="10"/>
        <color indexed="8"/>
        <rFont val="宋体"/>
        <family val="3"/>
        <charset val="134"/>
      </rPr>
      <t>层修</t>
    </r>
    <r>
      <rPr>
        <sz val="10"/>
        <color indexed="8"/>
        <rFont val="Arial"/>
        <family val="2"/>
      </rPr>
      <t>1</t>
    </r>
    <r>
      <rPr>
        <sz val="10"/>
        <color indexed="8"/>
        <rFont val="宋体"/>
        <family val="3"/>
        <charset val="134"/>
      </rPr>
      <t>个点</t>
    </r>
  </si>
  <si>
    <t>国民信托有限公司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</si>
</sst>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181" fontId="55" fillId="9" borderId="61" xfId="0" applyNumberFormat="1" applyFont="1" applyFill="1" applyBorder="1" applyAlignment="1" applyProtection="1">
      <alignment horizontal="center" vertical="center"/>
      <protection locked="0"/>
    </xf>
    <xf numFmtId="0" fontId="47" fillId="0" borderId="5" xfId="0" applyFont="1" applyFill="1" applyBorder="1" applyAlignment="1" applyProtection="1">
      <alignment horizontal="center" vertical="center" wrapText="1"/>
    </xf>
    <xf numFmtId="0" fontId="137" fillId="0" borderId="37" xfId="0" applyNumberFormat="1" applyFont="1" applyFill="1" applyBorder="1" applyAlignment="1" applyProtection="1">
      <alignment horizontal="center" vertical="center" wrapText="1"/>
      <protection locked="0"/>
    </xf>
    <xf numFmtId="49" fontId="47" fillId="5" borderId="23" xfId="0" applyNumberFormat="1" applyFont="1" applyFill="1" applyBorder="1" applyAlignment="1" applyProtection="1">
      <alignment horizontal="center" vertical="center" wrapText="1"/>
      <protection locked="0"/>
    </xf>
    <xf numFmtId="0" fontId="50" fillId="17" borderId="1" xfId="0" applyFont="1" applyFill="1" applyBorder="1" applyProtection="1">
      <alignment vertical="center"/>
    </xf>
    <xf numFmtId="0" fontId="50" fillId="17" borderId="24" xfId="0" applyFont="1" applyFill="1" applyBorder="1" applyAlignment="1" applyProtection="1">
      <alignment horizontal="center" vertical="center"/>
    </xf>
    <xf numFmtId="0" fontId="137" fillId="0" borderId="24" xfId="0"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120" fillId="6" borderId="1" xfId="0" applyFont="1" applyFill="1" applyBorder="1" applyAlignment="1" applyProtection="1">
      <alignment horizontal="center" vertical="center"/>
    </xf>
    <xf numFmtId="0" fontId="80" fillId="0" borderId="1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4</xdr:row>
      <xdr:rowOff>19050</xdr:rowOff>
    </xdr:from>
    <xdr:to>
      <xdr:col>7</xdr:col>
      <xdr:colOff>80963</xdr:colOff>
      <xdr:row>38</xdr:row>
      <xdr:rowOff>152400</xdr:rowOff>
    </xdr:to>
    <xdr:pic>
      <xdr:nvPicPr>
        <xdr:cNvPr id="3" name="图片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704850"/>
          <a:ext cx="4471988" cy="5962650"/>
        </a:xfrm>
        <a:prstGeom prst="rect">
          <a:avLst/>
        </a:prstGeom>
      </xdr:spPr>
    </xdr:pic>
    <xdr:clientData/>
  </xdr:twoCellAnchor>
  <xdr:twoCellAnchor editAs="oneCell">
    <xdr:from>
      <xdr:col>7</xdr:col>
      <xdr:colOff>466725</xdr:colOff>
      <xdr:row>7</xdr:row>
      <xdr:rowOff>95249</xdr:rowOff>
    </xdr:from>
    <xdr:to>
      <xdr:col>16</xdr:col>
      <xdr:colOff>352425</xdr:colOff>
      <xdr:row>34</xdr:row>
      <xdr:rowOff>9524</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7325" y="1295399"/>
          <a:ext cx="6057900" cy="4543425"/>
        </a:xfrm>
        <a:prstGeom prst="rect">
          <a:avLst/>
        </a:prstGeom>
      </xdr:spPr>
    </xdr:pic>
    <xdr:clientData/>
  </xdr:twoCellAnchor>
  <xdr:twoCellAnchor editAs="oneCell">
    <xdr:from>
      <xdr:col>1</xdr:col>
      <xdr:colOff>42869</xdr:colOff>
      <xdr:row>41</xdr:row>
      <xdr:rowOff>95250</xdr:rowOff>
    </xdr:from>
    <xdr:to>
      <xdr:col>12</xdr:col>
      <xdr:colOff>522508</xdr:colOff>
      <xdr:row>66</xdr:row>
      <xdr:rowOff>37380</xdr:rowOff>
    </xdr:to>
    <xdr:pic>
      <xdr:nvPicPr>
        <xdr:cNvPr id="2" name="图片 1"/>
        <xdr:cNvPicPr>
          <a:picLocks noChangeAspect="1"/>
        </xdr:cNvPicPr>
      </xdr:nvPicPr>
      <xdr:blipFill>
        <a:blip xmlns:r="http://schemas.openxmlformats.org/officeDocument/2006/relationships" r:embed="rId3"/>
        <a:stretch>
          <a:fillRect/>
        </a:stretch>
      </xdr:blipFill>
      <xdr:spPr>
        <a:xfrm>
          <a:off x="728669" y="7124700"/>
          <a:ext cx="8023439" cy="42283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浙江省宁波市象山县丹东街道天安路999号房地产抵押价值预评估</v>
      </c>
    </row>
    <row r="3" spans="1:2" s="1596" customFormat="1">
      <c r="A3" s="1594" t="s">
        <v>1217</v>
      </c>
      <c r="B3" s="1595" t="str">
        <f>'预评函-封皮'!B40</f>
        <v>象山县城市新中心区开发有限公司</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受贵公司委托，我公司对浙江省宁波市象山县丹东街道天安路999号房地产抵押价值进行了预评估。</v>
      </c>
    </row>
    <row r="7" spans="1:2" s="1596" customFormat="1">
      <c r="A7" s="1594" t="s">
        <v>1260</v>
      </c>
      <c r="B7" s="1595" t="str">
        <f>'预评函-1'!A7</f>
        <v>估价对象为浙江省宁波市象山县丹东街道天安路999号房地产，为象山县城市新中心区开发有限公司所有。根据《不动产权证书》[浙（2018）象山县不动产权第0004001号]，估价对象（分摊）出让国有建设用地使用权面积为96248.76平方米，建筑面积为96955.04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浙江省宁波市象山县丹东街道天安路999号房地产,为象山县城市新中心区开发有限公司开发建设的办公项目，该项目尚在开发建设中。根据《不动产权证书》[浙（2018）象山县不动产权第0004001号]，估价对象（分摊）出让国有建设用地使用权面积为96248.76平方米，规划建筑面积为96955.04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为估价委托人在向国民信托有限公司办理贷款手续过程中，确定房地产抵押贷款额度提供参考依据而评估房地产抵押价值。</v>
      </c>
    </row>
    <row r="12" spans="1:2" s="1596" customFormat="1">
      <c r="A12" s="1594" t="s">
        <v>1222</v>
      </c>
      <c r="B12" s="1595" t="str">
        <f>'预评函-1'!A15</f>
        <v>2019年3月12日（评估专业人员实地查勘之日）</v>
      </c>
    </row>
    <row r="13" spans="1:2" s="1596" customFormat="1">
      <c r="A13" s="1594" t="s">
        <v>1223</v>
      </c>
      <c r="B13" s="1595" t="str">
        <f>'预评函-1'!A18</f>
        <v>本次估价的“房地产价值”是指在正常市场情况下，在价值时点2019年3月12日，估价对象规划用途为办公，土地取得方式为出让，出让国有建设用地使用权剩余土地使用年限为32.35，假定未设立法定优先受偿款下的房地产市场价值。</v>
      </c>
    </row>
    <row r="14" spans="1:2" s="1596" customFormat="1">
      <c r="A14" s="1594" t="s">
        <v>1224</v>
      </c>
      <c r="B14" s="1595" t="str">
        <f>'预评函-1'!A19</f>
        <v>其中，“出让国有建设用地使用权价值”是指估价对象用途为办公，实际开发程度为宗地红线外“七通”（即、、、、、、）、红线内场地平整条件下，剩余土地使用年限为32.35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本次评估采用的主估价方法为收益法和基准地价系数修正法。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80073</v>
      </c>
    </row>
    <row r="21" spans="1:2" s="1596" customFormat="1">
      <c r="A21" s="1594" t="s">
        <v>1231</v>
      </c>
      <c r="B21" s="1595">
        <f ca="1">'预评函-2'!D7</f>
        <v>11174</v>
      </c>
    </row>
    <row r="22" spans="1:2" s="1596" customFormat="1">
      <c r="A22" s="1594" t="s">
        <v>1232</v>
      </c>
      <c r="B22" s="1595" t="str">
        <f ca="1">'预评函-2'!D6</f>
        <v>捌亿零柒拾叁万元整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80073</v>
      </c>
    </row>
    <row r="31" spans="1:2" s="1596" customFormat="1">
      <c r="A31" s="1594" t="s">
        <v>1270</v>
      </c>
      <c r="B31" s="1595">
        <f ca="1">'预评函-2'!D15</f>
        <v>11174</v>
      </c>
    </row>
    <row r="32" spans="1:2" s="1596" customFormat="1">
      <c r="A32" s="1594" t="s">
        <v>1237</v>
      </c>
      <c r="B32" s="1595" t="str">
        <f ca="1">'预评函-2'!D14</f>
        <v>捌亿零柒拾叁万元整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浙江省宁波市象山县丹东街道天安路999号房地产</v>
      </c>
    </row>
    <row r="42" spans="1:2" s="1596" customFormat="1">
      <c r="A42" s="1594" t="s">
        <v>1284</v>
      </c>
      <c r="B42" s="1595" t="str">
        <f>'预评函-3'!B2</f>
        <v>建筑面积</v>
      </c>
    </row>
    <row r="43" spans="1:2" s="1596" customFormat="1">
      <c r="A43" s="1594" t="s">
        <v>1285</v>
      </c>
      <c r="B43" s="1595">
        <f>'预评函-3'!B4</f>
        <v>96955.040000000008</v>
      </c>
    </row>
    <row r="44" spans="1:2" s="1596" customFormat="1">
      <c r="A44" s="1594" t="s">
        <v>1269</v>
      </c>
      <c r="B44" s="1595" t="str">
        <f>'预评函-3'!C2</f>
        <v>(分摊)土地面积</v>
      </c>
    </row>
    <row r="45" spans="1:2" s="1596" customFormat="1">
      <c r="A45" s="1594" t="s">
        <v>1241</v>
      </c>
      <c r="B45" s="1595">
        <f>'预评函-3'!C4</f>
        <v>96248.76</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3132</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宁波市象山县丹东街道天安路999号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6"/>
      <c r="B54" s="2025" t="s">
        <v>861</v>
      </c>
      <c r="C54" s="2022" t="s">
        <v>1277</v>
      </c>
    </row>
    <row r="55" spans="1:4">
      <c r="A55" s="3016"/>
      <c r="B55" s="2025" t="s">
        <v>862</v>
      </c>
      <c r="C55" s="2022" t="s">
        <v>1278</v>
      </c>
    </row>
    <row r="56" spans="1:4">
      <c r="A56" s="3016"/>
      <c r="B56" s="2025" t="s">
        <v>863</v>
      </c>
      <c r="C56" s="2022" t="s">
        <v>1282</v>
      </c>
    </row>
    <row r="57" spans="1:4">
      <c r="A57" s="301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C11" sqref="C1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1772</v>
      </c>
      <c r="B1" s="3017" t="str">
        <f>IF(B10="北京市","北京市",C10)&amp;F10&amp;IF(结果表!G1="在建","出让国有建设用地使用权及在建建筑物",IF(结果表!G1="土地","出让国有建设用地使用权",))&amp;B9&amp;"预评估"</f>
        <v>浙江省宁波市象山县丹东街道天安路999号房地产抵押价值预评估</v>
      </c>
      <c r="C1" s="3018"/>
      <c r="D1" s="3018"/>
      <c r="E1" s="3018"/>
      <c r="F1" s="3018"/>
      <c r="G1" s="3018"/>
      <c r="H1" s="3018"/>
      <c r="I1" s="301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浙江省宁波市象山县丹东街道天安路999号房地产抵押价值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浙江省宁波市象山县丹东街道天安路999号房地产</v>
      </c>
    </row>
    <row r="3" spans="1:19" ht="18" customHeight="1">
      <c r="A3" s="2038" t="s">
        <v>1774</v>
      </c>
      <c r="B3" s="2039">
        <v>43536</v>
      </c>
      <c r="C3" s="2040" t="s">
        <v>1775</v>
      </c>
      <c r="D3" s="2039">
        <v>43536</v>
      </c>
      <c r="E3" s="2029"/>
      <c r="F3" s="2029"/>
      <c r="G3" s="2029"/>
      <c r="H3" s="2029"/>
      <c r="I3" s="2029"/>
      <c r="J3" s="2029"/>
      <c r="K3" s="2030"/>
      <c r="L3" s="2031"/>
      <c r="M3" s="2031"/>
      <c r="N3" s="2032"/>
      <c r="O3" s="2033"/>
      <c r="P3" s="2032"/>
      <c r="Q3" s="2032"/>
      <c r="R3" s="2032"/>
      <c r="S3" s="2034"/>
    </row>
    <row r="4" spans="1:19" ht="18" customHeight="1" thickBot="1">
      <c r="A4" s="2041" t="s">
        <v>1776</v>
      </c>
      <c r="B4" s="2042" t="s">
        <v>3103</v>
      </c>
      <c r="C4" s="1040">
        <f ca="1">SUMIF(注册房地产估价师,B4,估价师及机构信息!B3:B24)</f>
        <v>1120050019</v>
      </c>
      <c r="D4" s="2042" t="s">
        <v>3104</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1777</v>
      </c>
      <c r="B5" s="2955" t="s">
        <v>3129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56" t="s">
        <v>3141</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57"/>
      <c r="C7" s="2051"/>
      <c r="D7" s="2052"/>
      <c r="E7" s="2037"/>
      <c r="F7" s="2045"/>
      <c r="G7" s="2045"/>
      <c r="H7" s="2045"/>
      <c r="I7" s="2045"/>
      <c r="J7" s="2045"/>
      <c r="K7" s="2054"/>
      <c r="L7" s="2031"/>
      <c r="M7" s="2031"/>
      <c r="N7" s="2032"/>
      <c r="O7" s="2033"/>
      <c r="P7" s="2032"/>
      <c r="Q7" s="2032"/>
      <c r="R7" s="2032"/>
    </row>
    <row r="8" spans="1:19" ht="18" customHeight="1">
      <c r="A8" s="2050" t="s">
        <v>1780</v>
      </c>
      <c r="B8" s="2055" t="s">
        <v>3050</v>
      </c>
      <c r="C8" s="2056"/>
      <c r="D8" s="3020" t="s">
        <v>1781</v>
      </c>
      <c r="E8" s="2057" t="s">
        <v>3051</v>
      </c>
      <c r="F8" s="2058"/>
      <c r="G8" s="2029"/>
      <c r="H8" s="2029"/>
      <c r="I8" s="2029"/>
      <c r="J8" s="2045"/>
      <c r="K8" s="2046"/>
      <c r="L8" s="2031"/>
      <c r="M8" s="2031"/>
      <c r="N8" s="2032"/>
      <c r="O8" s="2033"/>
      <c r="P8" s="2032"/>
      <c r="Q8" s="2032"/>
      <c r="R8" s="2032"/>
    </row>
    <row r="9" spans="1:19" ht="18" customHeight="1" thickBot="1">
      <c r="A9" s="2043" t="s">
        <v>1782</v>
      </c>
      <c r="B9" s="2059" t="s">
        <v>3051</v>
      </c>
      <c r="C9" s="2060"/>
      <c r="D9" s="3021"/>
      <c r="E9" s="2059"/>
      <c r="F9" s="2061"/>
      <c r="G9" s="2062"/>
      <c r="H9" s="2062"/>
      <c r="I9" s="2062"/>
      <c r="J9" s="2045"/>
      <c r="K9" s="2054"/>
      <c r="L9" s="2031"/>
      <c r="M9" s="2031"/>
      <c r="N9" s="2032"/>
      <c r="O9" s="2033"/>
      <c r="P9" s="2032"/>
      <c r="Q9" s="2032"/>
      <c r="R9" s="2032"/>
    </row>
    <row r="10" spans="1:19" ht="18" customHeight="1" thickTop="1">
      <c r="A10" s="2063" t="s">
        <v>1783</v>
      </c>
      <c r="B10" s="2064" t="s">
        <v>3052</v>
      </c>
      <c r="C10" s="2958" t="s">
        <v>3119</v>
      </c>
      <c r="D10" s="2049"/>
      <c r="E10" s="2065" t="s">
        <v>1784</v>
      </c>
      <c r="F10" s="2066" t="s">
        <v>3120</v>
      </c>
      <c r="G10" s="2067"/>
      <c r="H10" s="2068"/>
      <c r="I10" s="2049"/>
      <c r="J10" s="2045"/>
      <c r="K10" s="2054"/>
      <c r="L10" s="2031"/>
      <c r="M10" s="2031"/>
      <c r="N10" s="2032"/>
      <c r="O10" s="2033"/>
      <c r="P10" s="2032"/>
      <c r="Q10" s="2032"/>
      <c r="R10" s="2032"/>
    </row>
    <row r="11" spans="1:19" ht="18" customHeight="1">
      <c r="A11" s="2069" t="s">
        <v>1785</v>
      </c>
      <c r="B11" s="2070" t="s">
        <v>3053</v>
      </c>
      <c r="C11" s="2959" t="s">
        <v>3129</v>
      </c>
      <c r="D11" s="2071"/>
      <c r="E11" s="2045"/>
      <c r="F11" s="2045"/>
      <c r="G11" s="2045"/>
      <c r="H11" s="2045"/>
      <c r="I11" s="2045"/>
      <c r="J11" s="2045"/>
      <c r="K11" s="2054"/>
      <c r="L11" s="2031"/>
      <c r="M11" s="2031"/>
      <c r="N11" s="2032"/>
      <c r="O11" s="2033"/>
      <c r="P11" s="2032"/>
      <c r="Q11" s="2032"/>
      <c r="R11" s="2032"/>
    </row>
    <row r="12" spans="1:19" ht="18" customHeight="1">
      <c r="A12" s="2072" t="s">
        <v>1786</v>
      </c>
      <c r="B12" s="2070" t="s">
        <v>3054</v>
      </c>
      <c r="C12" s="2073" t="s">
        <v>1787</v>
      </c>
      <c r="D12" s="2074" t="s">
        <v>1788</v>
      </c>
      <c r="E12" s="2074" t="s">
        <v>1789</v>
      </c>
      <c r="F12" s="2074" t="s">
        <v>1790</v>
      </c>
      <c r="G12" s="2074" t="s">
        <v>1791</v>
      </c>
      <c r="H12" s="2074" t="s">
        <v>1792</v>
      </c>
      <c r="I12" s="2074" t="s">
        <v>1793</v>
      </c>
      <c r="J12" s="2045"/>
      <c r="K12" s="2054"/>
      <c r="L12" s="2031"/>
      <c r="M12" s="2031"/>
      <c r="N12" s="2032"/>
      <c r="O12" s="2033"/>
      <c r="P12" s="2032"/>
      <c r="Q12" s="2032"/>
      <c r="R12" s="2032"/>
    </row>
    <row r="13" spans="1:19" ht="18" customHeight="1">
      <c r="A13" s="2075"/>
      <c r="B13" s="2076"/>
      <c r="C13" s="2077" t="s">
        <v>1794</v>
      </c>
      <c r="D13" s="2078"/>
      <c r="E13" s="2078"/>
      <c r="F13" s="2078">
        <v>55346</v>
      </c>
      <c r="G13" s="2078"/>
      <c r="H13" s="2078"/>
      <c r="I13" s="1050"/>
      <c r="J13" s="2045"/>
      <c r="K13" s="2054"/>
      <c r="L13" s="2031"/>
      <c r="M13" s="2031"/>
      <c r="N13" s="2032"/>
      <c r="O13" s="2033"/>
      <c r="P13" s="2032"/>
      <c r="Q13" s="2032"/>
      <c r="R13" s="2032"/>
    </row>
    <row r="14" spans="1:19" ht="18" customHeight="1">
      <c r="A14" s="2075"/>
      <c r="B14" s="2076"/>
      <c r="C14" s="2077" t="s">
        <v>1795</v>
      </c>
      <c r="D14" s="1053"/>
      <c r="E14" s="1053"/>
      <c r="F14" s="1053">
        <v>50</v>
      </c>
      <c r="G14" s="1053"/>
      <c r="H14" s="1053"/>
      <c r="I14" s="1053"/>
      <c r="J14" s="2045"/>
      <c r="K14" s="2079"/>
      <c r="L14" s="2031"/>
      <c r="M14" s="2031"/>
      <c r="N14" s="2032"/>
      <c r="O14" s="2033"/>
      <c r="P14" s="2032"/>
      <c r="Q14" s="2032"/>
      <c r="R14" s="2032"/>
    </row>
    <row r="15" spans="1:19" ht="18" customHeight="1">
      <c r="A15" s="2063"/>
      <c r="B15" s="2080"/>
      <c r="C15" s="2077" t="s">
        <v>1796</v>
      </c>
      <c r="D15" s="1052" t="str">
        <f>IF(B12="出让",IF(D13="","",ROUNDDOWN(MIN((D13-$D$3)/365,D14),2)),D14)</f>
        <v/>
      </c>
      <c r="E15" s="1052" t="str">
        <f>IF(B12="出让",IF(E13="","",ROUNDDOWN(MIN((E13-$D$3)/365,E14),2)),E14)</f>
        <v/>
      </c>
      <c r="F15" s="1052">
        <f>IF(B12="出让",IF(F13="","",ROUNDDOWN(MIN((F13-$D$3)/365,F14),2)),F14)</f>
        <v>32.35</v>
      </c>
      <c r="G15" s="1052" t="str">
        <f>IF(B12="出让",IF(G13="","",ROUNDDOWN(MIN((G13-$D$3)/365,G14),2)),G14)</f>
        <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5" t="s">
        <v>1797</v>
      </c>
      <c r="B16" s="3027" t="s">
        <v>3121</v>
      </c>
      <c r="C16" s="3028"/>
      <c r="D16" s="3029"/>
      <c r="E16" s="2084" t="s">
        <v>1798</v>
      </c>
      <c r="F16" s="3030">
        <v>32.35</v>
      </c>
      <c r="G16" s="3031"/>
      <c r="H16" s="3031"/>
      <c r="I16" s="3032"/>
      <c r="J16" s="2032"/>
      <c r="K16" s="2081"/>
      <c r="L16" s="2082"/>
      <c r="M16" s="2082"/>
      <c r="N16" s="2083"/>
      <c r="O16" s="2082"/>
      <c r="P16" s="2083"/>
      <c r="Q16" s="2032"/>
      <c r="R16" s="2032"/>
    </row>
    <row r="17" spans="1:22" ht="18" customHeight="1">
      <c r="A17" s="2085" t="s">
        <v>1799</v>
      </c>
      <c r="B17" s="2038" t="s">
        <v>1800</v>
      </c>
      <c r="C17" s="1057">
        <f>'数据-汇总表'!E3</f>
        <v>96955.040000000008</v>
      </c>
      <c r="D17" s="2086" t="s">
        <v>1801</v>
      </c>
      <c r="E17" s="3033" t="s">
        <v>1802</v>
      </c>
      <c r="F17" s="3034"/>
      <c r="G17" s="3034"/>
      <c r="H17" s="3034"/>
      <c r="I17" s="3035"/>
      <c r="J17" s="2032"/>
      <c r="K17" s="2087"/>
      <c r="L17" s="2082"/>
      <c r="M17" s="2082"/>
      <c r="N17" s="2083"/>
      <c r="O17" s="2082"/>
      <c r="P17" s="2083"/>
      <c r="Q17" s="2032"/>
      <c r="R17" s="2032"/>
      <c r="S17" s="2032"/>
      <c r="T17" s="2032"/>
      <c r="U17" s="2032"/>
      <c r="V17" s="2032"/>
    </row>
    <row r="18" spans="1:22" ht="36" customHeight="1" thickBot="1">
      <c r="A18" s="2088" t="s">
        <v>1803</v>
      </c>
      <c r="B18" s="2041" t="s">
        <v>1804</v>
      </c>
      <c r="C18" s="1447">
        <f>'数据-汇总表'!D3</f>
        <v>96248.76</v>
      </c>
      <c r="D18" s="2089" t="s">
        <v>1801</v>
      </c>
      <c r="E18" s="3036" t="s">
        <v>3066</v>
      </c>
      <c r="F18" s="3037"/>
      <c r="G18" s="3037"/>
      <c r="H18" s="3037"/>
      <c r="I18" s="3038"/>
      <c r="J18" s="2032"/>
      <c r="K18" s="2087"/>
      <c r="L18" s="2082"/>
      <c r="M18" s="2082"/>
      <c r="N18" s="2083"/>
      <c r="O18" s="2082"/>
      <c r="P18" s="2083"/>
      <c r="Q18" s="2032"/>
      <c r="R18" s="2032"/>
      <c r="S18" s="2032"/>
      <c r="T18" s="2032"/>
      <c r="U18" s="2032"/>
      <c r="V18" s="2032"/>
    </row>
    <row r="19" spans="1:22" ht="37.5" customHeight="1" thickTop="1" thickBot="1">
      <c r="A19" s="373" t="s">
        <v>1805</v>
      </c>
      <c r="B19" s="352" t="s">
        <v>1806</v>
      </c>
      <c r="C19" s="2090" t="s">
        <v>3057</v>
      </c>
      <c r="D19" s="2091" t="s">
        <v>1807</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1808</v>
      </c>
      <c r="B20" s="3023" t="s">
        <v>1809</v>
      </c>
      <c r="C20" s="3024"/>
      <c r="D20" s="3025" t="s">
        <v>1810</v>
      </c>
      <c r="E20" s="3026"/>
      <c r="F20" s="2096" t="s">
        <v>1811</v>
      </c>
      <c r="G20" s="2045"/>
      <c r="H20" s="2045"/>
      <c r="I20" s="2045"/>
      <c r="J20" s="2045"/>
      <c r="K20" s="3022"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1813</v>
      </c>
      <c r="C21" s="2098" t="s">
        <v>1814</v>
      </c>
      <c r="D21" s="2099" t="s">
        <v>1815</v>
      </c>
      <c r="E21" s="2100" t="s">
        <v>1814</v>
      </c>
      <c r="F21" s="2101"/>
      <c r="G21" s="2045"/>
      <c r="H21" s="2045"/>
      <c r="I21" s="2045"/>
      <c r="J21" s="2045"/>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1816</v>
      </c>
      <c r="C22" s="2098" t="s">
        <v>1817</v>
      </c>
      <c r="D22" s="2029"/>
      <c r="E22" s="2029"/>
      <c r="F22" s="2103"/>
      <c r="G22" s="2045"/>
      <c r="H22" s="2045"/>
      <c r="I22" s="2045"/>
      <c r="J22" s="2045"/>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1818</v>
      </c>
      <c r="B23" s="183" t="s">
        <v>1819</v>
      </c>
      <c r="C23" s="2105"/>
      <c r="D23" s="2106" t="s">
        <v>1819</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1820</v>
      </c>
      <c r="C24" s="2110"/>
      <c r="D24" s="2104" t="s">
        <v>1820</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1821</v>
      </c>
      <c r="C25" s="2110"/>
      <c r="D25" s="2104" t="s">
        <v>1821</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1822</v>
      </c>
      <c r="C26" s="2114"/>
      <c r="D26" s="2115" t="s">
        <v>1823</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40" t="s">
        <v>1824</v>
      </c>
      <c r="B27" s="2063" t="s">
        <v>1825</v>
      </c>
      <c r="C27" s="2118" t="s">
        <v>3055</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40"/>
      <c r="B28" s="2038" t="s">
        <v>1826</v>
      </c>
      <c r="C28" s="2120" t="s">
        <v>3056</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40"/>
      <c r="B29" s="2038" t="s">
        <v>1827</v>
      </c>
      <c r="C29" s="2123" t="s">
        <v>3057</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41"/>
      <c r="B30" s="2038" t="s">
        <v>1828</v>
      </c>
      <c r="C30" s="3042"/>
      <c r="D30" s="3043"/>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44" t="s">
        <v>1829</v>
      </c>
      <c r="B31" s="2125"/>
      <c r="C31" s="2126" t="str">
        <f>IF(B31="现房","成新及维护状况正常否",IF(B31="在建","工程状态是否正常",IF(B31="土地","是否闲置","-")))</f>
        <v>-</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45"/>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45"/>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1830</v>
      </c>
      <c r="B34" s="2132"/>
      <c r="C34" s="2132"/>
      <c r="D34" s="2132"/>
      <c r="E34" s="2132"/>
      <c r="F34" s="2132"/>
      <c r="G34" s="2132"/>
      <c r="H34" s="2132"/>
      <c r="I34" s="2045"/>
      <c r="J34" s="2045"/>
      <c r="K34" s="1798">
        <f>COUNTIF(B34:H34,"——")</f>
        <v>0</v>
      </c>
      <c r="L34" s="2073" t="s">
        <v>1831</v>
      </c>
      <c r="M34" s="2073" t="s">
        <v>1832</v>
      </c>
      <c r="N34" s="2073" t="s">
        <v>1833</v>
      </c>
      <c r="O34" s="2073" t="s">
        <v>1834</v>
      </c>
      <c r="P34" s="2073" t="s">
        <v>1835</v>
      </c>
      <c r="Q34" s="2073" t="s">
        <v>1836</v>
      </c>
      <c r="R34" s="2073" t="s">
        <v>1837</v>
      </c>
      <c r="S34" s="3039" t="s">
        <v>1838</v>
      </c>
      <c r="T34" s="2133" t="str">
        <f>NUMBERSTRING(7-K34,1)&amp;"通"</f>
        <v>七通</v>
      </c>
      <c r="U34" s="2032"/>
      <c r="V34" s="2032"/>
    </row>
    <row r="35" spans="1:22" ht="18" customHeight="1">
      <c r="A35" s="2134"/>
      <c r="B35" s="3046" t="s">
        <v>1839</v>
      </c>
      <c r="C35" s="3046"/>
      <c r="D35" s="3046"/>
      <c r="E35" s="3046"/>
      <c r="F35" s="2135" t="str">
        <f>C10</f>
        <v>浙江省宁波市</v>
      </c>
      <c r="G35" s="2045"/>
      <c r="H35" s="2045"/>
      <c r="I35" s="2045"/>
      <c r="J35" s="2045"/>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9"/>
      <c r="T35" s="48" t="str">
        <f>IF(T34="一通",L35,IF(T34="二通",M35,IF(T34="三通",N35,IF(T34="四通",O35,IF(T34="五通",P35,IF(T34="六通",Q35,R35))))))</f>
        <v>、、、、、、</v>
      </c>
      <c r="U35" s="2032"/>
      <c r="V35" s="2032"/>
    </row>
    <row r="36" spans="1:22" ht="18" customHeight="1">
      <c r="A36" s="2136"/>
      <c r="B36" s="2135" t="s">
        <v>1840</v>
      </c>
      <c r="C36" s="2135" t="s">
        <v>1841</v>
      </c>
      <c r="D36" s="2135" t="s">
        <v>1842</v>
      </c>
      <c r="E36" s="2135" t="s">
        <v>1843</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1844</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1845</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1847</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1848</v>
      </c>
      <c r="B42" s="1798" t="s">
        <v>1849</v>
      </c>
      <c r="C42" s="1798" t="s">
        <v>1850</v>
      </c>
      <c r="D42" s="1798" t="s">
        <v>1851</v>
      </c>
      <c r="E42" s="1798" t="s">
        <v>1852</v>
      </c>
      <c r="F42" s="1798" t="s">
        <v>1853</v>
      </c>
      <c r="G42" s="1798" t="s">
        <v>1854</v>
      </c>
      <c r="H42" s="1798" t="s">
        <v>1855</v>
      </c>
      <c r="I42" s="1798" t="s">
        <v>1856</v>
      </c>
      <c r="J42" s="2151" t="s">
        <v>1857</v>
      </c>
      <c r="K42" s="2074" t="s">
        <v>1858</v>
      </c>
      <c r="L42" s="2074" t="s">
        <v>1859</v>
      </c>
      <c r="M42" s="2074" t="s">
        <v>1860</v>
      </c>
      <c r="N42" s="1798" t="s">
        <v>1861</v>
      </c>
      <c r="O42" s="1798" t="s">
        <v>1862</v>
      </c>
      <c r="P42" s="1798" t="s">
        <v>1863</v>
      </c>
      <c r="Q42" s="2073" t="s">
        <v>1864</v>
      </c>
      <c r="R42" s="2073" t="s">
        <v>1865</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4" sqref="A14:XFD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hidden="1"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9" width="9.5" style="2158" hidden="1" customWidth="1"/>
    <col min="40"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75" style="2158" customWidth="1"/>
    <col min="65" max="65" width="11.125" style="2158" customWidth="1"/>
    <col min="66" max="66" width="12.25" style="2158" customWidth="1"/>
    <col min="67" max="67" width="13.625" style="2158" customWidth="1"/>
    <col min="68"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1871</v>
      </c>
      <c r="AZ2" s="1273"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96248.76</v>
      </c>
      <c r="B3" s="14">
        <f>IF(C3="否",G5-AT5,G5)</f>
        <v>96955.04</v>
      </c>
      <c r="C3" s="2167" t="s">
        <v>3057</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6"/>
      <c r="C5" s="1806"/>
      <c r="D5" s="1809"/>
      <c r="E5" s="16" t="s">
        <v>1</v>
      </c>
      <c r="F5" s="16">
        <f>SUM(F13:F587)</f>
        <v>0</v>
      </c>
      <c r="G5" s="16">
        <f>SUM(G13:G587)</f>
        <v>99458.31</v>
      </c>
      <c r="H5" s="16">
        <f t="shared" ref="H5:AT5" si="0">SUM(H13:H656)</f>
        <v>71660.160000000003</v>
      </c>
      <c r="I5" s="16">
        <f t="shared" si="0"/>
        <v>71660.160000000003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25294.880000000001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25294.880000000001</v>
      </c>
      <c r="AO5" s="16">
        <f t="shared" si="0"/>
        <v>0</v>
      </c>
      <c r="AP5" s="16">
        <f t="shared" si="0"/>
        <v>0</v>
      </c>
      <c r="AQ5" s="16">
        <f t="shared" si="0"/>
        <v>0</v>
      </c>
      <c r="AR5" s="16">
        <f t="shared" si="0"/>
        <v>0</v>
      </c>
      <c r="AS5" s="16">
        <f t="shared" si="0"/>
        <v>0</v>
      </c>
      <c r="AT5" s="16">
        <f t="shared" si="0"/>
        <v>2503.27</v>
      </c>
      <c r="AU5" s="1805"/>
      <c r="AV5" s="15" t="s">
        <v>1874</v>
      </c>
      <c r="AW5" s="1806"/>
      <c r="AX5" s="1806"/>
      <c r="AY5" s="17" t="s">
        <v>3</v>
      </c>
      <c r="AZ5" s="18">
        <f t="shared" ref="AZ5:BT5" si="1">SUM(AZ13:AZ656)</f>
        <v>96955.040000000008</v>
      </c>
      <c r="BA5" s="18">
        <f t="shared" si="1"/>
        <v>71660.160000000003</v>
      </c>
      <c r="BB5" s="18">
        <f t="shared" si="1"/>
        <v>71660.160000000003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25294.880000000001</v>
      </c>
      <c r="BM5" s="18">
        <f t="shared" si="1"/>
        <v>0</v>
      </c>
      <c r="BN5" s="18">
        <f t="shared" si="1"/>
        <v>0</v>
      </c>
      <c r="BO5" s="18">
        <f t="shared" si="1"/>
        <v>0</v>
      </c>
      <c r="BP5" s="18">
        <f t="shared" si="1"/>
        <v>0</v>
      </c>
      <c r="BQ5" s="18">
        <f t="shared" si="1"/>
        <v>0</v>
      </c>
      <c r="BR5" s="18">
        <f t="shared" si="1"/>
        <v>25294.880000000001</v>
      </c>
      <c r="BS5" s="18">
        <f t="shared" si="1"/>
        <v>0</v>
      </c>
      <c r="BT5" s="19">
        <f t="shared" si="1"/>
        <v>0</v>
      </c>
    </row>
    <row r="6" spans="1:72" s="2176" customFormat="1" ht="12.75">
      <c r="A6" s="15" t="s">
        <v>1875</v>
      </c>
      <c r="B6" s="2173"/>
      <c r="C6" s="2173"/>
      <c r="D6" s="2174"/>
      <c r="E6" s="16">
        <f>H6+AC6+AT6</f>
        <v>96248.76</v>
      </c>
      <c r="F6" s="16" t="s">
        <v>1</v>
      </c>
      <c r="G6" s="16" t="s">
        <v>2</v>
      </c>
      <c r="H6" s="20">
        <f>SUMIF(I$12:AB$12,"总值",I6:AB6)</f>
        <v>71138.14</v>
      </c>
      <c r="I6" s="16">
        <f t="shared" ref="I6:AB6" si="2">ROUND($A$3*I5/$B$3,2)</f>
        <v>71138.14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25110.62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25110.62</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96248.76</v>
      </c>
      <c r="AZ6" s="16" t="s">
        <v>3</v>
      </c>
      <c r="BA6" s="16">
        <f>ROUND($AY$6*BA5/$AZ$5,2)</f>
        <v>71138.14</v>
      </c>
      <c r="BB6" s="16">
        <f>ROUND($AY$6*BB5/$AZ$5,2)</f>
        <v>71138.14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25110.62</v>
      </c>
      <c r="BM6" s="16">
        <f t="shared" si="5"/>
        <v>0</v>
      </c>
      <c r="BN6" s="16">
        <f t="shared" si="5"/>
        <v>0</v>
      </c>
      <c r="BO6" s="16">
        <f t="shared" si="5"/>
        <v>0</v>
      </c>
      <c r="BP6" s="16">
        <f t="shared" si="5"/>
        <v>0</v>
      </c>
      <c r="BQ6" s="16">
        <f t="shared" si="5"/>
        <v>0</v>
      </c>
      <c r="BR6" s="16">
        <f t="shared" si="5"/>
        <v>25110.62</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1883</v>
      </c>
      <c r="AV7" s="23" t="s">
        <v>1884</v>
      </c>
      <c r="AW7" s="2165" t="s">
        <v>1885</v>
      </c>
      <c r="AX7" s="23" t="s">
        <v>1878</v>
      </c>
      <c r="AY7" s="1806"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1"/>
      <c r="K8" s="1821"/>
      <c r="L8" s="1821"/>
      <c r="M8" s="1821"/>
      <c r="N8" s="1821"/>
      <c r="O8" s="1821"/>
      <c r="P8" s="1821"/>
      <c r="Q8" s="1821"/>
      <c r="R8" s="1821"/>
      <c r="S8" s="1821"/>
      <c r="T8" s="1821"/>
      <c r="U8" s="1821"/>
      <c r="V8" s="2185"/>
      <c r="W8" s="1821"/>
      <c r="X8" s="1821"/>
      <c r="Y8" s="1821"/>
      <c r="Z8" s="1821"/>
      <c r="AA8" s="2185"/>
      <c r="AB8" s="2186"/>
      <c r="AC8" s="984" t="s">
        <v>1889</v>
      </c>
      <c r="AD8" s="2187"/>
      <c r="AE8" s="2179"/>
      <c r="AF8" s="1821"/>
      <c r="AG8" s="1821"/>
      <c r="AH8" s="1821"/>
      <c r="AI8" s="1821"/>
      <c r="AJ8" s="1821"/>
      <c r="AK8" s="1821"/>
      <c r="AL8" s="1821"/>
      <c r="AM8" s="1821"/>
      <c r="AN8" s="1821"/>
      <c r="AO8" s="1821"/>
      <c r="AP8" s="1821"/>
      <c r="AQ8" s="1821"/>
      <c r="AR8" s="1821"/>
      <c r="AS8" s="1821"/>
      <c r="AT8" s="1295" t="s">
        <v>1890</v>
      </c>
      <c r="AU8" s="2181" t="s">
        <v>1891</v>
      </c>
      <c r="AV8" s="1295"/>
      <c r="AW8" s="2164"/>
      <c r="AX8" s="1295"/>
      <c r="AY8" s="2165"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1894</v>
      </c>
      <c r="I9" s="2190" t="s">
        <v>3061</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1"/>
      <c r="BN9" s="2184"/>
      <c r="BO9" s="1821"/>
      <c r="BP9" s="1821"/>
      <c r="BQ9" s="1821"/>
      <c r="BR9" s="1821"/>
      <c r="BS9" s="1821"/>
      <c r="BT9" s="26"/>
    </row>
    <row r="10" spans="1:72" s="2188" customFormat="1" ht="12.75">
      <c r="A10" s="2181"/>
      <c r="B10" s="2181"/>
      <c r="C10" s="2181"/>
      <c r="D10" s="2181"/>
      <c r="E10" s="2181"/>
      <c r="F10" s="2181"/>
      <c r="G10" s="1295"/>
      <c r="H10" s="28"/>
      <c r="I10" s="2190" t="s">
        <v>27</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2"/>
      <c r="AF11" s="2203" t="s">
        <v>1904</v>
      </c>
      <c r="AG11" s="1822"/>
      <c r="AH11" s="2203" t="s">
        <v>1905</v>
      </c>
      <c r="AI11" s="2204"/>
      <c r="AJ11" s="2203" t="s">
        <v>1905</v>
      </c>
      <c r="AK11" s="1822"/>
      <c r="AL11" s="1820"/>
      <c r="AM11" s="1822"/>
      <c r="AN11" s="1820"/>
      <c r="AO11" s="1822"/>
      <c r="AP11" s="1820"/>
      <c r="AQ11" s="1822"/>
      <c r="AR11" s="1820"/>
      <c r="AS11" s="1822"/>
      <c r="AT11" s="2164"/>
      <c r="AU11" s="2181"/>
      <c r="AV11" s="1295"/>
      <c r="AW11" s="2164"/>
      <c r="AX11" s="1295"/>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8"/>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51">
      <c r="A13" s="1275" t="s">
        <v>3058</v>
      </c>
      <c r="B13" s="1275" t="s">
        <v>3058</v>
      </c>
      <c r="C13" s="2944" t="s">
        <v>3059</v>
      </c>
      <c r="D13" s="2212" t="s">
        <v>3060</v>
      </c>
      <c r="E13" s="16">
        <f>IF($C$3="是",ROUND($A$3*G13/$B$3,2),ROUND($A$3*(G13-AT13)/$B$3,2))</f>
        <v>71138.14</v>
      </c>
      <c r="F13" s="32"/>
      <c r="G13" s="33">
        <f>H13+AC13+AT13</f>
        <v>71660.160000000003</v>
      </c>
      <c r="H13" s="20">
        <f>SUMIF(I$12:AB$12,"总值",I13:AB13)</f>
        <v>71660.160000000003</v>
      </c>
      <c r="I13" s="2213">
        <v>71660.160000000003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浙（2018）象山县不动产权第0004001号</v>
      </c>
      <c r="AW13" s="11" t="str">
        <f t="shared" si="6"/>
        <v>浙（2018）象山县不动产权第0004001号</v>
      </c>
      <c r="AX13" s="11" t="str">
        <f t="shared" si="6"/>
        <v>办公</v>
      </c>
      <c r="AY13" s="1809">
        <f>ROUND($AY$6*AZ13/$AZ$5,2)</f>
        <v>71138.14</v>
      </c>
      <c r="AZ13" s="16">
        <f>BA13+BL13</f>
        <v>71660.160000000003</v>
      </c>
      <c r="BA13" s="16">
        <f>SUM(BB13:BK13)</f>
        <v>71660.160000000003</v>
      </c>
      <c r="BB13" s="16">
        <f>IF($D13="是",I13-J13,0)</f>
        <v>71660.160000000003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945" t="s">
        <v>3062</v>
      </c>
      <c r="D14" s="2212" t="s">
        <v>3060</v>
      </c>
      <c r="E14" s="16">
        <f>IF($C$3="是",ROUND($A$3*G14/$B$3,2),ROUND($A$3*(G14-AT14)/$B$3,2))</f>
        <v>25110.62</v>
      </c>
      <c r="F14" s="32"/>
      <c r="G14" s="33">
        <f>H14+AC14+AT14</f>
        <v>27798.15</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25294.880000000001</v>
      </c>
      <c r="AD14" s="2214"/>
      <c r="AE14" s="2214"/>
      <c r="AF14" s="2214"/>
      <c r="AG14" s="2214"/>
      <c r="AH14" s="2214"/>
      <c r="AI14" s="2214"/>
      <c r="AJ14" s="2214"/>
      <c r="AK14" s="2214"/>
      <c r="AL14" s="2214"/>
      <c r="AM14" s="2214"/>
      <c r="AN14" s="2214">
        <v>25294.880000000001</v>
      </c>
      <c r="AO14" s="2214"/>
      <c r="AP14" s="2214"/>
      <c r="AQ14" s="2214"/>
      <c r="AR14" s="2214"/>
      <c r="AS14" s="2214"/>
      <c r="AT14" s="2215">
        <v>2503.27</v>
      </c>
      <c r="AU14" s="2216"/>
      <c r="AV14" s="11">
        <f t="shared" si="6"/>
        <v>0</v>
      </c>
      <c r="AW14" s="11">
        <f t="shared" si="6"/>
        <v>0</v>
      </c>
      <c r="AX14" s="11" t="str">
        <f t="shared" si="6"/>
        <v>附属用房</v>
      </c>
      <c r="AY14" s="1809">
        <f>ROUND($AY$6*AZ14/$AZ$5,2)</f>
        <v>25110.62</v>
      </c>
      <c r="AZ14" s="16">
        <f>BA14+BL14</f>
        <v>25294.880000000001</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25294.880000000001</v>
      </c>
      <c r="BM14" s="16">
        <f>IF($D14="是",AD14-AE14,0)</f>
        <v>0</v>
      </c>
      <c r="BN14" s="16">
        <f>IF($D14="是",AF14-AG14,0)</f>
        <v>0</v>
      </c>
      <c r="BO14" s="16">
        <f>IF($D14="是",AH14-AI14,0)</f>
        <v>0</v>
      </c>
      <c r="BP14" s="16">
        <f>IF($D14="是",AJ14-AK14,0)</f>
        <v>0</v>
      </c>
      <c r="BQ14" s="16">
        <f>IF($D14="是",AL14-AM14,0)</f>
        <v>0</v>
      </c>
      <c r="BR14" s="16">
        <f>IF($D14="是",AN14-AO14,0)</f>
        <v>25294.880000000001</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1" sqref="E3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58" t="s">
        <v>1934</v>
      </c>
      <c r="B2" s="3058"/>
      <c r="C2" s="3058"/>
      <c r="D2" s="970" t="s">
        <v>1910</v>
      </c>
      <c r="E2" s="2226" t="s">
        <v>1911</v>
      </c>
      <c r="F2" s="1395"/>
      <c r="G2" s="2227"/>
      <c r="H2" s="2228"/>
      <c r="I2" s="2229" t="s">
        <v>1935</v>
      </c>
      <c r="J2" s="1395"/>
      <c r="K2" s="1395"/>
      <c r="L2" s="1395"/>
      <c r="M2" s="1395"/>
      <c r="N2" s="1430"/>
      <c r="O2" s="1395"/>
      <c r="P2" s="1395"/>
    </row>
    <row r="3" spans="1:16" ht="15.75" thickBot="1">
      <c r="A3" s="3059" t="s">
        <v>1908</v>
      </c>
      <c r="B3" s="3059"/>
      <c r="C3" s="3059"/>
      <c r="D3" s="46">
        <f>'数据-基础表'!AY6</f>
        <v>96248.76</v>
      </c>
      <c r="E3" s="46">
        <f>'数据-基础表'!AZ5</f>
        <v>96955.040000000008</v>
      </c>
      <c r="F3" s="1395"/>
      <c r="G3" s="1402"/>
      <c r="H3" s="1250" t="s">
        <v>1909</v>
      </c>
      <c r="I3" s="55">
        <f>ROUND('数据-基础表'!B3/'数据-基础表'!A3,2)</f>
        <v>1.01</v>
      </c>
      <c r="J3" s="1395"/>
      <c r="K3" s="1395"/>
      <c r="L3" s="1395"/>
      <c r="M3" s="1395"/>
      <c r="N3" s="1430"/>
      <c r="O3" s="1395"/>
      <c r="P3" s="1395"/>
    </row>
    <row r="4" spans="1:16" ht="15">
      <c r="A4" s="3060"/>
      <c r="B4" s="3061"/>
      <c r="C4" s="3062"/>
      <c r="D4" s="2230" t="s">
        <v>1910</v>
      </c>
      <c r="E4" s="2231" t="s">
        <v>1911</v>
      </c>
      <c r="F4" s="1395"/>
      <c r="G4" s="2232" t="s">
        <v>1936</v>
      </c>
      <c r="H4" s="1250" t="s">
        <v>1916</v>
      </c>
      <c r="I4" s="55">
        <f>ROUND(SUMIF('数据-基础表'!I9:AS9,"地上",'数据-基础表'!I5:AS5)/'数据-基础表'!A3,2)</f>
        <v>0.74</v>
      </c>
      <c r="J4" s="1395"/>
      <c r="K4" s="1395"/>
      <c r="L4" s="1395"/>
      <c r="M4" s="1395"/>
      <c r="N4" s="1430"/>
      <c r="O4" s="1395"/>
      <c r="P4" s="1395"/>
    </row>
    <row r="5" spans="1:16">
      <c r="A5" s="47" t="s">
        <v>1912</v>
      </c>
      <c r="B5" s="3063" t="s">
        <v>1913</v>
      </c>
      <c r="C5" s="3063"/>
      <c r="D5" s="48">
        <f>ROUND($D$3*E5/$E$3,2)</f>
        <v>0</v>
      </c>
      <c r="E5" s="49">
        <f>SUMIF('数据-基础表'!$11:$11,"住宅",'数据-基础表'!$5:$5)</f>
        <v>0</v>
      </c>
      <c r="F5" s="1395"/>
      <c r="G5" s="1402"/>
      <c r="H5" s="1250" t="s">
        <v>1909</v>
      </c>
      <c r="I5" s="55">
        <f>ROUND(E31/D31,2)</f>
        <v>1.01</v>
      </c>
      <c r="J5" s="1395"/>
      <c r="K5" s="1395"/>
      <c r="L5" s="1395"/>
      <c r="M5" s="1395"/>
      <c r="N5" s="1395"/>
      <c r="O5" s="1395"/>
      <c r="P5" s="1395"/>
    </row>
    <row r="6" spans="1:16" ht="15" thickBot="1">
      <c r="A6" s="2233"/>
      <c r="B6" s="3063" t="s">
        <v>1914</v>
      </c>
      <c r="C6" s="3063"/>
      <c r="D6" s="48">
        <f>ROUND($D$3*E6/$E$3,2)</f>
        <v>96248.76</v>
      </c>
      <c r="E6" s="49">
        <f>E3-E5</f>
        <v>96955.040000000008</v>
      </c>
      <c r="F6" s="1395"/>
      <c r="G6" s="2234" t="s">
        <v>1915</v>
      </c>
      <c r="H6" s="1402" t="s">
        <v>1916</v>
      </c>
      <c r="I6" s="942">
        <f>ROUND(F31/D31,2)</f>
        <v>0.74</v>
      </c>
      <c r="J6" s="1395"/>
      <c r="K6" s="1395"/>
      <c r="L6" s="1395"/>
      <c r="M6" s="1395"/>
      <c r="N6" s="1395"/>
      <c r="O6" s="1395"/>
      <c r="P6" s="1395"/>
    </row>
    <row r="7" spans="1:16" ht="15">
      <c r="A7" s="3055"/>
      <c r="B7" s="3056"/>
      <c r="C7" s="3057"/>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71138.14</v>
      </c>
      <c r="E8" s="51">
        <f>SUMIF('数据-基础表'!BB10:BK10,"地上",'数据-基础表'!BB5:BK5)</f>
        <v>71660.160000000003</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71138.14</v>
      </c>
      <c r="E16" s="53">
        <f>SUM(E8:E15)</f>
        <v>71660.160000000003</v>
      </c>
      <c r="F16" s="1395"/>
      <c r="G16" s="2236"/>
      <c r="H16" s="2239" t="s">
        <v>1938</v>
      </c>
      <c r="I16" s="2240"/>
      <c r="J16" s="1395"/>
      <c r="K16" s="3052" t="s">
        <v>1938</v>
      </c>
      <c r="L16" s="3053"/>
      <c r="M16" s="3053"/>
      <c r="N16" s="3053"/>
      <c r="O16" s="3053"/>
      <c r="P16" s="3054"/>
    </row>
    <row r="17" spans="1:19" ht="15">
      <c r="A17" s="2241" t="s">
        <v>1939</v>
      </c>
      <c r="B17" s="2242" t="s">
        <v>1940</v>
      </c>
      <c r="C17" s="2243" t="s">
        <v>1941</v>
      </c>
      <c r="D17" s="2244" t="s">
        <v>1929</v>
      </c>
      <c r="E17" s="2245" t="s">
        <v>1930</v>
      </c>
      <c r="F17" s="2246"/>
      <c r="G17" s="2247"/>
      <c r="H17" s="2248" t="s">
        <v>1942</v>
      </c>
      <c r="I17" s="2249" t="s">
        <v>1927</v>
      </c>
      <c r="J17" s="1395"/>
      <c r="K17" s="3049" t="s">
        <v>1943</v>
      </c>
      <c r="L17" s="3050"/>
      <c r="M17" s="3051"/>
      <c r="N17" s="3049" t="s">
        <v>1944</v>
      </c>
      <c r="O17" s="3050"/>
      <c r="P17" s="3051"/>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946" t="s">
        <v>3063</v>
      </c>
      <c r="D19" s="48">
        <f>ROUND($D$3*E19/$E$3,2)</f>
        <v>71138.14</v>
      </c>
      <c r="E19" s="56">
        <f t="shared" ref="E19:E26" si="1">SUM(F19:G19)</f>
        <v>71660.160000000003</v>
      </c>
      <c r="F19" s="57">
        <f>'数据-基础表'!AZ13</f>
        <v>71660.160000000003</v>
      </c>
      <c r="G19" s="58"/>
      <c r="H19" s="723">
        <f>ROUND($D$3*I19/$E$3,2)</f>
        <v>25110.62</v>
      </c>
      <c r="I19" s="51">
        <f t="shared" ref="I19:I26" si="2">IF($I$17="自定义",P19,M19)</f>
        <v>25294.880000000001</v>
      </c>
      <c r="J19" s="1395"/>
      <c r="K19" s="1394">
        <f t="shared" ref="K19:K26" si="3">ROUND(E$28*E19/E$27,2)</f>
        <v>25294.880000000001</v>
      </c>
      <c r="L19" s="1250">
        <f t="shared" ref="L19:L26" si="4">ROUND(IF(COUNTIF(C19,"*住宅*")&gt;0,E$29*E19/E$32,0),2)</f>
        <v>0</v>
      </c>
      <c r="M19" s="1406">
        <f>K19+L19</f>
        <v>25294.880000000001</v>
      </c>
      <c r="N19" s="2260"/>
      <c r="O19" s="2261"/>
      <c r="P19" s="1406">
        <f>N19+O19</f>
        <v>0</v>
      </c>
      <c r="R19" s="1250">
        <f t="shared" ref="R19:S26" si="5">D19+H19</f>
        <v>96248.76</v>
      </c>
      <c r="S19" s="1251">
        <f t="shared" si="5"/>
        <v>96955.040000000008</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71138.14</v>
      </c>
      <c r="E27" s="1397">
        <f>IF(SUM(E19:E26)='数据-基础表'!BA5,SUM(E19:E26),IF(F27="地上面积有误","面积有误","地下面积有误"))</f>
        <v>71660.160000000003</v>
      </c>
      <c r="F27" s="1396">
        <f>IF(SUM(F19:F26)=E8,SUM(F19:F26),"地上面积有误")</f>
        <v>71660.160000000003</v>
      </c>
      <c r="G27" s="1398">
        <f>SUM(G19:G26)</f>
        <v>0</v>
      </c>
      <c r="H27" s="1399">
        <f>SUM(H19:H26)</f>
        <v>25110.62</v>
      </c>
      <c r="I27" s="1400">
        <f>SUM(I19:I26)</f>
        <v>25294.880000000001</v>
      </c>
      <c r="J27" s="1395"/>
      <c r="K27" s="1403">
        <f>SUM(K19:K26)</f>
        <v>25294.880000000001</v>
      </c>
      <c r="L27" s="1404">
        <f>SUM(L19:L26)</f>
        <v>0</v>
      </c>
      <c r="M27" s="1407">
        <f>SUM(M19:M26)</f>
        <v>25294.880000000001</v>
      </c>
      <c r="N27" s="1403">
        <f t="shared" ref="N27:O27" si="10">SUM(N19:N26)</f>
        <v>0</v>
      </c>
      <c r="O27" s="1404">
        <f t="shared" si="10"/>
        <v>0</v>
      </c>
      <c r="P27" s="1405">
        <f>SUM(P19:P26)</f>
        <v>0</v>
      </c>
      <c r="R27" s="1252">
        <f>IF(SUM(R19:R26)=$D$3,SUM(R19:R26),SUM(R19:R26)&amp;"误差"&amp;ROUND(SUM(R19:R26)-$D$3,2))</f>
        <v>96248.76</v>
      </c>
      <c r="S27" s="1250">
        <f>IF(SUM(S19:S26)=$E$3,SUM(S19:S26),SUM(S19:S26)&amp;"误差"&amp;ROUND(SUM(S19:S26)-E3,2))</f>
        <v>96955.040000000008</v>
      </c>
    </row>
    <row r="28" spans="1:19">
      <c r="A28" s="2262"/>
      <c r="B28" s="50" t="s">
        <v>1958</v>
      </c>
      <c r="C28" s="1262" t="s">
        <v>1959</v>
      </c>
      <c r="D28" s="48">
        <f>ROUND($D$3*E28/$E$3,2)</f>
        <v>25110.62</v>
      </c>
      <c r="E28" s="56">
        <f>SUM(F28:G28)</f>
        <v>25294.880000000001</v>
      </c>
      <c r="F28" s="64">
        <f>'数据-基础表'!BQ5+'数据-基础表'!BS5</f>
        <v>0</v>
      </c>
      <c r="G28" s="65">
        <f>'数据-基础表'!BR5+'数据-基础表'!BT5</f>
        <v>25294.880000000001</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25110.62</v>
      </c>
      <c r="E30" s="1396">
        <f>SUM(E28:E29)</f>
        <v>25294.880000000001</v>
      </c>
      <c r="F30" s="1396">
        <f>SUM(F28:F29)</f>
        <v>0</v>
      </c>
      <c r="G30" s="1398">
        <f>SUM(G28:G29)</f>
        <v>25294.880000000001</v>
      </c>
      <c r="H30" s="1395"/>
      <c r="I30" s="1395"/>
      <c r="J30" s="1395"/>
      <c r="K30" s="1395"/>
      <c r="L30" s="1395"/>
      <c r="M30" s="1395"/>
      <c r="N30" s="1395"/>
      <c r="O30" s="1395"/>
      <c r="P30" s="1395"/>
    </row>
    <row r="31" spans="1:19" ht="15.75" thickBot="1">
      <c r="A31" s="2268"/>
      <c r="B31" s="2269"/>
      <c r="C31" s="1010" t="s">
        <v>1961</v>
      </c>
      <c r="D31" s="729">
        <f>D27+D30</f>
        <v>96248.76</v>
      </c>
      <c r="E31" s="729">
        <f>E27+E30</f>
        <v>96955.040000000008</v>
      </c>
      <c r="F31" s="730">
        <f>F27+F30</f>
        <v>71660.160000000003</v>
      </c>
      <c r="G31" s="731">
        <f>G27+G30</f>
        <v>25294.880000000001</v>
      </c>
      <c r="H31" s="1395"/>
      <c r="I31" s="1395"/>
      <c r="J31" s="1395"/>
      <c r="K31" s="1395"/>
      <c r="L31" s="1395"/>
      <c r="M31" s="1395"/>
      <c r="N31" s="1395"/>
      <c r="O31" s="1395"/>
      <c r="P31" s="1395"/>
    </row>
    <row r="32" spans="1:19">
      <c r="A32" s="2232"/>
      <c r="B32" s="2232" t="s">
        <v>1962</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2344" customWidth="1"/>
    <col min="2" max="2" width="12" style="2274" customWidth="1"/>
    <col min="3" max="3" width="13.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1964</v>
      </c>
      <c r="B2" s="1269">
        <f>项目基本情况!D3</f>
        <v>43536</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3064</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3"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办公</v>
      </c>
      <c r="B6" s="2306" t="str">
        <f>IF(A6=0,"","经营性")</f>
        <v>经营性</v>
      </c>
      <c r="C6" s="2307" t="s">
        <v>27</v>
      </c>
      <c r="D6" s="1054">
        <f>SUMIF(项目基本情况!D$12:I$12,C6,项目基本情况!D$14:I$14)</f>
        <v>50</v>
      </c>
      <c r="E6" s="1051">
        <f>IF(B6="","",SUMIF(项目基本情况!D$12:I$12,C6,项目基本情况!D$13:I$13))</f>
        <v>55346</v>
      </c>
      <c r="F6" s="72">
        <f>SUMIF(项目基本情况!D$12:I$12,C6,项目基本情况!D$15:I$15)</f>
        <v>32.35</v>
      </c>
      <c r="G6" s="73">
        <f>IF(ISERROR(ROUND(POWER(1+H6,D6-F6)*(POWER(1+H6,F6)-1)/(POWER(1+H6,D6)-1),3)),0,ROUND(POWER(1+H6,D6-F6)*(POWER(1+H6,F6)-1)/(POWER(1+H6,D6)-1),3))</f>
        <v>0.85399999999999998</v>
      </c>
      <c r="H6" s="802">
        <v>4.4999999999999998E-2</v>
      </c>
      <c r="I6" s="802">
        <v>0.05</v>
      </c>
      <c r="J6" s="74">
        <v>0.08</v>
      </c>
      <c r="K6" s="1254">
        <f>SUMIF('数据-汇总表'!C$19:C$33,A6,'数据-汇总表'!E$19:E$33)</f>
        <v>71660.160000000003</v>
      </c>
      <c r="L6" s="803">
        <v>3500</v>
      </c>
      <c r="M6" s="75">
        <f t="shared" ref="M6:M14" si="0">ROUND(K6*L6/10000,0)</f>
        <v>25081</v>
      </c>
      <c r="N6" s="801">
        <v>0.93330000000000002</v>
      </c>
      <c r="O6" s="75" t="str">
        <f>IF($N$5="成新度","——",ROUND(M6*N6,0))</f>
        <v>——</v>
      </c>
      <c r="P6" s="76" t="str">
        <f>IF($N$5="成新度","——",M6-O6)</f>
        <v>——</v>
      </c>
      <c r="Q6" s="804">
        <v>0.15</v>
      </c>
      <c r="R6" s="77">
        <f ca="1">SUMIF('数据-汇总表'!C$19:C$33,A6,'数据-汇总表'!R$19:R$27)</f>
        <v>96248.76</v>
      </c>
      <c r="S6" s="54">
        <f>IF('数据-汇总表'!$I$17="按面积比例",SUMIF('数据-汇总表'!C$19:C$33,A6,'数据-汇总表'!K$19:K$33),SUMIF('数据-汇总表'!C$19:C$33,A6,'数据-汇总表'!N$19:N$33))</f>
        <v>25294.880000000001</v>
      </c>
      <c r="T6" s="1446">
        <f>ROUND($L$14*S6/10000,0)</f>
        <v>3794</v>
      </c>
      <c r="U6" s="78">
        <v>2.2000000000000002</v>
      </c>
      <c r="V6" s="79">
        <v>0.03</v>
      </c>
      <c r="W6" s="79">
        <v>0.1</v>
      </c>
      <c r="X6" s="1264"/>
      <c r="Y6" s="80">
        <v>0.93330000000000002</v>
      </c>
      <c r="Z6" s="81"/>
      <c r="AA6" s="74"/>
      <c r="AB6" s="74"/>
      <c r="AC6" s="1264"/>
      <c r="AD6" s="82"/>
      <c r="AE6" s="1265">
        <f ca="1">IF(AN6="",0,SUMIF(INDIRECT("'"&amp;AN6&amp;"'"&amp;"!E:E"),$AE$5,INDIRECT("'"&amp;AN6&amp;"'"&amp;"!F:F")))</f>
        <v>32.35</v>
      </c>
      <c r="AF6" s="1807"/>
      <c r="AG6" s="147">
        <f>IF(AF6="",0,AE6-AF6)</f>
        <v>0</v>
      </c>
      <c r="AH6" s="83"/>
      <c r="AI6" s="85">
        <v>365</v>
      </c>
      <c r="AJ6" s="86"/>
      <c r="AK6" s="94">
        <v>1.4999999999999999E-2</v>
      </c>
      <c r="AL6" s="95">
        <v>1.5E-3</v>
      </c>
      <c r="AM6" s="89">
        <v>0.01</v>
      </c>
      <c r="AN6" s="2308" t="s">
        <v>3067</v>
      </c>
      <c r="AO6" s="55">
        <f ca="1">SUMIF(INDIRECT("'"&amp;AN6&amp;"'"&amp;"!A:A"),"总价",INDIRECT("'"&amp;AN6&amp;"'"&amp;"!B:B"))</f>
        <v>81060</v>
      </c>
      <c r="AP6" s="2309">
        <f>IF(C6="住宅",K6*L6,0)</f>
        <v>0</v>
      </c>
      <c r="AQ6" s="55">
        <f>ROUND($L$14*$N$14*S6/10000,0)</f>
        <v>3541</v>
      </c>
      <c r="AR6" s="55">
        <f>ROUND($L$14*(1-$N$14)*S6/10000,0)</f>
        <v>253</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2008</v>
      </c>
      <c r="B14" s="2306" t="s">
        <v>2009</v>
      </c>
      <c r="C14" s="2311" t="s">
        <v>2008</v>
      </c>
      <c r="D14" s="1054"/>
      <c r="E14" s="1051"/>
      <c r="F14" s="72"/>
      <c r="G14" s="73"/>
      <c r="H14" s="1253"/>
      <c r="I14" s="1253"/>
      <c r="J14" s="1253"/>
      <c r="K14" s="1254">
        <f>SUMIF('数据-汇总表'!C$19:C$33,A14,'数据-汇总表'!E$19:E$33)</f>
        <v>25294.880000000001</v>
      </c>
      <c r="L14" s="91">
        <v>1500</v>
      </c>
      <c r="M14" s="75">
        <f t="shared" si="0"/>
        <v>3794</v>
      </c>
      <c r="N14" s="92">
        <v>0.93330000000000002</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2012</v>
      </c>
      <c r="B16" s="97"/>
      <c r="C16" s="1008"/>
      <c r="D16" s="2313"/>
      <c r="E16" s="97"/>
      <c r="F16" s="97"/>
      <c r="G16" s="98">
        <f>ROUND(SUMPRODUCT(G6:G13,K6:K13)/SUMPRODUCT((G6:G13&gt;0)*(K6:K13)),3)</f>
        <v>0.85399999999999998</v>
      </c>
      <c r="H16" s="99">
        <f>ROUND(SUMPRODUCT(H6:H13,K6:K13)/SUMPRODUCT((H6:H13&gt;0)*(K6:K13)),3)</f>
        <v>4.4999999999999998E-2</v>
      </c>
      <c r="I16" s="100"/>
      <c r="J16" s="100"/>
      <c r="K16" s="101">
        <f>SUM(K6:K15)</f>
        <v>96955.040000000008</v>
      </c>
      <c r="L16" s="102">
        <f>ROUND(M16*10000/SUM(K6:K14),0)</f>
        <v>2978</v>
      </c>
      <c r="M16" s="102">
        <f>SUM(M6:M14)</f>
        <v>28875</v>
      </c>
      <c r="N16" s="103">
        <f>ROUND(SUMPRODUCT(M6:M14,N6:N14)/M16,3)</f>
        <v>0.93300000000000005</v>
      </c>
      <c r="O16" s="102">
        <f>SUM(O6:O14)</f>
        <v>0</v>
      </c>
      <c r="P16" s="102">
        <f>SUM(P6:P14)</f>
        <v>0</v>
      </c>
      <c r="Q16" s="104">
        <f>ROUND(SUMPRODUCT(Q6:Q13,K6:K13)/SUMPRODUCT((Q6:Q13&gt;0)*(K6:K13)),2)</f>
        <v>0.15</v>
      </c>
      <c r="R16" s="1258">
        <f ca="1">SUM(R6:R13)</f>
        <v>96248.76</v>
      </c>
      <c r="S16" s="105">
        <f>SUM(S6:S13)</f>
        <v>25294.880000000001</v>
      </c>
      <c r="T16" s="106">
        <f>IF(SUMIF(T6:T13,"&lt;9E307")=M14,SUMIF(T6:T13,"&lt;9E307"),"有误，请检查")</f>
        <v>3794</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2</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2025</v>
      </c>
      <c r="B27" s="116"/>
      <c r="C27" s="2947" t="s">
        <v>3065</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2026</v>
      </c>
      <c r="B28" s="119">
        <v>90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2027</v>
      </c>
      <c r="B29" s="121"/>
      <c r="C29" s="1767" t="s">
        <v>2028</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2029</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2030</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2031</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2032</v>
      </c>
      <c r="B33" s="726">
        <v>0.03</v>
      </c>
      <c r="C33" s="1766" t="s">
        <v>2033</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2034</v>
      </c>
      <c r="B34" s="122">
        <v>0</v>
      </c>
      <c r="C34" s="1766" t="s">
        <v>2035</v>
      </c>
      <c r="D34" s="2277" t="s">
        <v>2036</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2037</v>
      </c>
      <c r="B35" s="119">
        <v>200</v>
      </c>
      <c r="C35" s="1766" t="s">
        <v>2038</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2039</v>
      </c>
      <c r="B36" s="123">
        <v>1.4999999999999999E-2</v>
      </c>
      <c r="C36" s="1766" t="s">
        <v>2040</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2041</v>
      </c>
      <c r="B37" s="124">
        <v>0.02</v>
      </c>
      <c r="C37" s="1766" t="s">
        <v>2042</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2043</v>
      </c>
      <c r="B38" s="122">
        <v>0.02</v>
      </c>
      <c r="C38" s="1766" t="s">
        <v>2042</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2044</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2045</v>
      </c>
      <c r="B40" s="1303">
        <f ca="1">存贷款利率!G1</f>
        <v>4.7500000000000001E-2</v>
      </c>
      <c r="C40" s="1766" t="s">
        <v>2046</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2047</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2048</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2049</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2050</v>
      </c>
      <c r="B44" s="128">
        <v>0.05</v>
      </c>
      <c r="C44" s="1766" t="s">
        <v>2051</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2052</v>
      </c>
      <c r="B45" s="126">
        <v>0.03</v>
      </c>
      <c r="C45" s="1767" t="s">
        <v>2053</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2054</v>
      </c>
      <c r="B46" s="126">
        <v>0.02</v>
      </c>
      <c r="C46" s="1767" t="s">
        <v>2055</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2056</v>
      </c>
      <c r="B47" s="129"/>
      <c r="C47" s="1767" t="s">
        <v>2057</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2058</v>
      </c>
      <c r="B48" s="130">
        <v>0.03</v>
      </c>
      <c r="C48" s="1774" t="s">
        <v>2059</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2060</v>
      </c>
      <c r="B49" s="126">
        <v>2.5000000000000001E-4</v>
      </c>
      <c r="C49" s="1774" t="s">
        <v>2061</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2062</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2063</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2064</v>
      </c>
      <c r="B52" s="133">
        <f>SUMIF(A54:A63,B53,B54:B63)</f>
        <v>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2065</v>
      </c>
      <c r="B53" s="2335" t="s">
        <v>442</v>
      </c>
      <c r="C53" s="1430" t="s">
        <v>2066</v>
      </c>
      <c r="D53" s="2336" t="s">
        <v>2067</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2068</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2069</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2070</v>
      </c>
      <c r="B56" s="84">
        <v>5</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2071</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2072</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2073</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2074</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2075</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2076</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2077</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4" t="s">
        <v>2078</v>
      </c>
      <c r="B1" s="3065"/>
      <c r="C1" s="3065"/>
      <c r="D1" s="3065"/>
      <c r="E1" s="3065"/>
      <c r="F1" s="3065"/>
      <c r="G1" s="306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2079</v>
      </c>
      <c r="D2" s="2365"/>
      <c r="E2" s="2366"/>
      <c r="F2" s="2285"/>
      <c r="G2" s="2364" t="s">
        <v>2080</v>
      </c>
      <c r="H2" s="2367"/>
      <c r="I2" s="2367"/>
      <c r="J2" s="2367"/>
      <c r="K2" s="2367"/>
      <c r="L2" s="2367"/>
      <c r="M2" s="2367"/>
      <c r="N2" s="2367"/>
      <c r="O2" s="2367"/>
      <c r="P2" s="2367"/>
      <c r="Q2" s="2367"/>
      <c r="R2" s="2367"/>
    </row>
    <row r="3" spans="1:29" ht="54">
      <c r="A3" s="415" t="s">
        <v>2081</v>
      </c>
      <c r="B3" s="1271" t="s">
        <v>2082</v>
      </c>
      <c r="C3" s="2369" t="s">
        <v>2083</v>
      </c>
      <c r="D3" s="2370"/>
      <c r="E3" s="431" t="s">
        <v>2081</v>
      </c>
      <c r="F3" s="2371" t="s">
        <v>2084</v>
      </c>
      <c r="G3" s="2372" t="s">
        <v>2085</v>
      </c>
      <c r="H3" s="2367"/>
      <c r="I3" s="2367"/>
      <c r="J3" s="2367"/>
      <c r="K3" s="2367"/>
      <c r="L3" s="2367"/>
      <c r="M3" s="2367"/>
      <c r="N3" s="2367"/>
      <c r="O3" s="2367"/>
      <c r="P3" s="2367"/>
      <c r="Q3" s="2367"/>
      <c r="R3" s="2367"/>
    </row>
    <row r="4" spans="1:29" ht="41.25">
      <c r="A4" s="431"/>
      <c r="B4" s="1798" t="s">
        <v>2086</v>
      </c>
      <c r="C4" s="2373" t="s">
        <v>2087</v>
      </c>
      <c r="D4" s="2370"/>
      <c r="E4" s="2374"/>
      <c r="F4" s="42" t="s">
        <v>2088</v>
      </c>
      <c r="G4" s="2375" t="s">
        <v>2089</v>
      </c>
      <c r="H4" s="2367"/>
      <c r="I4" s="2367"/>
      <c r="J4" s="2367"/>
      <c r="K4" s="2367"/>
      <c r="L4" s="2367"/>
      <c r="M4" s="2367"/>
      <c r="N4" s="2367"/>
      <c r="O4" s="2367"/>
      <c r="P4" s="2367"/>
      <c r="Q4" s="2367"/>
      <c r="R4" s="2367"/>
    </row>
    <row r="5" spans="1:29" ht="41.25">
      <c r="A5" s="431"/>
      <c r="B5" s="1798" t="s">
        <v>2090</v>
      </c>
      <c r="C5" s="2373" t="s">
        <v>2091</v>
      </c>
      <c r="D5" s="2370"/>
      <c r="E5" s="2374"/>
      <c r="F5" s="1798" t="s">
        <v>2092</v>
      </c>
      <c r="G5" s="2375" t="s">
        <v>2093</v>
      </c>
      <c r="H5" s="2367"/>
      <c r="I5" s="2367"/>
      <c r="J5" s="2367"/>
      <c r="K5" s="2367"/>
      <c r="L5" s="2367"/>
      <c r="M5" s="2367"/>
      <c r="N5" s="2367"/>
      <c r="O5" s="2367"/>
      <c r="P5" s="2367"/>
      <c r="Q5" s="2367"/>
      <c r="R5" s="2367"/>
    </row>
    <row r="6" spans="1:29" ht="54">
      <c r="A6" s="431"/>
      <c r="B6" s="1798" t="s">
        <v>2094</v>
      </c>
      <c r="C6" s="2375" t="s">
        <v>2089</v>
      </c>
      <c r="D6" s="2370"/>
      <c r="E6" s="2374"/>
      <c r="F6" s="1798" t="s">
        <v>2095</v>
      </c>
      <c r="G6" s="2375" t="s">
        <v>2096</v>
      </c>
      <c r="H6" s="2367"/>
      <c r="I6" s="2367"/>
      <c r="J6" s="2367"/>
      <c r="K6" s="2367"/>
      <c r="L6" s="2367"/>
      <c r="M6" s="2367"/>
      <c r="N6" s="2367"/>
      <c r="O6" s="2367"/>
      <c r="P6" s="2367"/>
      <c r="Q6" s="2367"/>
      <c r="R6" s="2367"/>
    </row>
    <row r="7" spans="1:29" ht="41.25" thickBot="1">
      <c r="A7" s="431"/>
      <c r="B7" s="1798" t="s">
        <v>2092</v>
      </c>
      <c r="C7" s="2375" t="s">
        <v>2093</v>
      </c>
      <c r="D7" s="2376"/>
      <c r="E7" s="2377"/>
      <c r="F7" s="2378" t="s">
        <v>2097</v>
      </c>
      <c r="G7" s="2379" t="s">
        <v>2098</v>
      </c>
      <c r="H7" s="2367"/>
      <c r="I7" s="2367"/>
      <c r="J7" s="2367"/>
      <c r="K7" s="2367"/>
      <c r="L7" s="2367"/>
      <c r="M7" s="2367"/>
      <c r="N7" s="2367"/>
      <c r="O7" s="2367"/>
      <c r="P7" s="2367"/>
      <c r="Q7" s="2367"/>
      <c r="R7" s="2367"/>
    </row>
    <row r="8" spans="1:29" ht="27">
      <c r="A8" s="431"/>
      <c r="B8" s="1798" t="s">
        <v>2095</v>
      </c>
      <c r="C8" s="2375" t="s">
        <v>2096</v>
      </c>
      <c r="D8" s="2376"/>
      <c r="E8" s="2376"/>
      <c r="F8" s="1136"/>
      <c r="G8" s="1136"/>
      <c r="H8" s="2367"/>
      <c r="I8" s="2367"/>
      <c r="J8" s="2367"/>
      <c r="K8" s="2367"/>
      <c r="L8" s="2367"/>
      <c r="M8" s="2367"/>
      <c r="N8" s="2367"/>
      <c r="O8" s="2367"/>
      <c r="P8" s="2367"/>
      <c r="Q8" s="2367"/>
      <c r="R8" s="2367"/>
    </row>
    <row r="9" spans="1:29" ht="27">
      <c r="A9" s="431"/>
      <c r="B9" s="1798" t="s">
        <v>2099</v>
      </c>
      <c r="C9" s="2373" t="s">
        <v>2100</v>
      </c>
      <c r="D9" s="2370"/>
      <c r="E9" s="2376"/>
      <c r="F9" s="1136"/>
      <c r="G9" s="1136"/>
      <c r="H9" s="2367"/>
      <c r="I9" s="2367"/>
      <c r="J9" s="2367"/>
      <c r="K9" s="2367"/>
      <c r="L9" s="2367"/>
      <c r="M9" s="2367"/>
      <c r="N9" s="2367"/>
      <c r="O9" s="2367"/>
      <c r="P9" s="2367"/>
      <c r="Q9" s="2367"/>
      <c r="R9" s="2367"/>
    </row>
    <row r="10" spans="1:29" s="117" customFormat="1" ht="15.75" thickBot="1">
      <c r="A10" s="2380"/>
      <c r="B10" s="2381" t="s">
        <v>2101</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2102</v>
      </c>
      <c r="B13" s="2387"/>
      <c r="C13" s="2387"/>
      <c r="D13" s="2394"/>
      <c r="E13" s="2387"/>
      <c r="F13" s="2387"/>
      <c r="G13" s="2387"/>
    </row>
    <row r="14" spans="1:29" ht="15.75" thickBot="1">
      <c r="A14" s="2398"/>
      <c r="B14" s="2399"/>
      <c r="C14" s="2400" t="s">
        <v>2103</v>
      </c>
      <c r="D14" s="2370"/>
      <c r="E14" s="2401"/>
      <c r="F14" s="2401"/>
      <c r="G14" s="2364" t="s">
        <v>2104</v>
      </c>
    </row>
    <row r="15" spans="1:29" ht="57">
      <c r="A15" s="68" t="s">
        <v>2105</v>
      </c>
      <c r="B15" s="1270" t="s">
        <v>2082</v>
      </c>
      <c r="C15" s="2402" t="str">
        <f>C3</f>
        <v>估价对象周边居住用地比例、居住小区规模和社区发展完善程度，综合评价居住社区成熟度一般</v>
      </c>
      <c r="D15" s="2370"/>
      <c r="E15" s="2403" t="s">
        <v>2106</v>
      </c>
      <c r="F15" s="1270" t="s">
        <v>2107</v>
      </c>
      <c r="G15" s="135" t="str">
        <f>G3</f>
        <v>估价对象位于XX开发区，园区建设成熟度XX，产业集聚程度XX</v>
      </c>
    </row>
    <row r="16" spans="1:29" ht="42.75">
      <c r="A16" s="645"/>
      <c r="B16" s="2404" t="s">
        <v>2086</v>
      </c>
      <c r="C16" s="2405" t="str">
        <f>C4</f>
        <v>估价对象位于XX商圈，周边商业氛围成熟，人流量大，商业繁华度好</v>
      </c>
      <c r="D16" s="2370"/>
      <c r="E16" s="2406"/>
      <c r="F16" s="2407" t="s">
        <v>2088</v>
      </c>
      <c r="G16" s="136" t="str">
        <f>G4</f>
        <v>估价对象周边道路状况、公共交通通达情况、停车便捷程度，综合评价交通便捷度较好</v>
      </c>
    </row>
    <row r="17" spans="1:18" ht="42.75">
      <c r="A17" s="645"/>
      <c r="B17" s="2404" t="s">
        <v>2090</v>
      </c>
      <c r="C17" s="2405" t="str">
        <f>C5</f>
        <v>估价对象位于XX商圈，周边办公楼项目较多，入驻率高，办公集聚程度较好</v>
      </c>
      <c r="D17" s="2376"/>
      <c r="E17" s="2406"/>
      <c r="F17" s="2407" t="s">
        <v>2108</v>
      </c>
      <c r="G17" s="1572"/>
    </row>
    <row r="18" spans="1:18" ht="57">
      <c r="A18" s="645"/>
      <c r="B18" s="2407" t="s">
        <v>2094</v>
      </c>
      <c r="C18" s="136" t="str">
        <f>C6</f>
        <v>估价对象周边道路状况、公共交通通达情况、停车便捷程度，综合评价交通便捷度较好</v>
      </c>
      <c r="D18" s="2376"/>
      <c r="E18" s="2406"/>
      <c r="F18" s="2407" t="s">
        <v>2097</v>
      </c>
      <c r="G18" s="136" t="str">
        <f>G7</f>
        <v>该园区内是否有污染型企业，绿化情况，卫生条件，整体环境状况判断</v>
      </c>
    </row>
    <row r="19" spans="1:18" ht="28.5">
      <c r="A19" s="645"/>
      <c r="B19" s="2407" t="s">
        <v>2109</v>
      </c>
      <c r="C19" s="1572"/>
      <c r="D19" s="2370"/>
      <c r="E19" s="2406"/>
      <c r="F19" s="1798" t="s">
        <v>2092</v>
      </c>
      <c r="G19" s="136" t="str">
        <f>G5</f>
        <v>估价对象所在区域公共配套设施齐备情况</v>
      </c>
    </row>
    <row r="20" spans="1:18" ht="28.5">
      <c r="A20" s="645"/>
      <c r="B20" s="2407" t="s">
        <v>2110</v>
      </c>
      <c r="C20" s="2405" t="str">
        <f>C9</f>
        <v>区域自然环境：；人文环境；综合评价环境状况一般</v>
      </c>
      <c r="D20" s="2376"/>
      <c r="E20" s="2406"/>
      <c r="F20" s="1798" t="s">
        <v>2111</v>
      </c>
      <c r="G20" s="136" t="str">
        <f>G6</f>
        <v>估价对象所在区域基础设施水平</v>
      </c>
    </row>
    <row r="21" spans="1:18" ht="28.5">
      <c r="A21" s="645"/>
      <c r="B21" s="1798" t="s">
        <v>2092</v>
      </c>
      <c r="C21" s="136" t="str">
        <f>C7</f>
        <v>估价对象所在区域公共配套设施齐备情况</v>
      </c>
      <c r="D21" s="2370"/>
      <c r="E21" s="2406"/>
      <c r="F21" s="2407" t="s">
        <v>2112</v>
      </c>
      <c r="G21" s="2408"/>
    </row>
    <row r="22" spans="1:18" ht="13.5" customHeight="1">
      <c r="A22" s="645"/>
      <c r="B22" s="1798" t="s">
        <v>2095</v>
      </c>
      <c r="C22" s="136" t="str">
        <f>C8</f>
        <v>估价对象所在区域基础设施水平</v>
      </c>
      <c r="D22" s="2370"/>
      <c r="E22" s="2406"/>
      <c r="F22" s="2407" t="s">
        <v>2101</v>
      </c>
      <c r="G22" s="1572"/>
    </row>
    <row r="23" spans="1:18" s="2367" customFormat="1" ht="15.75" thickBot="1">
      <c r="A23" s="645"/>
      <c r="B23" s="2407" t="s">
        <v>2112</v>
      </c>
      <c r="C23" s="2408"/>
      <c r="D23" s="2395"/>
      <c r="E23" s="2409"/>
      <c r="F23" s="2410" t="s">
        <v>2113</v>
      </c>
      <c r="G23" s="2411"/>
      <c r="H23" s="2395"/>
      <c r="I23" s="2396"/>
      <c r="J23" s="2395"/>
      <c r="K23" s="2395"/>
      <c r="L23" s="2396"/>
      <c r="M23" s="2395"/>
      <c r="N23" s="2395"/>
      <c r="O23" s="2396"/>
      <c r="P23" s="2395"/>
      <c r="Q23" s="2395"/>
      <c r="R23" s="2397"/>
    </row>
    <row r="24" spans="1:18" s="2367" customFormat="1" ht="15.75" thickBot="1">
      <c r="A24" s="2412"/>
      <c r="B24" s="2410" t="s">
        <v>2114</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71660.160000000003</v>
      </c>
      <c r="C1" s="1745"/>
      <c r="D1" s="1745"/>
      <c r="E1" s="1745"/>
      <c r="F1" s="1745"/>
      <c r="G1" s="1743"/>
    </row>
    <row r="2" spans="1:10" ht="16.5">
      <c r="A2" s="1746" t="s">
        <v>1349</v>
      </c>
      <c r="B2" s="1746">
        <f>SUM(C14:C23)</f>
        <v>96248.76</v>
      </c>
      <c r="C2" s="1745"/>
      <c r="D2" s="1745"/>
      <c r="E2" s="1745"/>
      <c r="F2" s="1745"/>
      <c r="G2" s="1743"/>
    </row>
    <row r="3" spans="1:10" ht="16.5">
      <c r="A3" s="1746" t="s">
        <v>1358</v>
      </c>
      <c r="B3" s="1747">
        <f>项目基本情况!D3</f>
        <v>43536</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80073</v>
      </c>
      <c r="C5" s="1746">
        <f ca="1">ROUND(B5*10000/$B$1,0)</f>
        <v>11174</v>
      </c>
      <c r="D5" s="1746">
        <f ca="1">ROUND(B5*10000/$B$2,0)</f>
        <v>8319</v>
      </c>
      <c r="E5" s="1745"/>
      <c r="F5" s="1743"/>
      <c r="G5" s="1743"/>
    </row>
    <row r="6" spans="1:10" ht="16.5">
      <c r="A6" s="1746" t="s">
        <v>1352</v>
      </c>
      <c r="B6" s="1746">
        <f ca="1">SUM(G14:G23)</f>
        <v>80073</v>
      </c>
      <c r="C6" s="1746">
        <f ca="1">ROUND(B6*10000/$B$1,0)</f>
        <v>11174</v>
      </c>
      <c r="D6" s="1746">
        <f ca="1">ROUND(B6*10000/$B$2,0)</f>
        <v>8319</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71660.160000000003</v>
      </c>
      <c r="C14" s="1744">
        <f>结果表!C118</f>
        <v>96248.76</v>
      </c>
      <c r="D14" s="1744">
        <f ca="1">结果表!H118</f>
        <v>80073</v>
      </c>
      <c r="E14" s="1744">
        <f ca="1">ROUND(D14*10000/B14,0)</f>
        <v>11174</v>
      </c>
      <c r="F14" s="1744">
        <f ca="1">ROUND(D14*10000/C14,0)</f>
        <v>8319</v>
      </c>
      <c r="G14" s="1744">
        <f ca="1">结果表!D122</f>
        <v>80073</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43" sqref="G4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2115</v>
      </c>
      <c r="B1" s="2418"/>
      <c r="C1" s="2419"/>
      <c r="D1" s="2418"/>
      <c r="E1" s="2418"/>
      <c r="F1" s="2420" t="s">
        <v>2116</v>
      </c>
      <c r="G1" s="2070" t="s">
        <v>3101</v>
      </c>
      <c r="H1" s="2421" t="str">
        <f>IF(G1="现房","——","估价对象范围")</f>
        <v>——</v>
      </c>
      <c r="I1" s="2422" t="s">
        <v>3123</v>
      </c>
    </row>
    <row r="2" spans="1:12" ht="21.75" customHeight="1" thickBot="1">
      <c r="A2" s="3138" t="str">
        <f>项目基本情况!S2</f>
        <v>浙江省宁波市象山县丹东街道天安路999号房地产</v>
      </c>
      <c r="B2" s="3139"/>
      <c r="C2" s="3139"/>
      <c r="D2" s="3139"/>
      <c r="E2" s="3139"/>
      <c r="F2" s="3139"/>
      <c r="G2" s="3139"/>
      <c r="H2" s="3139"/>
      <c r="I2" s="3140"/>
    </row>
    <row r="3" spans="1:12" ht="12.75">
      <c r="A3" s="3141" t="s">
        <v>2117</v>
      </c>
      <c r="B3" s="3142"/>
      <c r="C3" s="3142"/>
      <c r="D3" s="3142"/>
      <c r="E3" s="3142"/>
      <c r="F3" s="3142"/>
      <c r="G3" s="3142"/>
      <c r="H3" s="3142"/>
      <c r="I3" s="3142"/>
    </row>
    <row r="4" spans="1:12" ht="14.25">
      <c r="A4" s="2425" t="s">
        <v>2118</v>
      </c>
      <c r="B4" s="2426" t="s">
        <v>2119</v>
      </c>
      <c r="C4" s="2427" t="s">
        <v>3067</v>
      </c>
      <c r="D4" s="2427" t="s">
        <v>3132</v>
      </c>
      <c r="E4" s="3122" t="s">
        <v>2120</v>
      </c>
      <c r="F4" s="3135"/>
      <c r="G4" s="3135"/>
      <c r="H4" s="3135"/>
      <c r="I4" s="3123"/>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13" t="s">
        <v>2121</v>
      </c>
      <c r="B5" s="3039">
        <v>25</v>
      </c>
      <c r="C5" s="3143"/>
      <c r="D5" s="3131"/>
      <c r="E5" s="140" t="s">
        <v>2122</v>
      </c>
      <c r="F5" s="2429"/>
      <c r="G5" s="2429"/>
      <c r="H5" s="2429"/>
      <c r="I5" s="1834"/>
    </row>
    <row r="6" spans="1:12" ht="12.75">
      <c r="A6" s="3113"/>
      <c r="B6" s="3039"/>
      <c r="C6" s="3145"/>
      <c r="D6" s="3131"/>
      <c r="E6" s="140" t="s">
        <v>2123</v>
      </c>
      <c r="F6" s="2429"/>
      <c r="G6" s="2429"/>
      <c r="H6" s="2429"/>
      <c r="I6" s="1834"/>
    </row>
    <row r="7" spans="1:12" ht="12.75">
      <c r="A7" s="3113"/>
      <c r="B7" s="3039"/>
      <c r="C7" s="3144"/>
      <c r="D7" s="3131"/>
      <c r="E7" s="140" t="s">
        <v>2124</v>
      </c>
      <c r="F7" s="2429"/>
      <c r="G7" s="2429"/>
      <c r="H7" s="2429"/>
      <c r="I7" s="1834"/>
    </row>
    <row r="8" spans="1:12" ht="12.75">
      <c r="A8" s="3113" t="s">
        <v>2125</v>
      </c>
      <c r="B8" s="3039">
        <v>15</v>
      </c>
      <c r="C8" s="3143"/>
      <c r="D8" s="3131"/>
      <c r="E8" s="140" t="s">
        <v>2126</v>
      </c>
      <c r="F8" s="2429"/>
      <c r="G8" s="2429"/>
      <c r="H8" s="2429"/>
      <c r="I8" s="1834"/>
    </row>
    <row r="9" spans="1:12" ht="12.75">
      <c r="A9" s="3113"/>
      <c r="B9" s="3039"/>
      <c r="C9" s="3144"/>
      <c r="D9" s="3131"/>
      <c r="E9" s="140" t="s">
        <v>2127</v>
      </c>
      <c r="F9" s="2429"/>
      <c r="G9" s="2429"/>
      <c r="H9" s="2429"/>
      <c r="I9" s="1834"/>
    </row>
    <row r="10" spans="1:12" ht="12.75">
      <c r="A10" s="3113" t="s">
        <v>2128</v>
      </c>
      <c r="B10" s="3039">
        <v>15</v>
      </c>
      <c r="C10" s="3143"/>
      <c r="D10" s="3131"/>
      <c r="E10" s="140" t="s">
        <v>2129</v>
      </c>
      <c r="F10" s="2429"/>
      <c r="G10" s="2429"/>
      <c r="H10" s="2429"/>
      <c r="I10" s="1834"/>
    </row>
    <row r="11" spans="1:12" ht="12.75">
      <c r="A11" s="3113"/>
      <c r="B11" s="3039"/>
      <c r="C11" s="3144"/>
      <c r="D11" s="3131"/>
      <c r="E11" s="140" t="s">
        <v>2130</v>
      </c>
      <c r="F11" s="2429"/>
      <c r="G11" s="2429"/>
      <c r="H11" s="2429"/>
      <c r="I11" s="1834"/>
    </row>
    <row r="12" spans="1:12" ht="12.75">
      <c r="A12" s="3113" t="s">
        <v>2131</v>
      </c>
      <c r="B12" s="3039">
        <v>15</v>
      </c>
      <c r="C12" s="3143"/>
      <c r="D12" s="3131"/>
      <c r="E12" s="140" t="s">
        <v>2132</v>
      </c>
      <c r="F12" s="2429"/>
      <c r="G12" s="2429"/>
      <c r="H12" s="2429"/>
      <c r="I12" s="1834"/>
    </row>
    <row r="13" spans="1:12" ht="12.75">
      <c r="A13" s="3113"/>
      <c r="B13" s="3039"/>
      <c r="C13" s="3144"/>
      <c r="D13" s="3131"/>
      <c r="E13" s="140" t="s">
        <v>2133</v>
      </c>
      <c r="F13" s="2429"/>
      <c r="G13" s="2429"/>
      <c r="H13" s="2429"/>
      <c r="I13" s="1834"/>
    </row>
    <row r="14" spans="1:12" ht="12.75">
      <c r="A14" s="3113" t="s">
        <v>2134</v>
      </c>
      <c r="B14" s="3039">
        <v>30</v>
      </c>
      <c r="C14" s="3143">
        <v>5</v>
      </c>
      <c r="D14" s="3131">
        <v>5</v>
      </c>
      <c r="E14" s="140" t="s">
        <v>2135</v>
      </c>
      <c r="F14" s="2429"/>
      <c r="G14" s="2429"/>
      <c r="H14" s="2429"/>
      <c r="I14" s="1834"/>
    </row>
    <row r="15" spans="1:12" ht="12.75">
      <c r="A15" s="3113"/>
      <c r="B15" s="3039"/>
      <c r="C15" s="3145"/>
      <c r="D15" s="3131"/>
      <c r="E15" s="140" t="s">
        <v>2136</v>
      </c>
      <c r="F15" s="2429"/>
      <c r="G15" s="2429"/>
      <c r="H15" s="2429"/>
      <c r="I15" s="1834"/>
    </row>
    <row r="16" spans="1:12" ht="12.75">
      <c r="A16" s="3113"/>
      <c r="B16" s="3039"/>
      <c r="C16" s="3144"/>
      <c r="D16" s="3131"/>
      <c r="E16" s="140" t="s">
        <v>2137</v>
      </c>
      <c r="F16" s="2429"/>
      <c r="G16" s="2429"/>
      <c r="H16" s="2429"/>
      <c r="I16" s="1834"/>
    </row>
    <row r="17" spans="1:35" ht="15">
      <c r="A17" s="2430" t="s">
        <v>2138</v>
      </c>
      <c r="B17" s="64"/>
      <c r="C17" s="141">
        <f>SUM(C5:C16)</f>
        <v>5</v>
      </c>
      <c r="D17" s="141">
        <f>SUM(D5:D16)</f>
        <v>5</v>
      </c>
      <c r="E17" s="138"/>
      <c r="F17" s="138"/>
      <c r="G17" s="138"/>
      <c r="H17" s="138"/>
      <c r="I17" s="138"/>
      <c r="K17" s="2428"/>
      <c r="L17" s="2431" t="s">
        <v>2139</v>
      </c>
      <c r="M17" s="2431" t="s">
        <v>2140</v>
      </c>
    </row>
    <row r="18" spans="1:35" ht="15.75" thickBot="1">
      <c r="A18" s="2432" t="s">
        <v>2141</v>
      </c>
      <c r="B18" s="2433"/>
      <c r="C18" s="142">
        <f>ROUND(C17/SUM(C17:D17),2)</f>
        <v>0.5</v>
      </c>
      <c r="D18" s="142">
        <f>1-C18</f>
        <v>0.5</v>
      </c>
      <c r="E18" s="138"/>
      <c r="F18" s="138"/>
      <c r="G18" s="138"/>
      <c r="H18" s="138"/>
      <c r="I18" s="138"/>
      <c r="K18" s="2428" t="s">
        <v>2142</v>
      </c>
      <c r="L18" s="2967">
        <f>'数据-汇总表'!E19</f>
        <v>71660.160000000003</v>
      </c>
      <c r="M18" s="2967">
        <f>L18</f>
        <v>71660.160000000003</v>
      </c>
    </row>
    <row r="19" spans="1:35" ht="15">
      <c r="A19" s="2434" t="s">
        <v>2143</v>
      </c>
      <c r="B19" s="2435" t="s">
        <v>2144</v>
      </c>
      <c r="C19" s="143">
        <f ca="1">SUMIF(INDIRECT("'"&amp;C4&amp;"'"&amp;"!A:A"),结果表!B19,INDIRECT("'"&amp;C4&amp;"'"&amp;"!B:B"))</f>
        <v>81060</v>
      </c>
      <c r="D19" s="144">
        <f ca="1">SUMIF(INDIRECT("'"&amp;D4&amp;"'"&amp;"!A:A"),结果表!B19,INDIRECT("'"&amp;D4&amp;"'"&amp;"!B:B"))</f>
        <v>79086</v>
      </c>
      <c r="E19" s="2434" t="s">
        <v>2145</v>
      </c>
      <c r="F19" s="2435" t="s">
        <v>2144</v>
      </c>
      <c r="G19" s="145">
        <f ca="1">ROUND(C19*$C$18+D19*$D$18,0)</f>
        <v>80073</v>
      </c>
      <c r="H19" s="2436" t="s">
        <v>2146</v>
      </c>
      <c r="I19" s="138"/>
      <c r="K19" s="2428" t="s">
        <v>2147</v>
      </c>
      <c r="L19" s="2428">
        <f>IF(C1="",'数据-汇总表'!D3,SUMIF(项目类型,C1,'数据-汇总表'!D17:D26)+SUMIF(项目类型,C1,'数据-汇总表'!H17:H27))</f>
        <v>96248.76</v>
      </c>
      <c r="M19" s="2428">
        <f>IF(C1="",'数据-汇总表'!D3,SUMIF(项目类型,C1,'数据-汇总表'!D17:D26))</f>
        <v>96248.76</v>
      </c>
    </row>
    <row r="20" spans="1:35" ht="15">
      <c r="A20" s="2437"/>
      <c r="B20" s="1250" t="s">
        <v>2148</v>
      </c>
      <c r="C20" s="146">
        <f ca="1">SUMIF(INDIRECT("'"&amp;C4&amp;"'"&amp;"!A:A"),结果表!B20,INDIRECT("'"&amp;C4&amp;"'"&amp;"!B:B"))</f>
        <v>11312</v>
      </c>
      <c r="D20" s="147">
        <f ca="1">SUMIF(INDIRECT("'"&amp;D4&amp;"'"&amp;"!A:A"),结果表!B20,INDIRECT("'"&amp;D4&amp;"'"&amp;"!B:B"))</f>
        <v>11036</v>
      </c>
      <c r="E20" s="2437"/>
      <c r="F20" s="1250" t="s">
        <v>2148</v>
      </c>
      <c r="G20" s="148">
        <f ca="1">ROUND(C20*$C$18+D20*$D$18,0)</f>
        <v>11174</v>
      </c>
      <c r="H20" s="983" t="s">
        <v>2149</v>
      </c>
      <c r="I20" s="138"/>
    </row>
    <row r="21" spans="1:35" ht="15" customHeight="1" thickBot="1">
      <c r="A21" s="1003"/>
      <c r="B21" s="2438" t="s">
        <v>2150</v>
      </c>
      <c r="C21" s="789">
        <f ca="1">ROUND(C19*10000/L19,0)</f>
        <v>8422</v>
      </c>
      <c r="D21" s="790">
        <f ca="1">ROUND(D19*10000/L19,0)</f>
        <v>8217</v>
      </c>
      <c r="E21" s="1003"/>
      <c r="F21" s="2438" t="s">
        <v>2150</v>
      </c>
      <c r="G21" s="149">
        <f ca="1">ROUND(G19*10000/L19,0)</f>
        <v>8319</v>
      </c>
      <c r="H21" s="2439" t="s">
        <v>2149</v>
      </c>
      <c r="I21" s="138"/>
    </row>
    <row r="22" spans="1:35" ht="15" thickBot="1">
      <c r="A22" s="2280" t="s">
        <v>2151</v>
      </c>
      <c r="B22" s="2440"/>
      <c r="C22" s="2441"/>
      <c r="D22" s="791">
        <f ca="1">IF(C19&lt;D19,D19/C19-1,C19/D19-1)</f>
        <v>2.4960169941582677E-2</v>
      </c>
      <c r="E22" s="138"/>
      <c r="F22" s="138"/>
      <c r="G22" s="138"/>
      <c r="H22" s="138"/>
      <c r="I22" s="138"/>
    </row>
    <row r="23" spans="1:35" ht="13.5" thickBot="1">
      <c r="A23" s="2418"/>
      <c r="B23" s="2418"/>
      <c r="C23" s="2418"/>
      <c r="D23" s="2418"/>
      <c r="E23" s="138"/>
      <c r="F23" s="138"/>
      <c r="G23" s="138"/>
      <c r="H23" s="138"/>
      <c r="I23" s="138"/>
    </row>
    <row r="24" spans="1:35" ht="14.25">
      <c r="A24" s="3152" t="s">
        <v>2152</v>
      </c>
      <c r="B24" s="2435" t="s">
        <v>2144</v>
      </c>
      <c r="C24" s="145">
        <f>IF(B30=0,0,D30)</f>
        <v>0</v>
      </c>
      <c r="D24" s="2442"/>
      <c r="E24" s="138"/>
      <c r="F24" s="138"/>
      <c r="G24" s="138"/>
      <c r="H24" s="138"/>
      <c r="I24" s="138"/>
    </row>
    <row r="25" spans="1:35" ht="14.25">
      <c r="A25" s="3153"/>
      <c r="B25" s="1250" t="s">
        <v>2148</v>
      </c>
      <c r="C25" s="150">
        <f>IF(B30=0,0,C30)</f>
        <v>0</v>
      </c>
      <c r="D25" s="2443"/>
      <c r="E25" s="138"/>
      <c r="F25" s="138"/>
      <c r="G25" s="138"/>
      <c r="H25" s="138"/>
      <c r="I25" s="138"/>
    </row>
    <row r="26" spans="1:35" ht="13.5" customHeight="1">
      <c r="A26" s="2444" t="s">
        <v>2153</v>
      </c>
      <c r="B26" s="151" t="s">
        <v>2154</v>
      </c>
      <c r="C26" s="151" t="s">
        <v>2155</v>
      </c>
      <c r="D26" s="152" t="s">
        <v>2156</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2157</v>
      </c>
      <c r="B30" s="151"/>
      <c r="C30" s="151"/>
      <c r="D30" s="151"/>
      <c r="E30" s="2925" t="s">
        <v>3033</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80073</v>
      </c>
      <c r="D32" s="2449" t="s">
        <v>2159</v>
      </c>
      <c r="E32" s="138"/>
      <c r="F32" s="138"/>
      <c r="G32" s="138"/>
      <c r="H32" s="138"/>
      <c r="I32" s="138"/>
    </row>
    <row r="33" spans="1:15" ht="15">
      <c r="A33" s="960" t="s">
        <v>2160</v>
      </c>
      <c r="B33" s="2450"/>
      <c r="C33" s="2451"/>
      <c r="D33" s="2452"/>
      <c r="E33" s="2453" t="s">
        <v>2161</v>
      </c>
      <c r="F33" s="2454" t="str">
        <f>IF(D32="楼面单价","取值（单价）","取值（总价）")</f>
        <v>取值（总价）</v>
      </c>
      <c r="G33" s="138"/>
      <c r="H33" s="138"/>
      <c r="I33" s="138"/>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39"/>
      <c r="G34" s="138"/>
      <c r="H34" s="138"/>
      <c r="I34" s="138"/>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8"/>
      <c r="H35" s="138"/>
      <c r="I35" s="138"/>
    </row>
    <row r="36" spans="1:15" ht="15.75" thickBot="1">
      <c r="A36" s="3132" t="s">
        <v>2166</v>
      </c>
      <c r="B36" s="2461" t="s">
        <v>2167</v>
      </c>
      <c r="C36" s="154"/>
      <c r="D36" s="2462"/>
      <c r="E36" s="2463"/>
      <c r="F36" s="2464"/>
      <c r="G36" s="138"/>
      <c r="H36" s="138"/>
      <c r="I36" s="138"/>
    </row>
    <row r="37" spans="1:15" ht="15.75" thickBot="1">
      <c r="A37" s="3133"/>
      <c r="B37" s="2266" t="s">
        <v>2168</v>
      </c>
      <c r="C37" s="156"/>
      <c r="D37" s="1395"/>
      <c r="E37" s="1395"/>
      <c r="F37" s="2464"/>
      <c r="G37" s="138"/>
      <c r="H37" s="138"/>
      <c r="I37" s="138"/>
    </row>
    <row r="38" spans="1:15" ht="15.75" thickBot="1">
      <c r="A38" s="3134"/>
      <c r="B38" s="2465" t="s">
        <v>2169</v>
      </c>
      <c r="C38" s="727"/>
      <c r="D38" s="2466" t="s">
        <v>2170</v>
      </c>
      <c r="E38" s="1395"/>
      <c r="F38" s="2464"/>
      <c r="G38" s="138"/>
      <c r="H38" s="138"/>
      <c r="I38" s="138"/>
    </row>
    <row r="39" spans="1:15" ht="15">
      <c r="A39" s="2437" t="s">
        <v>2171</v>
      </c>
      <c r="B39" s="2467" t="s">
        <v>2172</v>
      </c>
      <c r="C39" s="2468" t="s">
        <v>2173</v>
      </c>
      <c r="D39" s="2468" t="s">
        <v>2174</v>
      </c>
      <c r="E39" s="2469" t="s">
        <v>2175</v>
      </c>
      <c r="F39" s="2464"/>
      <c r="G39" s="138"/>
      <c r="H39" s="138"/>
      <c r="I39" s="138"/>
    </row>
    <row r="40" spans="1:15" ht="14.25">
      <c r="A40" s="2470" t="s">
        <v>2176</v>
      </c>
      <c r="B40" s="158"/>
      <c r="C40" s="159"/>
      <c r="D40" s="159"/>
      <c r="E40" s="160"/>
      <c r="F40" s="2464"/>
      <c r="G40" s="138"/>
      <c r="H40" s="138"/>
      <c r="I40" s="138"/>
    </row>
    <row r="41" spans="1:15" ht="14.25">
      <c r="A41" s="2470" t="s">
        <v>2177</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149" t="s">
        <v>2180</v>
      </c>
      <c r="B45" s="3150"/>
      <c r="C45" s="3151"/>
      <c r="D45" s="164">
        <f ca="1">ROUND(H101*F45,0)</f>
        <v>80073</v>
      </c>
      <c r="E45" s="165" t="s">
        <v>2181</v>
      </c>
      <c r="F45" s="166">
        <v>1</v>
      </c>
      <c r="G45" s="167" t="s">
        <v>2182</v>
      </c>
      <c r="H45" s="138"/>
      <c r="I45" s="138"/>
      <c r="J45" s="3068" t="s">
        <v>2183</v>
      </c>
      <c r="K45" s="3068"/>
      <c r="L45" s="3068"/>
      <c r="M45" s="3068"/>
      <c r="N45" s="3068"/>
      <c r="O45" s="3068"/>
    </row>
    <row r="46" spans="1:15" ht="14.25" customHeight="1">
      <c r="A46" s="3146" t="s">
        <v>2184</v>
      </c>
      <c r="B46" s="3147"/>
      <c r="C46" s="3147"/>
      <c r="D46" s="3147"/>
      <c r="E46" s="3147"/>
      <c r="F46" s="3147"/>
      <c r="G46" s="3148"/>
      <c r="H46" s="2480"/>
      <c r="I46" s="168"/>
      <c r="J46" s="1812">
        <v>1</v>
      </c>
      <c r="K46" s="3068" t="s">
        <v>2185</v>
      </c>
      <c r="L46" s="3068"/>
      <c r="M46" s="3069"/>
      <c r="N46" s="3069"/>
      <c r="O46" s="3069"/>
    </row>
    <row r="47" spans="1:15" ht="12" customHeight="1">
      <c r="A47" s="169" t="s">
        <v>2186</v>
      </c>
      <c r="B47" s="170"/>
      <c r="C47" s="171"/>
      <c r="D47" s="172" t="s">
        <v>2187</v>
      </c>
      <c r="E47" s="24" t="s">
        <v>2188</v>
      </c>
      <c r="F47" s="173" t="s">
        <v>2189</v>
      </c>
      <c r="G47" s="174" t="s">
        <v>2190</v>
      </c>
      <c r="H47" s="2480"/>
      <c r="I47" s="168"/>
      <c r="J47" s="1812">
        <v>2</v>
      </c>
      <c r="K47" s="3068" t="s">
        <v>2191</v>
      </c>
      <c r="L47" s="3068"/>
      <c r="M47" s="3070">
        <f>'数据-取费表'!B2</f>
        <v>43536</v>
      </c>
      <c r="N47" s="3070"/>
      <c r="O47" s="3070"/>
    </row>
    <row r="48" spans="1:15" ht="25.5">
      <c r="A48" s="3136" t="s">
        <v>2192</v>
      </c>
      <c r="B48" s="3137"/>
      <c r="C48" s="3137"/>
      <c r="D48" s="140">
        <f>IF(H48="情况1",0,IF(H48="情况2",D52,IF(H48="情况3",D53,IF(H48="情况4",D54))))</f>
        <v>0</v>
      </c>
      <c r="E48" s="1801" t="str">
        <f>IF(H48="情况4","(销售额-原购置价)×税（费）率","销售额×税（费）率")</f>
        <v>销售额×税（费）率</v>
      </c>
      <c r="F48" s="175" t="str">
        <f>IF(H48="情况1","免征",'数据-取费表'!B41)</f>
        <v>免征</v>
      </c>
      <c r="G48" s="2481" t="s">
        <v>2193</v>
      </c>
      <c r="H48" s="2482" t="s">
        <v>2194</v>
      </c>
      <c r="I48" s="2480"/>
      <c r="J48" s="1812">
        <v>3</v>
      </c>
      <c r="K48" s="3068" t="s">
        <v>2195</v>
      </c>
      <c r="L48" s="3068"/>
      <c r="M48" s="3071">
        <f ca="1">H101</f>
        <v>80073</v>
      </c>
      <c r="N48" s="3071"/>
      <c r="O48" s="3071"/>
    </row>
    <row r="49" spans="1:35" ht="25.5" customHeight="1">
      <c r="A49" s="176" t="s">
        <v>2196</v>
      </c>
      <c r="B49" s="3116" t="s">
        <v>2197</v>
      </c>
      <c r="C49" s="3116"/>
      <c r="D49" s="177">
        <v>0</v>
      </c>
      <c r="E49" s="23" t="s">
        <v>2198</v>
      </c>
      <c r="F49" s="28" t="s">
        <v>34</v>
      </c>
      <c r="G49" s="3097"/>
      <c r="H49" s="138"/>
      <c r="I49" s="2483"/>
      <c r="J49" s="1812">
        <v>4</v>
      </c>
      <c r="K49" s="3068" t="str">
        <f>IF(项目基本情况!E8="房地产抵押价值","房地产抵押价值","抵押担保权已注销时的房地产抵押价值")</f>
        <v>房地产抵押价值</v>
      </c>
      <c r="L49" s="3068"/>
      <c r="M49" s="3071">
        <f ca="1">IF(项目基本情况!E8="房地产抵押价值",H107,H109)</f>
        <v>80073</v>
      </c>
      <c r="N49" s="3071"/>
      <c r="O49" s="3071"/>
    </row>
    <row r="50" spans="1:35" ht="25.5" customHeight="1">
      <c r="A50" s="178"/>
      <c r="B50" s="3116" t="s">
        <v>2199</v>
      </c>
      <c r="C50" s="3116"/>
      <c r="D50" s="179"/>
      <c r="E50" s="31"/>
      <c r="F50" s="180"/>
      <c r="G50" s="3098"/>
      <c r="H50" s="138"/>
      <c r="I50" s="2483"/>
      <c r="J50" s="3068" t="s">
        <v>2200</v>
      </c>
      <c r="K50" s="3068"/>
      <c r="L50" s="3068"/>
      <c r="M50" s="3068"/>
      <c r="N50" s="3068"/>
      <c r="O50" s="3068"/>
    </row>
    <row r="51" spans="1:35" ht="12" customHeight="1">
      <c r="A51" s="181"/>
      <c r="B51" s="3116" t="s">
        <v>2201</v>
      </c>
      <c r="C51" s="3116"/>
      <c r="D51" s="182"/>
      <c r="E51" s="30"/>
      <c r="F51" s="180"/>
      <c r="G51" s="3099"/>
      <c r="H51" s="138"/>
      <c r="I51" s="2483"/>
      <c r="J51" s="2484" t="s">
        <v>2202</v>
      </c>
      <c r="K51" s="3068" t="s">
        <v>2203</v>
      </c>
      <c r="L51" s="3068"/>
      <c r="M51" s="2484" t="s">
        <v>2204</v>
      </c>
      <c r="N51" s="2484" t="s">
        <v>2205</v>
      </c>
      <c r="O51" s="2484" t="s">
        <v>2206</v>
      </c>
    </row>
    <row r="52" spans="1:35" ht="24" customHeight="1">
      <c r="A52" s="183" t="s">
        <v>2207</v>
      </c>
      <c r="B52" s="3116" t="s">
        <v>2208</v>
      </c>
      <c r="C52" s="3116"/>
      <c r="D52" s="182">
        <f ca="1">ROUND(D45*'数据-取费表'!B41/(1+'数据-取费表'!C42),0)</f>
        <v>4194</v>
      </c>
      <c r="E52" s="11" t="s">
        <v>2209</v>
      </c>
      <c r="F52" s="184">
        <f>'数据-取费表'!B41</f>
        <v>5.5000000000000007E-2</v>
      </c>
      <c r="G52" s="2485"/>
      <c r="H52" s="138"/>
      <c r="I52" s="2483"/>
      <c r="J52" s="1812">
        <v>1</v>
      </c>
      <c r="K52" s="3091" t="s">
        <v>2210</v>
      </c>
      <c r="L52" s="3091"/>
      <c r="M52" s="1754">
        <f>D48</f>
        <v>0</v>
      </c>
      <c r="N52" s="1812" t="str">
        <f>E48</f>
        <v>销售额×税（费）率</v>
      </c>
      <c r="O52" s="1755" t="str">
        <f>F48</f>
        <v>免征</v>
      </c>
    </row>
    <row r="53" spans="1:35" ht="12" customHeight="1">
      <c r="A53" s="183" t="s">
        <v>2211</v>
      </c>
      <c r="B53" s="3117" t="s">
        <v>2212</v>
      </c>
      <c r="C53" s="3118"/>
      <c r="D53" s="182">
        <f ca="1">ROUND(D45*'数据-取费表'!B41/(1+'数据-取费表'!C42),0)</f>
        <v>4194</v>
      </c>
      <c r="E53" s="11" t="s">
        <v>2209</v>
      </c>
      <c r="F53" s="184">
        <f>'数据-取费表'!B41</f>
        <v>5.5000000000000007E-2</v>
      </c>
      <c r="G53" s="2485"/>
      <c r="H53" s="138"/>
      <c r="I53" s="2483"/>
      <c r="J53" s="1812">
        <v>2</v>
      </c>
      <c r="K53" s="3091" t="s">
        <v>2213</v>
      </c>
      <c r="L53" s="3091"/>
      <c r="M53" s="1754">
        <f t="shared" ref="M53:O54" ca="1" si="0">D55</f>
        <v>20</v>
      </c>
      <c r="N53" s="1812" t="str">
        <f t="shared" si="0"/>
        <v>销售额×税（费）率</v>
      </c>
      <c r="O53" s="1755">
        <f t="shared" si="0"/>
        <v>2.5000000000000001E-4</v>
      </c>
    </row>
    <row r="54" spans="1:35" ht="12" customHeight="1">
      <c r="A54" s="183" t="s">
        <v>2214</v>
      </c>
      <c r="B54" s="3117" t="s">
        <v>2215</v>
      </c>
      <c r="C54" s="3118"/>
      <c r="D54" s="182">
        <f ca="1">C68</f>
        <v>4194</v>
      </c>
      <c r="E54" s="30" t="s">
        <v>2216</v>
      </c>
      <c r="F54" s="184">
        <f>'数据-取费表'!B41</f>
        <v>5.5000000000000007E-2</v>
      </c>
      <c r="G54" s="2485"/>
      <c r="H54" s="2486"/>
      <c r="I54" s="2483"/>
      <c r="J54" s="1812">
        <v>3</v>
      </c>
      <c r="K54" s="3091" t="s">
        <v>2217</v>
      </c>
      <c r="L54" s="3091"/>
      <c r="M54" s="1754">
        <f t="shared" ca="1" si="0"/>
        <v>45394</v>
      </c>
      <c r="N54" s="1812" t="str">
        <f t="shared" si="0"/>
        <v>增值额×税（费）率</v>
      </c>
      <c r="O54" s="1756" t="str">
        <f t="shared" si="0"/>
        <v>——</v>
      </c>
    </row>
    <row r="55" spans="1:35" ht="24" customHeight="1">
      <c r="A55" s="3155" t="s">
        <v>2218</v>
      </c>
      <c r="B55" s="3137"/>
      <c r="C55" s="3137"/>
      <c r="D55" s="185">
        <f ca="1">IF(H55="个人住宅",0,ROUND(D45*I55,0))</f>
        <v>20</v>
      </c>
      <c r="E55" s="11" t="s">
        <v>2219</v>
      </c>
      <c r="F55" s="184">
        <f>IF(H55="正常",I55,"免征")</f>
        <v>2.5000000000000001E-4</v>
      </c>
      <c r="G55" s="2485"/>
      <c r="H55" s="2482" t="s">
        <v>2220</v>
      </c>
      <c r="I55" s="186">
        <f>'数据-取费表'!B49</f>
        <v>2.5000000000000001E-4</v>
      </c>
      <c r="J55" s="1812" t="str">
        <f>IF(H59="非个人房产","",4)</f>
        <v/>
      </c>
      <c r="K55" s="3091" t="str">
        <f>IF(H59="非个人房产","——","个人所得税")</f>
        <v>——</v>
      </c>
      <c r="L55" s="3091"/>
      <c r="M55" s="1757" t="str">
        <f>D59</f>
        <v>——</v>
      </c>
      <c r="N55" s="1810" t="str">
        <f>E59</f>
        <v>——</v>
      </c>
      <c r="O55" s="1758" t="str">
        <f>F59</f>
        <v>——</v>
      </c>
    </row>
    <row r="56" spans="1:35" ht="24.75">
      <c r="A56" s="3155" t="s">
        <v>2221</v>
      </c>
      <c r="B56" s="3137"/>
      <c r="C56" s="3137"/>
      <c r="D56" s="185">
        <f ca="1">IF(H56="个人住宅",D57,D58)</f>
        <v>45394</v>
      </c>
      <c r="E56" s="11" t="s">
        <v>2222</v>
      </c>
      <c r="F56" s="184" t="str">
        <f>IF(H56="正常",F58,"免征")</f>
        <v>——</v>
      </c>
      <c r="G56" s="2487" t="s">
        <v>2223</v>
      </c>
      <c r="H56" s="2488" t="s">
        <v>2220</v>
      </c>
      <c r="I56" s="2489"/>
      <c r="J56" s="1812" t="str">
        <f>IF(项目基本情况!K6="上海银行",IF(J55="",4,J55+1),"")</f>
        <v/>
      </c>
      <c r="K56" s="3074" t="str">
        <f>IF(项目基本情况!K6="上海银行","其他处置费用","")</f>
        <v/>
      </c>
      <c r="L56" s="3075"/>
      <c r="M56" s="1754" t="str">
        <f>IF(项目基本情况!K6="上海银行",M69,"")</f>
        <v/>
      </c>
      <c r="N56" s="3077" t="str">
        <f>IF(项目基本情况!K6="上海银行","包含处置中涉及的律师、诉讼、拍卖、评估等费用","")</f>
        <v/>
      </c>
      <c r="O56" s="3078"/>
    </row>
    <row r="57" spans="1:35" ht="12.75">
      <c r="A57" s="183" t="s">
        <v>2196</v>
      </c>
      <c r="B57" s="3122" t="s">
        <v>2224</v>
      </c>
      <c r="C57" s="3123"/>
      <c r="D57" s="187">
        <v>0</v>
      </c>
      <c r="E57" s="23" t="s">
        <v>2198</v>
      </c>
      <c r="F57" s="155"/>
      <c r="G57" s="2485"/>
      <c r="H57" s="2489"/>
      <c r="I57" s="2489"/>
      <c r="J57" s="3091">
        <f>IF(AND(J55="",J56=""),4,IF(项目基本情况!K6="上海银行",结果表!J56+1,结果表!J55+1))</f>
        <v>4</v>
      </c>
      <c r="K57" s="3091" t="s">
        <v>2225</v>
      </c>
      <c r="L57" s="2490" t="s">
        <v>2226</v>
      </c>
      <c r="M57" s="1759"/>
      <c r="N57" s="1760">
        <f ca="1">SUMIF(M52:M56,"&lt;9e307")</f>
        <v>45414</v>
      </c>
      <c r="O57" s="2491"/>
      <c r="P57" s="1753">
        <f ca="1">N57/M49</f>
        <v>0.56715746880971118</v>
      </c>
    </row>
    <row r="58" spans="1:35" ht="24.75">
      <c r="A58" s="183" t="s">
        <v>2207</v>
      </c>
      <c r="B58" s="3122" t="s">
        <v>2227</v>
      </c>
      <c r="C58" s="3135"/>
      <c r="D58" s="185">
        <f ca="1">IF(H58="转让取得",C81,C97)</f>
        <v>45394</v>
      </c>
      <c r="E58" s="11" t="s">
        <v>2222</v>
      </c>
      <c r="F58" s="24" t="s">
        <v>34</v>
      </c>
      <c r="G58" s="2485"/>
      <c r="H58" s="2488" t="s">
        <v>2228</v>
      </c>
      <c r="I58" s="2489"/>
      <c r="J58" s="3091"/>
      <c r="K58" s="3091"/>
      <c r="L58" s="2490" t="s">
        <v>2229</v>
      </c>
      <c r="M58" s="1761"/>
      <c r="N58" s="2492" t="str">
        <f ca="1">NUMBERSTRING(INT(N57*10000),2)&amp;"元整"</f>
        <v>肆亿伍仟肆佰壹拾肆万元整</v>
      </c>
      <c r="O58" s="2493"/>
    </row>
    <row r="59" spans="1:35" ht="24.75" thickBot="1">
      <c r="A59" s="3095" t="s">
        <v>2230</v>
      </c>
      <c r="B59" s="3096"/>
      <c r="C59" s="3096"/>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093">
        <f>J57+1</f>
        <v>5</v>
      </c>
      <c r="K59" s="3091" t="s">
        <v>2232</v>
      </c>
      <c r="L59" s="1812" t="s">
        <v>2226</v>
      </c>
      <c r="M59" s="1762"/>
      <c r="N59" s="1763">
        <f ca="1">M49-N57</f>
        <v>34659</v>
      </c>
      <c r="O59" s="2495"/>
    </row>
    <row r="60" spans="1:35" ht="12" customHeight="1">
      <c r="A60" s="2496"/>
      <c r="B60" s="2418"/>
      <c r="C60" s="2418"/>
      <c r="D60" s="2418"/>
      <c r="E60" s="2165"/>
      <c r="F60" s="2489"/>
      <c r="G60" s="2489"/>
      <c r="H60" s="2497"/>
      <c r="I60" s="138"/>
      <c r="J60" s="3094"/>
      <c r="K60" s="3091"/>
      <c r="L60" s="2490" t="s">
        <v>2229</v>
      </c>
      <c r="M60" s="1761"/>
      <c r="N60" s="2492" t="str">
        <f ca="1">NUMBERSTRING(INT(N59*10000),2)&amp;"元整"</f>
        <v>叁亿肆仟陆佰伍拾玖万元整</v>
      </c>
      <c r="O60" s="2493"/>
    </row>
    <row r="61" spans="1:35" ht="13.5" thickBot="1">
      <c r="A61" s="3154" t="s">
        <v>2233</v>
      </c>
      <c r="B61" s="3154"/>
      <c r="C61" s="3154"/>
      <c r="D61" s="3154"/>
      <c r="E61" s="3154"/>
      <c r="F61" s="2489"/>
      <c r="G61" s="2489"/>
      <c r="H61" s="2497"/>
      <c r="I61" s="138"/>
      <c r="J61" s="1812">
        <f>J59+1</f>
        <v>6</v>
      </c>
      <c r="K61" s="3091" t="s">
        <v>2234</v>
      </c>
      <c r="L61" s="3091"/>
      <c r="M61" s="1764"/>
      <c r="N61" s="1765">
        <f ca="1">ROUND(N59*10000/'数据-汇总表'!E3,0)</f>
        <v>3575</v>
      </c>
      <c r="O61" s="2498"/>
    </row>
    <row r="62" spans="1:35" ht="12.75">
      <c r="A62" s="3111" t="s">
        <v>2235</v>
      </c>
      <c r="B62" s="3112"/>
      <c r="C62" s="1804"/>
      <c r="D62" s="1804" t="s">
        <v>2236</v>
      </c>
      <c r="E62" s="192" t="s">
        <v>2237</v>
      </c>
      <c r="F62" s="2489"/>
      <c r="G62" s="2489"/>
      <c r="H62" s="2497"/>
      <c r="I62" s="138"/>
    </row>
    <row r="63" spans="1:35" ht="12.75">
      <c r="A63" s="203" t="s">
        <v>775</v>
      </c>
      <c r="B63" s="193" t="s">
        <v>2238</v>
      </c>
      <c r="C63" s="194">
        <f ca="1">ROUND((C64+C65)/(1+'数据-取费表'!C42),0)</f>
        <v>76260</v>
      </c>
      <c r="D63" s="195"/>
      <c r="E63" s="196"/>
      <c r="F63" s="2489"/>
      <c r="G63" s="2489"/>
      <c r="H63" s="2497"/>
      <c r="I63" s="138"/>
      <c r="J63" s="3076" t="s">
        <v>2239</v>
      </c>
      <c r="K63" s="2499" t="s">
        <v>2240</v>
      </c>
      <c r="L63" s="1752">
        <f ca="1">IF(M49&gt;10000,M49*0.5%,IF(AND(M49&gt;1000,M49&lt;=10000),M49*1%,IF(AND(M49&gt;100,M49&lt;=1000),M49*3%,IF(AND(M49&gt;10,M49&lt;=100),M49*5%,M49*8%))))</f>
        <v>400.36500000000001</v>
      </c>
      <c r="M63" s="24">
        <f ca="1">ROUND(L63,1)</f>
        <v>400.4</v>
      </c>
      <c r="Z63" s="2423"/>
      <c r="AI63" s="2424"/>
    </row>
    <row r="64" spans="1:35" ht="14.25" customHeight="1">
      <c r="A64" s="197" t="s">
        <v>770</v>
      </c>
      <c r="B64" s="198" t="s">
        <v>2241</v>
      </c>
      <c r="C64" s="199">
        <f ca="1">D45</f>
        <v>80073</v>
      </c>
      <c r="D64" s="200" t="s">
        <v>32</v>
      </c>
      <c r="E64" s="201"/>
      <c r="F64" s="2489"/>
      <c r="G64" s="2489"/>
      <c r="H64" s="2497"/>
      <c r="I64" s="138"/>
      <c r="J64" s="3076"/>
      <c r="K64" s="2499" t="s">
        <v>2242</v>
      </c>
      <c r="L64" s="1752">
        <f ca="1">IF(M49&gt;2000,M49*0.5%,IF(AND(M49&gt;1000,M49&lt;=2000),M49*0.6%,IF(AND(M49&gt;500,M49&lt;=1000),M49*0.7%,IF(AND(M49&gt;200,M49&lt;=500),M49*0.8%,IF(AND(M49&gt;100,M49&lt;=200),M49*0.9%,IF(AND(M49&gt;50,M49&lt;=100),M49*1%,IF(AND(M49&gt;20,M49&lt;=50),M49*1.5%,IF(AND(M49&gt;10,M49&lt;=20),M49*2%,IF(AND(M49&gt;1,M49&lt;=10),M49*2.5%)))))))))</f>
        <v>400.36500000000001</v>
      </c>
      <c r="M64" s="24">
        <f t="shared" ref="M64:M65" ca="1" si="1">ROUND(L64,1)</f>
        <v>400.4</v>
      </c>
      <c r="N64" s="138" t="s">
        <v>2243</v>
      </c>
      <c r="Z64" s="2423"/>
      <c r="AI64" s="2424"/>
    </row>
    <row r="65" spans="1:35" ht="14.25" customHeight="1">
      <c r="A65" s="197" t="s">
        <v>771</v>
      </c>
      <c r="B65" s="198" t="s">
        <v>2244</v>
      </c>
      <c r="C65" s="202"/>
      <c r="D65" s="200"/>
      <c r="E65" s="201"/>
      <c r="F65" s="2489"/>
      <c r="G65" s="2489"/>
      <c r="H65" s="2497"/>
      <c r="I65" s="138"/>
      <c r="J65" s="3076"/>
      <c r="K65" s="2499" t="s">
        <v>2245</v>
      </c>
      <c r="L65" s="1752">
        <f ca="1">IF(M49&gt;1000,M49*0.1%,IF(AND(M49&gt;500,M49&lt;=1000),M49*0.5%,IF(AND(M49&gt;50,M49&lt;=500),M49*1%,IF(AND(M49&gt;1,M49&lt;=50),M49*1.5%))))</f>
        <v>80.073000000000008</v>
      </c>
      <c r="M65" s="24">
        <f t="shared" ca="1" si="1"/>
        <v>80.099999999999994</v>
      </c>
      <c r="N65" s="138" t="s">
        <v>2243</v>
      </c>
      <c r="Z65" s="2423"/>
      <c r="AI65" s="2424"/>
    </row>
    <row r="66" spans="1:35" ht="14.25" customHeight="1">
      <c r="A66" s="203" t="s">
        <v>772</v>
      </c>
      <c r="B66" s="204" t="s">
        <v>2246</v>
      </c>
      <c r="C66" s="205"/>
      <c r="D66" s="206" t="s">
        <v>32</v>
      </c>
      <c r="E66" s="1776" t="s">
        <v>1367</v>
      </c>
      <c r="F66" s="2489"/>
      <c r="G66" s="2489"/>
      <c r="H66" s="2497"/>
      <c r="I66" s="138"/>
      <c r="J66" s="3076"/>
      <c r="K66" s="2499" t="s">
        <v>2247</v>
      </c>
      <c r="L66" s="1752">
        <f ca="1">M49*0.5%</f>
        <v>400.36500000000001</v>
      </c>
      <c r="M66" s="24">
        <f ca="1">IF(L66&gt;0.5,0.5,ROUND(L66,0))</f>
        <v>0.5</v>
      </c>
      <c r="N66" s="138" t="s">
        <v>2248</v>
      </c>
      <c r="Z66" s="2423"/>
      <c r="AI66" s="2424"/>
    </row>
    <row r="67" spans="1:35" ht="14.25" customHeight="1">
      <c r="A67" s="203" t="s">
        <v>773</v>
      </c>
      <c r="B67" s="204" t="s">
        <v>2249</v>
      </c>
      <c r="C67" s="207">
        <f ca="1">C63-C66</f>
        <v>76260</v>
      </c>
      <c r="D67" s="200" t="s">
        <v>32</v>
      </c>
      <c r="E67" s="201"/>
      <c r="F67" s="2489"/>
      <c r="G67" s="2489"/>
      <c r="H67" s="2497"/>
      <c r="I67" s="138"/>
      <c r="J67" s="3076"/>
      <c r="K67" s="2499" t="s">
        <v>2250</v>
      </c>
      <c r="L67" s="1752">
        <f ca="1">IF(M49&gt;=10000,(8.25+(M49-10000)*0.01%),IF(AND(M49&gt;=8000,M49&lt;10000),(7.85+(M49-8000)*0.02%),IF(AND(M49&gt;=5000,M49&lt;8000),(6.65+(M49-5000)*0.04%),IF(AND(M49&gt;=2000,M49&lt;5000),(4.25+(PM49-2000)*0.08%),IF(AND(M49&gt;=1000,M49&lt;2000),(2.75+(M49-1000)*0.15%),IF(AND(M49&gt;=100,M49&lt;1000),(0.5+(M49-100)*0.25%),IF(AND(M49&gt;0,M49&lt;100),M49*0.5%)))))))</f>
        <v>15.257300000000001</v>
      </c>
      <c r="M67" s="24">
        <f ca="1">ROUND(L67*0.9,1)</f>
        <v>13.7</v>
      </c>
      <c r="Z67" s="2423"/>
      <c r="AI67" s="2424"/>
    </row>
    <row r="68" spans="1:35" ht="14.25" customHeight="1" thickBot="1">
      <c r="A68" s="208" t="s">
        <v>774</v>
      </c>
      <c r="B68" s="209" t="s">
        <v>2251</v>
      </c>
      <c r="C68" s="210">
        <f ca="1">IF(C67&lt;=0,0,ROUND(C67*D68,0))</f>
        <v>4194</v>
      </c>
      <c r="D68" s="211">
        <f>'数据-取费表'!B41</f>
        <v>5.5000000000000007E-2</v>
      </c>
      <c r="E68" s="212"/>
      <c r="F68" s="2489"/>
      <c r="G68" s="2489"/>
      <c r="H68" s="2497"/>
      <c r="I68" s="138"/>
      <c r="J68" s="3076"/>
      <c r="K68" s="2499" t="s">
        <v>2252</v>
      </c>
      <c r="L68" s="1752">
        <f ca="1">IF(M49&gt;10000,M49*0.5%,IF(AND(M49&gt;5000,M49&lt;=10000),M49*1%,IF(AND(M49&gt;1000,M49&lt;=5000),M49*2%,IF(AND(M49&gt;200,M49&lt;=1000),M49*3%,M49*5%))))</f>
        <v>400.36500000000001</v>
      </c>
      <c r="M68" s="24">
        <f ca="1">ROUND(L68,1)</f>
        <v>400.4</v>
      </c>
      <c r="Z68" s="2423"/>
      <c r="AI68" s="2424"/>
    </row>
    <row r="69" spans="1:35" s="2446" customFormat="1" ht="16.5" customHeight="1">
      <c r="A69" s="2500"/>
      <c r="B69" s="2501"/>
      <c r="C69" s="2502"/>
      <c r="D69" s="2503"/>
      <c r="E69" s="2504"/>
      <c r="F69" s="2165"/>
      <c r="G69" s="2165"/>
      <c r="H69" s="2164"/>
      <c r="I69" s="2418"/>
      <c r="J69" s="3076"/>
      <c r="K69" s="2499" t="s">
        <v>2253</v>
      </c>
      <c r="L69" s="2505"/>
      <c r="M69" s="24">
        <f ca="1">ROUND(SUM(M63:M68),0)</f>
        <v>1296</v>
      </c>
      <c r="N69" s="1753">
        <f ca="1">M69/M49</f>
        <v>1.618523097673373E-2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0" t="s">
        <v>2254</v>
      </c>
      <c r="B70" s="3121"/>
      <c r="C70" s="3121"/>
      <c r="D70" s="3121"/>
      <c r="E70" s="3121"/>
      <c r="F70" s="3121"/>
      <c r="G70" s="3121"/>
      <c r="H70" s="312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1" t="s">
        <v>2235</v>
      </c>
      <c r="B71" s="3112"/>
      <c r="C71" s="1804"/>
      <c r="D71" s="1804"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76260</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381</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117" t="s">
        <v>2263</v>
      </c>
      <c r="F76" s="3116"/>
      <c r="G76" s="3116"/>
      <c r="H76" s="311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3.0249999999999999E-2</v>
      </c>
      <c r="E77" s="15" t="s">
        <v>2265</v>
      </c>
      <c r="F77" s="224"/>
      <c r="G77" s="2513" t="s">
        <v>2266</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381</v>
      </c>
      <c r="D78" s="226">
        <f>'数据-取费表'!B43</f>
        <v>5.000000000000001E-3</v>
      </c>
      <c r="E78" s="3108" t="s">
        <v>2268</v>
      </c>
      <c r="F78" s="3109"/>
      <c r="G78" s="3109"/>
      <c r="H78" s="311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75879</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199.15748031496062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45394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0" t="s">
        <v>2272</v>
      </c>
      <c r="B83" s="3121"/>
      <c r="C83" s="3121"/>
      <c r="D83" s="3121"/>
      <c r="E83" s="3121"/>
      <c r="F83" s="3121"/>
      <c r="G83" s="3121"/>
      <c r="H83" s="312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1" t="s">
        <v>2235</v>
      </c>
      <c r="B84" s="3112"/>
      <c r="C84" s="1804"/>
      <c r="D84" s="1804"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76260</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381</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800"/>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3.0249999999999999E-2</v>
      </c>
      <c r="E89" s="237" t="s">
        <v>2277</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IF(H91="——",成本法!C33,I91)</f>
        <v>0</v>
      </c>
      <c r="D91" s="226"/>
      <c r="E91" s="3108" t="s">
        <v>2281</v>
      </c>
      <c r="F91" s="3109"/>
      <c r="G91" s="3109"/>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108" t="s">
        <v>2285</v>
      </c>
      <c r="F92" s="3109"/>
      <c r="G92" s="3109"/>
      <c r="H92" s="311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381</v>
      </c>
      <c r="D93" s="226">
        <f>'数据-取费表'!B43</f>
        <v>5.000000000000001E-3</v>
      </c>
      <c r="E93" s="3108" t="s">
        <v>2268</v>
      </c>
      <c r="F93" s="3109"/>
      <c r="G93" s="3109"/>
      <c r="H93" s="311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156" t="s">
        <v>2289</v>
      </c>
      <c r="F94" s="3157"/>
      <c r="G94" s="3157"/>
      <c r="H94" s="315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75879</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199.15748031496062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45394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2290</v>
      </c>
      <c r="B99" s="2418"/>
      <c r="C99" s="2418"/>
      <c r="D99" s="2418"/>
      <c r="E99" s="2165"/>
      <c r="F99" s="2165"/>
      <c r="G99" s="2165"/>
      <c r="H99" s="2164"/>
      <c r="I99" s="138"/>
    </row>
    <row r="100" spans="1:35" ht="18.75" customHeight="1">
      <c r="A100" s="3060" t="s">
        <v>2291</v>
      </c>
      <c r="B100" s="3061"/>
      <c r="C100" s="3061"/>
      <c r="D100" s="3092"/>
      <c r="E100" s="3061" t="s">
        <v>2292</v>
      </c>
      <c r="F100" s="3061"/>
      <c r="G100" s="3061"/>
      <c r="H100" s="3092"/>
      <c r="I100" s="138"/>
    </row>
    <row r="101" spans="1:35" ht="18.75" customHeight="1">
      <c r="A101" s="3100" t="s">
        <v>2293</v>
      </c>
      <c r="B101" s="3101"/>
      <c r="C101" s="736" t="str">
        <f>C4</f>
        <v>收益法</v>
      </c>
      <c r="D101" s="737" t="str">
        <f>D4</f>
        <v>典型户型修正</v>
      </c>
      <c r="E101" s="3072" t="s">
        <v>2294</v>
      </c>
      <c r="F101" s="3073"/>
      <c r="G101" s="2520" t="s">
        <v>2295</v>
      </c>
      <c r="H101" s="1048">
        <f ca="1">H118</f>
        <v>80073</v>
      </c>
      <c r="I101" s="138"/>
    </row>
    <row r="102" spans="1:35" ht="18.75" customHeight="1">
      <c r="A102" s="3102" t="s">
        <v>2296</v>
      </c>
      <c r="B102" s="2520" t="s">
        <v>2295</v>
      </c>
      <c r="C102" s="736">
        <f ca="1">C19</f>
        <v>81060</v>
      </c>
      <c r="D102" s="737">
        <f ca="1">D19</f>
        <v>79086</v>
      </c>
      <c r="E102" s="3072"/>
      <c r="F102" s="3073"/>
      <c r="G102" s="2520" t="s">
        <v>2297</v>
      </c>
      <c r="H102" s="371">
        <f ca="1">I118</f>
        <v>11174</v>
      </c>
      <c r="I102" s="138"/>
    </row>
    <row r="103" spans="1:35" ht="42.75" customHeight="1">
      <c r="A103" s="3102"/>
      <c r="B103" s="2520" t="s">
        <v>2297</v>
      </c>
      <c r="C103" s="738">
        <f ca="1">C20</f>
        <v>11312</v>
      </c>
      <c r="D103" s="739">
        <f ca="1">D20</f>
        <v>11036</v>
      </c>
      <c r="E103" s="3066" t="s">
        <v>2298</v>
      </c>
      <c r="F103" s="3067"/>
      <c r="G103" s="2521" t="s">
        <v>2299</v>
      </c>
      <c r="H103" s="1048">
        <f>IF(D36="正常操作",H104+H105+H106,H105+H106)</f>
        <v>0</v>
      </c>
      <c r="I103" s="138"/>
    </row>
    <row r="104" spans="1:35" ht="18.75" customHeight="1">
      <c r="A104" s="3102" t="s">
        <v>2300</v>
      </c>
      <c r="B104" s="2522" t="s">
        <v>2295</v>
      </c>
      <c r="C104" s="740">
        <f ca="1">H118</f>
        <v>80073</v>
      </c>
      <c r="D104" s="741"/>
      <c r="E104" s="2266" t="s">
        <v>2301</v>
      </c>
      <c r="F104" s="2257"/>
      <c r="G104" s="2521" t="s">
        <v>2299</v>
      </c>
      <c r="H104" s="1049">
        <f>IF(D36="同一抵押权人同一抵押物续贷",C36&amp;"（未扣减，详见特别提示）",C36)</f>
        <v>0</v>
      </c>
      <c r="I104" s="138"/>
    </row>
    <row r="105" spans="1:35" ht="18.75" customHeight="1" thickBot="1">
      <c r="A105" s="3114"/>
      <c r="B105" s="2523" t="s">
        <v>2297</v>
      </c>
      <c r="C105" s="742">
        <f ca="1">I118</f>
        <v>11174</v>
      </c>
      <c r="D105" s="743"/>
      <c r="E105" s="2266" t="s">
        <v>2302</v>
      </c>
      <c r="F105" s="2257"/>
      <c r="G105" s="2521" t="s">
        <v>2299</v>
      </c>
      <c r="H105" s="1049">
        <f>C37</f>
        <v>0</v>
      </c>
      <c r="I105" s="138"/>
    </row>
    <row r="106" spans="1:35" ht="18.75" customHeight="1">
      <c r="A106" s="2418" t="s">
        <v>2303</v>
      </c>
      <c r="B106" s="2418"/>
      <c r="C106" s="2418"/>
      <c r="D106" s="2418"/>
      <c r="E106" s="2524" t="s">
        <v>2304</v>
      </c>
      <c r="F106" s="2257"/>
      <c r="G106" s="2521" t="s">
        <v>2299</v>
      </c>
      <c r="H106" s="1049">
        <f>C38</f>
        <v>0</v>
      </c>
      <c r="I106" s="138"/>
    </row>
    <row r="107" spans="1:35" ht="18.75" customHeight="1">
      <c r="A107" s="138"/>
      <c r="B107" s="138"/>
      <c r="C107" s="138"/>
      <c r="D107" s="138"/>
      <c r="E107" s="3103" t="str">
        <f>IF(项目基本情况!E8="已注销","——","3.房地产抵押价值")</f>
        <v>3.房地产抵押价值</v>
      </c>
      <c r="F107" s="3073"/>
      <c r="G107" s="2520" t="s">
        <v>2295</v>
      </c>
      <c r="H107" s="1048">
        <f ca="1">IF(E107="——","——",H101-H103)</f>
        <v>80073</v>
      </c>
      <c r="I107" s="138"/>
    </row>
    <row r="108" spans="1:35" ht="18.75" customHeight="1">
      <c r="A108" s="138"/>
      <c r="B108" s="138"/>
      <c r="C108" s="138"/>
      <c r="D108" s="138"/>
      <c r="E108" s="3103"/>
      <c r="F108" s="3073"/>
      <c r="G108" s="2520" t="s">
        <v>2297</v>
      </c>
      <c r="H108" s="2968">
        <f ca="1">ROUND(H107*10000/B118,0)</f>
        <v>11174</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073"/>
      <c r="G109" s="2520" t="s">
        <v>2295</v>
      </c>
      <c r="H109" s="348" t="str">
        <f>IF(E109="——","——",H101-H105-H106)</f>
        <v>——</v>
      </c>
      <c r="I109" s="138"/>
    </row>
    <row r="110" spans="1:35" ht="18.75" customHeight="1">
      <c r="A110" s="138"/>
      <c r="B110" s="138"/>
      <c r="C110" s="138"/>
      <c r="D110" s="138"/>
      <c r="E110" s="3103"/>
      <c r="F110" s="3073"/>
      <c r="G110" s="2520" t="s">
        <v>2297</v>
      </c>
      <c r="H110" s="371" t="str">
        <f>IF(H109="——","——",ROUND(H109*10000/'数据-汇总表'!E3,0))</f>
        <v>——</v>
      </c>
      <c r="I110" s="138"/>
    </row>
    <row r="111" spans="1:35" ht="18.75" customHeight="1">
      <c r="A111" s="138"/>
      <c r="B111" s="138"/>
      <c r="C111" s="138"/>
      <c r="D111" s="138"/>
      <c r="E111" s="3104" t="str">
        <f>IF(项目基本情况!E9="抵押净值",IF(OR(项目基本情况!E8="已注销",项目基本情况!E8="房地产抵押价值"),"4.抵押净值","5.抵押净值"),"——")</f>
        <v>——</v>
      </c>
      <c r="F111" s="3105"/>
      <c r="G111" s="2520" t="s">
        <v>2295</v>
      </c>
      <c r="H111" s="1048" t="str">
        <f>IF(E111="——","——",N59)</f>
        <v>——</v>
      </c>
      <c r="I111" s="138"/>
    </row>
    <row r="112" spans="1:35" ht="18.75" customHeight="1" thickBot="1">
      <c r="A112" s="138"/>
      <c r="B112" s="138"/>
      <c r="C112" s="138"/>
      <c r="D112" s="138"/>
      <c r="E112" s="3106"/>
      <c r="F112" s="3107"/>
      <c r="G112" s="2525" t="s">
        <v>2297</v>
      </c>
      <c r="H112" s="790" t="str">
        <f>IF(E111="——","——",N61)</f>
        <v>——</v>
      </c>
      <c r="I112" s="138"/>
    </row>
    <row r="113" spans="1:11" ht="18.75" customHeight="1">
      <c r="A113" s="138"/>
      <c r="B113" s="138"/>
      <c r="C113" s="138"/>
      <c r="D113" s="138"/>
      <c r="E113" s="3115" t="s">
        <v>2303</v>
      </c>
      <c r="F113" s="3115"/>
      <c r="G113" s="3115"/>
      <c r="H113" s="3115"/>
      <c r="I113" s="138"/>
    </row>
    <row r="114" spans="1:11" ht="3.75" customHeight="1">
      <c r="A114" s="2418"/>
      <c r="B114" s="2418"/>
      <c r="C114" s="2418"/>
      <c r="D114" s="2418"/>
      <c r="E114" s="2496"/>
      <c r="F114" s="2496"/>
      <c r="G114" s="2496"/>
      <c r="H114" s="2496"/>
      <c r="I114" s="2418"/>
    </row>
    <row r="115" spans="1:11" ht="18.75" customHeight="1">
      <c r="A115" s="3128" t="s">
        <v>2305</v>
      </c>
      <c r="B115" s="3129"/>
      <c r="C115" s="3129"/>
      <c r="D115" s="3129"/>
      <c r="E115" s="3129"/>
      <c r="F115" s="3129"/>
      <c r="G115" s="3129"/>
      <c r="H115" s="3129"/>
      <c r="I115" s="3130"/>
    </row>
    <row r="116" spans="1:11" ht="27" customHeight="1">
      <c r="A116" s="3039" t="s">
        <v>2306</v>
      </c>
      <c r="B116" s="3082" t="s">
        <v>2307</v>
      </c>
      <c r="C116" s="3082" t="s">
        <v>3122</v>
      </c>
      <c r="D116" s="3088" t="s">
        <v>2308</v>
      </c>
      <c r="E116" s="3089"/>
      <c r="F116" s="3124" t="s">
        <v>2309</v>
      </c>
      <c r="G116" s="3124"/>
      <c r="H116" s="3039" t="s">
        <v>2310</v>
      </c>
      <c r="I116" s="3039"/>
    </row>
    <row r="117" spans="1:11" ht="18.75" customHeight="1">
      <c r="A117" s="3039"/>
      <c r="B117" s="3083"/>
      <c r="C117" s="3083"/>
      <c r="D117" s="1798" t="s">
        <v>2311</v>
      </c>
      <c r="E117" s="1798" t="s">
        <v>2312</v>
      </c>
      <c r="F117" s="1798" t="s">
        <v>2311</v>
      </c>
      <c r="G117" s="1798" t="s">
        <v>2313</v>
      </c>
      <c r="H117" s="1798" t="s">
        <v>2311</v>
      </c>
      <c r="I117" s="1798" t="s">
        <v>2313</v>
      </c>
    </row>
    <row r="118" spans="1:11" ht="24.75" customHeight="1">
      <c r="A118" s="2526" t="str">
        <f>项目基本情况!S2</f>
        <v>浙江省宁波市象山县丹东街道天安路999号房地产</v>
      </c>
      <c r="B118" s="1798">
        <f>M18</f>
        <v>71660.160000000003</v>
      </c>
      <c r="C118" s="1798">
        <f>M19</f>
        <v>96248.76</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80073</v>
      </c>
      <c r="I118" s="1798">
        <f ca="1">ROUND(IF(D32="楼面单价",C32,H118*10000/B118),0)</f>
        <v>11174</v>
      </c>
    </row>
    <row r="119" spans="1:11" ht="18.75" customHeight="1">
      <c r="A119" s="3039" t="s">
        <v>2314</v>
      </c>
      <c r="B119" s="3039"/>
      <c r="C119" s="3039"/>
      <c r="D119" s="3084" t="e">
        <f ca="1">NUMBERSTRING(INT(D118*10000),2)&amp;"元整"</f>
        <v>#REF!</v>
      </c>
      <c r="E119" s="3085"/>
      <c r="F119" s="3084" t="e">
        <f ca="1">NUMBERSTRING(INT(F118*10000),2)&amp;"元整"</f>
        <v>#REF!</v>
      </c>
      <c r="G119" s="3085"/>
      <c r="H119" s="3084" t="str">
        <f ca="1">NUMBERSTRING(INT(H118*10000),2)&amp;"元整"</f>
        <v>捌亿零柒拾叁万元整</v>
      </c>
      <c r="I119" s="3085"/>
    </row>
    <row r="120" spans="1:11" ht="18.75" customHeight="1">
      <c r="A120" s="3079" t="str">
        <f>IF(项目基本情况!B9="房地产市场价值","",MID(E103,3,LEN(E103)-2))</f>
        <v>估价师知悉的法定优先受偿款</v>
      </c>
      <c r="B120" s="3080"/>
      <c r="C120" s="3081"/>
      <c r="D120" s="3079">
        <f>H103</f>
        <v>0</v>
      </c>
      <c r="E120" s="3080"/>
      <c r="F120" s="3080"/>
      <c r="G120" s="3080"/>
      <c r="H120" s="3080"/>
      <c r="I120" s="3081"/>
      <c r="K120" s="2423" t="str">
        <f>IF(D120=0,"故，本次评估不存在"&amp;A120,"故，本次评估"&amp;A120&amp;"为人民币"&amp;D120&amp;"万元整。")</f>
        <v>故，本次评估不存在估价师知悉的法定优先受偿款</v>
      </c>
    </row>
    <row r="121" spans="1:11" ht="18.75" customHeight="1">
      <c r="A121" s="3125" t="s">
        <v>2314</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房地产抵押价值</v>
      </c>
      <c r="B122" s="3090"/>
      <c r="C122" s="3090"/>
      <c r="D122" s="3079">
        <f ca="1">H107</f>
        <v>80073</v>
      </c>
      <c r="E122" s="3080"/>
      <c r="F122" s="3080"/>
      <c r="G122" s="3080"/>
      <c r="H122" s="3080"/>
      <c r="I122" s="3081"/>
    </row>
    <row r="123" spans="1:11" ht="18.75" customHeight="1">
      <c r="A123" s="3039" t="s">
        <v>2314</v>
      </c>
      <c r="B123" s="3039"/>
      <c r="C123" s="3039"/>
      <c r="D123" s="3084" t="str">
        <f ca="1">NUMBERSTRING(INT(D122*10000),2)&amp;"元整"</f>
        <v>捌亿零柒拾叁万元整</v>
      </c>
      <c r="E123" s="3086"/>
      <c r="F123" s="3086"/>
      <c r="G123" s="3086"/>
      <c r="H123" s="3086"/>
      <c r="I123" s="3085"/>
    </row>
    <row r="124" spans="1:11" ht="18.75" customHeight="1">
      <c r="A124" s="3090" t="str">
        <f>IF(项目基本情况!B9="房地产市场价值","",MID(E109,3,LEN(E109)-2))</f>
        <v/>
      </c>
      <c r="B124" s="3090"/>
      <c r="C124" s="3090"/>
      <c r="D124" s="3079" t="str">
        <f>H109</f>
        <v>——</v>
      </c>
      <c r="E124" s="3080"/>
      <c r="F124" s="3080"/>
      <c r="G124" s="3080"/>
      <c r="H124" s="3080"/>
      <c r="I124" s="3081"/>
    </row>
    <row r="125" spans="1:11" ht="18.75" customHeight="1">
      <c r="A125" s="3039" t="s">
        <v>2314</v>
      </c>
      <c r="B125" s="3039"/>
      <c r="C125" s="3039"/>
      <c r="D125" s="3084" t="e">
        <f>NUMBERSTRING(INT(D124*10000),2)&amp;"元整"</f>
        <v>#VALUE!</v>
      </c>
      <c r="E125" s="3086"/>
      <c r="F125" s="3086"/>
      <c r="G125" s="3086"/>
      <c r="H125" s="3086"/>
      <c r="I125" s="3085"/>
    </row>
    <row r="126" spans="1:11" ht="18.75" customHeight="1">
      <c r="A126" s="3090" t="str">
        <f>IF(项目基本情况!B9="房地产市场价值","",MID(E111,3,LEN(E111)-2))</f>
        <v/>
      </c>
      <c r="B126" s="3090"/>
      <c r="C126" s="3090"/>
      <c r="D126" s="3079" t="str">
        <f>H111</f>
        <v>——</v>
      </c>
      <c r="E126" s="3080"/>
      <c r="F126" s="3080"/>
      <c r="G126" s="3080"/>
      <c r="H126" s="3080"/>
      <c r="I126" s="3081"/>
    </row>
    <row r="127" spans="1:11" ht="18.75" customHeight="1">
      <c r="A127" s="3039" t="s">
        <v>2314</v>
      </c>
      <c r="B127" s="3039"/>
      <c r="C127" s="3039"/>
      <c r="D127" s="3084" t="e">
        <f>NUMBERSTRING(INT(D126*10000),2)&amp;"元整"</f>
        <v>#VALUE!</v>
      </c>
      <c r="E127" s="3086"/>
      <c r="F127" s="3086"/>
      <c r="G127" s="3086"/>
      <c r="H127" s="3086"/>
      <c r="I127" s="3085"/>
    </row>
    <row r="128" spans="1:11" ht="21.75" customHeight="1">
      <c r="A128" s="3087" t="s">
        <v>2315</v>
      </c>
      <c r="B128" s="3087"/>
      <c r="C128" s="3087"/>
      <c r="D128" s="3087"/>
      <c r="E128" s="3087"/>
      <c r="F128" s="3087"/>
      <c r="G128" s="3087"/>
      <c r="H128" s="3087"/>
      <c r="I128" s="3087"/>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42293</v>
      </c>
      <c r="C2" s="243" t="s">
        <v>2325</v>
      </c>
      <c r="D2" s="2549" t="s">
        <v>70</v>
      </c>
      <c r="E2" s="1443"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4362</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52" t="s">
        <v>2334</v>
      </c>
      <c r="B6" s="259" t="s">
        <v>2335</v>
      </c>
      <c r="C6" s="260"/>
      <c r="D6" s="261"/>
      <c r="E6" s="262"/>
      <c r="F6" s="262"/>
      <c r="G6" s="263"/>
    </row>
    <row r="7" spans="1:9" s="258" customFormat="1" ht="13.5" customHeight="1">
      <c r="A7" s="952" t="s">
        <v>2336</v>
      </c>
      <c r="B7" s="259" t="s">
        <v>2337</v>
      </c>
      <c r="C7" s="264">
        <f>ROUND(C6*F7,0)</f>
        <v>0</v>
      </c>
      <c r="D7" s="264"/>
      <c r="E7" s="262"/>
      <c r="F7" s="265">
        <f>'数据-取费表'!B48+'数据-取费表'!B49</f>
        <v>3.0249999999999999E-2</v>
      </c>
      <c r="G7" s="263"/>
    </row>
    <row r="8" spans="1:9" s="267" customFormat="1">
      <c r="A8" s="952" t="s">
        <v>2338</v>
      </c>
      <c r="B8" s="259" t="s">
        <v>2339</v>
      </c>
      <c r="C8" s="264">
        <f>IF(G8="已包含在土地购买价格中","0",IF(B1="",'数据-取费表'!B29,IF(G9="全部缴纳",C9+C10,H9)))</f>
        <v>0</v>
      </c>
      <c r="D8" s="266"/>
      <c r="E8" s="264"/>
      <c r="F8" s="265"/>
      <c r="G8" s="2552"/>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3"/>
      <c r="H9" s="1393"/>
      <c r="I9" s="2554" t="s">
        <v>2341</v>
      </c>
    </row>
    <row r="10" spans="1:9" s="258" customFormat="1" ht="13.5" customHeight="1">
      <c r="A10" s="953" t="s">
        <v>801</v>
      </c>
      <c r="B10" s="268" t="s">
        <v>2342</v>
      </c>
      <c r="C10" s="269">
        <f ca="1">ROUND(D10*E10/10000,0)</f>
        <v>873</v>
      </c>
      <c r="D10" s="1035">
        <f ca="1">IF(B1="",'数据-汇总表'!E6,IF(INDIRECT("'数据-取费表'!c"&amp;$G$1)="住宅",INDIRECT("'数据-取费表'!s"&amp;$G$1),INDIRECT("'数据-取费表'!k"&amp;$G$1)+INDIRECT("'数据-取费表'!s"&amp;$G$1)))</f>
        <v>96955.040000000008</v>
      </c>
      <c r="E10" s="269">
        <f>'数据-取费表'!B28</f>
        <v>90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f ca="1">IF(G19="已包含在土地取得成本中","0",ROUND(D19*E19/10000,0))</f>
        <v>1939</v>
      </c>
      <c r="D19" s="1039">
        <f ca="1">D9+D10</f>
        <v>96955.040000000008</v>
      </c>
      <c r="E19" s="255">
        <f>'数据-取费表'!B31</f>
        <v>200</v>
      </c>
      <c r="F19" s="275"/>
      <c r="G19" s="2552"/>
    </row>
    <row r="20" spans="1:7" s="258" customFormat="1" ht="13.5" customHeight="1">
      <c r="A20" s="299" t="s">
        <v>2355</v>
      </c>
      <c r="B20" s="254" t="s">
        <v>2356</v>
      </c>
      <c r="C20" s="276">
        <f ca="1">ROUND((C5+C19)*F20,0)</f>
        <v>39</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191</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189</v>
      </c>
      <c r="D24" s="282"/>
      <c r="E24" s="282"/>
      <c r="F24" s="283"/>
      <c r="G24" s="284" t="s">
        <v>2369</v>
      </c>
    </row>
    <row r="25" spans="1:7" s="258" customFormat="1" ht="24">
      <c r="A25" s="954" t="s">
        <v>2370</v>
      </c>
      <c r="B25" s="259" t="s">
        <v>2371</v>
      </c>
      <c r="C25" s="1358">
        <f ca="1">ROUND(IF('数据-取费表'!B22&lt;=1,C20*F22*'数据-取费表'!B23/2,C20*(POWER((1+F22),'数据-取费表'!B23/2)-1)),0)</f>
        <v>2</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297</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297</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2670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32113</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28875</v>
      </c>
      <c r="D34" s="261"/>
      <c r="E34" s="264"/>
      <c r="F34" s="301">
        <f ca="1">IF('数据-取费表'!B24=0,1,IF(B1="",'数据-取费表'!N16,INDIRECT("'数据-取费表'!n"&amp;$G$1)))</f>
        <v>1</v>
      </c>
      <c r="G34" s="263" t="s">
        <v>2388</v>
      </c>
    </row>
    <row r="35" spans="1:7" ht="13.5" customHeight="1">
      <c r="A35" s="954" t="s">
        <v>796</v>
      </c>
      <c r="B35" s="259" t="s">
        <v>2389</v>
      </c>
      <c r="C35" s="264">
        <f ca="1">ROUND(C34*F35,0)</f>
        <v>866</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1939</v>
      </c>
      <c r="D37" s="261">
        <f ca="1">D19</f>
        <v>96955.040000000008</v>
      </c>
      <c r="E37" s="293">
        <f>'数据-取费表'!B35</f>
        <v>200</v>
      </c>
      <c r="F37" s="303"/>
      <c r="G37" s="305" t="s">
        <v>2394</v>
      </c>
    </row>
    <row r="38" spans="1:7" ht="13.5" customHeight="1">
      <c r="A38" s="954" t="s">
        <v>799</v>
      </c>
      <c r="B38" s="259" t="s">
        <v>2395</v>
      </c>
      <c r="C38" s="264">
        <f ca="1">ROUND(C34*F38,0)</f>
        <v>433</v>
      </c>
      <c r="D38" s="264"/>
      <c r="E38" s="264"/>
      <c r="F38" s="303">
        <f>'数据-取费表'!B36</f>
        <v>1.4999999999999999E-2</v>
      </c>
      <c r="G38" s="263" t="s">
        <v>2390</v>
      </c>
    </row>
    <row r="39" spans="1:7" s="258" customFormat="1" ht="13.5" customHeight="1">
      <c r="A39" s="299" t="s">
        <v>2396</v>
      </c>
      <c r="B39" s="254" t="s">
        <v>2397</v>
      </c>
      <c r="C39" s="276">
        <f ca="1">ROUND(C33*F20,0)</f>
        <v>642</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1555</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1525</v>
      </c>
      <c r="D42" s="282"/>
      <c r="E42" s="282"/>
      <c r="F42" s="283"/>
      <c r="G42" s="3159" t="s">
        <v>2406</v>
      </c>
    </row>
    <row r="43" spans="1:7" ht="13.5" customHeight="1">
      <c r="A43" s="954" t="s">
        <v>792</v>
      </c>
      <c r="B43" s="259" t="s">
        <v>2407</v>
      </c>
      <c r="C43" s="282">
        <f ca="1">ROUND(IF('数据-取费表'!B22&lt;=1,C39*F22*'数据-取费表'!B21/2,C39*(POWER((1+F22),'数据-取费表'!B21/2)-1)),0)</f>
        <v>30</v>
      </c>
      <c r="D43" s="282"/>
      <c r="E43" s="282"/>
      <c r="F43" s="283"/>
      <c r="G43" s="3160"/>
    </row>
    <row r="44" spans="1:7" ht="13.5" customHeight="1">
      <c r="A44" s="954" t="s">
        <v>793</v>
      </c>
      <c r="B44" s="259" t="s">
        <v>2408</v>
      </c>
      <c r="C44" s="282">
        <f ca="1">ROUND(IF('数据-取费表'!B22&lt;=1,C40*F22*'数据-取费表'!B21/2,C40*(POWER((1+F22),'数据-取费表'!B21/2)-1)),4)</f>
        <v>1E-3</v>
      </c>
      <c r="D44" s="282"/>
      <c r="E44" s="282"/>
      <c r="F44" s="283"/>
      <c r="G44" s="3161"/>
    </row>
    <row r="45" spans="1:7" s="258" customFormat="1" ht="13.5" customHeight="1">
      <c r="A45" s="299" t="s">
        <v>2409</v>
      </c>
      <c r="B45" s="288" t="s">
        <v>2375</v>
      </c>
      <c r="C45" s="289">
        <f ca="1">C46</f>
        <v>4913</v>
      </c>
      <c r="D45" s="279">
        <f ca="1">C47</f>
        <v>3.0000000000000001E-3</v>
      </c>
      <c r="E45" s="280" t="s">
        <v>2401</v>
      </c>
      <c r="F45" s="290"/>
      <c r="G45" s="291" t="s">
        <v>2410</v>
      </c>
    </row>
    <row r="46" spans="1:7" s="258" customFormat="1" ht="13.5" customHeight="1">
      <c r="A46" s="954" t="s">
        <v>791</v>
      </c>
      <c r="B46" s="292" t="s">
        <v>2411</v>
      </c>
      <c r="C46" s="293">
        <f ca="1">ROUND((C33+C39)*F27,0)</f>
        <v>4913</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42468</v>
      </c>
      <c r="D49" s="276"/>
      <c r="E49" s="276"/>
      <c r="F49" s="308"/>
      <c r="G49" s="278" t="s">
        <v>2416</v>
      </c>
    </row>
    <row r="50" spans="1:7" s="302" customFormat="1" ht="24">
      <c r="A50" s="299" t="s">
        <v>2417</v>
      </c>
      <c r="B50" s="254" t="s">
        <v>2418</v>
      </c>
      <c r="C50" s="276"/>
      <c r="D50" s="276"/>
      <c r="E50" s="276"/>
      <c r="F50" s="308">
        <f>IF('数据-取费表'!B24=0,'数据-取费表'!N16,1)</f>
        <v>0.93300000000000005</v>
      </c>
      <c r="G50" s="291" t="s">
        <v>2419</v>
      </c>
    </row>
    <row r="51" spans="1:7" ht="16.5" customHeight="1">
      <c r="A51" s="299" t="s">
        <v>2420</v>
      </c>
      <c r="B51" s="254" t="s">
        <v>2421</v>
      </c>
      <c r="C51" s="276">
        <f ca="1">ROUND(C49*F50,0)</f>
        <v>39623</v>
      </c>
      <c r="D51" s="276"/>
      <c r="E51" s="276"/>
      <c r="F51" s="308"/>
      <c r="G51" s="278" t="s">
        <v>2422</v>
      </c>
    </row>
    <row r="52" spans="1:7" s="252" customFormat="1" ht="16.5" thickBot="1">
      <c r="A52" s="309" t="s">
        <v>2423</v>
      </c>
      <c r="B52" s="310"/>
      <c r="C52" s="311">
        <f ca="1">C31+C51</f>
        <v>42293</v>
      </c>
      <c r="D52" s="310"/>
      <c r="E52" s="310"/>
      <c r="F52" s="310"/>
      <c r="G52" s="312"/>
    </row>
    <row r="55" spans="1:7" ht="15">
      <c r="B55" s="314" t="s">
        <v>2424</v>
      </c>
      <c r="C55" s="315"/>
    </row>
    <row r="56" spans="1:7">
      <c r="B56" s="317" t="s">
        <v>1509</v>
      </c>
      <c r="C56" s="319">
        <f ca="1">1-C57</f>
        <v>6.2999999999999945E-2</v>
      </c>
    </row>
    <row r="57" spans="1:7">
      <c r="B57" s="317" t="s">
        <v>1510</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3" t="str">
        <f>项目基本情况!B1</f>
        <v>浙江省宁波市象山县丹东街道天安路999号房地产抵押价值预评估</v>
      </c>
      <c r="C37" s="2973"/>
      <c r="D37" s="2973"/>
      <c r="E37" s="2973"/>
      <c r="F37" s="2973"/>
      <c r="G37" s="2973"/>
      <c r="H37" s="2973"/>
      <c r="I37" s="2973"/>
    </row>
    <row r="38" spans="1:9">
      <c r="A38" s="1019"/>
      <c r="B38" s="1019"/>
    </row>
    <row r="39" spans="1:9">
      <c r="A39" s="1017" t="s">
        <v>818</v>
      </c>
      <c r="B39" s="1017" t="s">
        <v>820</v>
      </c>
    </row>
    <row r="40" spans="1:9">
      <c r="A40" s="1017"/>
      <c r="B40" s="1945" t="str">
        <f>项目基本情况!B5</f>
        <v>象山县城市新中心区开发有限公司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5"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43494</v>
      </c>
      <c r="C2" s="243" t="s">
        <v>2325</v>
      </c>
      <c r="D2" s="2549" t="s">
        <v>70</v>
      </c>
      <c r="E2" s="1443"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4486</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8725954</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3.0249999999999999E-2</v>
      </c>
      <c r="G7" s="263"/>
    </row>
    <row r="8" spans="1:8" s="267" customFormat="1">
      <c r="A8" s="952" t="s">
        <v>2338</v>
      </c>
      <c r="B8" s="259" t="s">
        <v>2339</v>
      </c>
      <c r="C8" s="264">
        <f ca="1">IF(G8="已包含在土地购买价格中",0,C9+C10)</f>
        <v>8725954</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8725954</v>
      </c>
      <c r="D10" s="1035">
        <f ca="1">IF(B1="",'数据-汇总表'!E6,IF(INDIRECT("'数据-取费表'!c"&amp;$G$1)="住宅",INDIRECT("'数据-取费表'!s"&amp;$G$1),INDIRECT("'数据-取费表'!k"&amp;$G$1)+INDIRECT("'数据-取费表'!s"&amp;$G$1)))</f>
        <v>96955.040000000008</v>
      </c>
      <c r="E10" s="269">
        <f>'数据-取费表'!B28</f>
        <v>90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19391008</v>
      </c>
      <c r="D19" s="1039">
        <f ca="1">D9+D10</f>
        <v>96955.040000000008</v>
      </c>
      <c r="E19" s="255">
        <f>'数据-取费表'!B31</f>
        <v>200</v>
      </c>
      <c r="F19" s="275"/>
      <c r="G19" s="2552"/>
    </row>
    <row r="20" spans="1:7" s="258" customFormat="1" ht="13.5" customHeight="1">
      <c r="A20" s="299" t="s">
        <v>2436</v>
      </c>
      <c r="B20" s="254" t="s">
        <v>2437</v>
      </c>
      <c r="C20" s="276">
        <f ca="1">ROUND((C5+C19)*F20,0)</f>
        <v>562339</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2761262</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848654</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1885897</v>
      </c>
      <c r="D24" s="282"/>
      <c r="E24" s="282"/>
      <c r="F24" s="283"/>
      <c r="G24" s="284" t="s">
        <v>2448</v>
      </c>
    </row>
    <row r="25" spans="1:7" s="258" customFormat="1" ht="24">
      <c r="A25" s="954" t="s">
        <v>2338</v>
      </c>
      <c r="B25" s="259" t="s">
        <v>2449</v>
      </c>
      <c r="C25" s="1384">
        <f ca="1">ROUND(IF('数据-取费表'!B22&lt;=1,C20*F22*'数据-取费表'!B22/2,C20*(POWER((1+F22),'数据-取费表'!B22/2)-1)),0)</f>
        <v>26711</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4301895</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4301895</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38699067</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321137767</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288752880</v>
      </c>
      <c r="D34" s="261"/>
      <c r="E34" s="264"/>
      <c r="F34" s="301"/>
      <c r="G34" s="263"/>
    </row>
    <row r="35" spans="1:7" ht="13.5" customHeight="1">
      <c r="A35" s="954" t="s">
        <v>796</v>
      </c>
      <c r="B35" s="259" t="s">
        <v>2389</v>
      </c>
      <c r="C35" s="264">
        <f ca="1">ROUND(C34*F35,0)</f>
        <v>8662586</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19391008</v>
      </c>
      <c r="D37" s="261">
        <f ca="1">D19</f>
        <v>96955.040000000008</v>
      </c>
      <c r="E37" s="293">
        <f>'数据-取费表'!B35</f>
        <v>200</v>
      </c>
      <c r="F37" s="303"/>
      <c r="G37" s="305"/>
    </row>
    <row r="38" spans="1:7" ht="13.5" customHeight="1">
      <c r="A38" s="954" t="s">
        <v>799</v>
      </c>
      <c r="B38" s="259" t="s">
        <v>2395</v>
      </c>
      <c r="C38" s="264">
        <f ca="1">ROUND(C34*F38,0)</f>
        <v>4331293</v>
      </c>
      <c r="D38" s="264"/>
      <c r="E38" s="264"/>
      <c r="F38" s="303">
        <f>'数据-取费表'!B36</f>
        <v>1.4999999999999999E-2</v>
      </c>
      <c r="G38" s="263" t="s">
        <v>2390</v>
      </c>
    </row>
    <row r="39" spans="1:7" s="258" customFormat="1" ht="13.5" customHeight="1">
      <c r="A39" s="299" t="s">
        <v>2396</v>
      </c>
      <c r="B39" s="254" t="s">
        <v>2397</v>
      </c>
      <c r="C39" s="276">
        <f ca="1">ROUND(C33*F20,0)</f>
        <v>6422755</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15559125</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15254044</v>
      </c>
      <c r="D42" s="282"/>
      <c r="E42" s="282"/>
      <c r="F42" s="283"/>
      <c r="G42" s="3159" t="s">
        <v>2453</v>
      </c>
    </row>
    <row r="43" spans="1:7" ht="13.5" customHeight="1">
      <c r="A43" s="954" t="s">
        <v>792</v>
      </c>
      <c r="B43" s="259" t="s">
        <v>2407</v>
      </c>
      <c r="C43" s="282">
        <f ca="1">ROUND(IF('数据-取费表'!B22&lt;=1,C39*F22*'数据-取费表'!B20/2,C39*(POWER((1+F22),'数据-取费表'!B20/2)-1)),0)</f>
        <v>305081</v>
      </c>
      <c r="D43" s="282"/>
      <c r="E43" s="282"/>
      <c r="F43" s="283"/>
      <c r="G43" s="3160"/>
    </row>
    <row r="44" spans="1:7" ht="13.5" customHeight="1">
      <c r="A44" s="954" t="s">
        <v>793</v>
      </c>
      <c r="B44" s="259" t="s">
        <v>2408</v>
      </c>
      <c r="C44" s="282">
        <f ca="1">ROUND(IF('数据-取费表'!B22&lt;=1,C40*F22*'数据-取费表'!B20/2,C40*(POWER((1+F22),'数据-取费表'!B20/2)-1)),4)</f>
        <v>1E-3</v>
      </c>
      <c r="D44" s="282"/>
      <c r="E44" s="282"/>
      <c r="F44" s="283"/>
      <c r="G44" s="3161"/>
    </row>
    <row r="45" spans="1:7" s="258" customFormat="1" ht="13.5" customHeight="1">
      <c r="A45" s="299" t="s">
        <v>2409</v>
      </c>
      <c r="B45" s="288" t="s">
        <v>2375</v>
      </c>
      <c r="C45" s="289">
        <f ca="1">C46</f>
        <v>49134078</v>
      </c>
      <c r="D45" s="279">
        <f ca="1">C47</f>
        <v>3.0000000000000001E-3</v>
      </c>
      <c r="E45" s="280" t="s">
        <v>2401</v>
      </c>
      <c r="F45" s="290"/>
      <c r="G45" s="291" t="s">
        <v>2410</v>
      </c>
    </row>
    <row r="46" spans="1:7" s="258" customFormat="1" ht="13.5" customHeight="1">
      <c r="A46" s="954" t="s">
        <v>791</v>
      </c>
      <c r="B46" s="292" t="s">
        <v>2411</v>
      </c>
      <c r="C46" s="293">
        <f ca="1">ROUND((C33+C39)*F27,0)</f>
        <v>49134078</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424700872</v>
      </c>
      <c r="D49" s="276"/>
      <c r="E49" s="276"/>
      <c r="F49" s="308"/>
      <c r="G49" s="278" t="s">
        <v>2416</v>
      </c>
    </row>
    <row r="50" spans="1:7" s="302" customFormat="1">
      <c r="A50" s="299" t="s">
        <v>2417</v>
      </c>
      <c r="B50" s="254" t="s">
        <v>2418</v>
      </c>
      <c r="C50" s="276"/>
      <c r="D50" s="276"/>
      <c r="E50" s="276"/>
      <c r="F50" s="308">
        <f>IF('数据-取费表'!B24=0,'数据-取费表'!N16,1)</f>
        <v>0.93300000000000005</v>
      </c>
      <c r="G50" s="291"/>
    </row>
    <row r="51" spans="1:7" ht="16.5" customHeight="1">
      <c r="A51" s="299" t="s">
        <v>2420</v>
      </c>
      <c r="B51" s="254" t="s">
        <v>2455</v>
      </c>
      <c r="C51" s="276">
        <f ca="1">ROUND(C49*F50,0)</f>
        <v>396245914</v>
      </c>
      <c r="D51" s="276"/>
      <c r="E51" s="276"/>
      <c r="F51" s="308"/>
      <c r="G51" s="278" t="s">
        <v>2422</v>
      </c>
    </row>
    <row r="52" spans="1:7" s="252" customFormat="1" ht="16.5" thickBot="1">
      <c r="A52" s="309" t="s">
        <v>2423</v>
      </c>
      <c r="B52" s="310"/>
      <c r="C52" s="311">
        <f ca="1">C31+C51</f>
        <v>434944981</v>
      </c>
      <c r="D52" s="310"/>
      <c r="E52" s="310"/>
      <c r="F52" s="310"/>
      <c r="G52" s="312"/>
    </row>
    <row r="55" spans="1:7" ht="15">
      <c r="B55" s="314" t="s">
        <v>2424</v>
      </c>
      <c r="C55" s="315"/>
    </row>
    <row r="56" spans="1:7">
      <c r="B56" s="317" t="s">
        <v>1509</v>
      </c>
      <c r="C56" s="319">
        <f ca="1">1-C57</f>
        <v>8.8999999999999968E-2</v>
      </c>
    </row>
    <row r="57" spans="1:7">
      <c r="B57" s="317" t="s">
        <v>1510</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-995</v>
      </c>
      <c r="C2" s="320" t="s">
        <v>2457</v>
      </c>
      <c r="D2" s="320"/>
      <c r="E2" s="320"/>
      <c r="F2" s="320"/>
      <c r="G2" s="320"/>
      <c r="H2" s="320"/>
      <c r="I2" s="320"/>
      <c r="J2" s="320"/>
      <c r="K2" s="320"/>
    </row>
    <row r="3" spans="1:33" ht="18" customHeight="1" thickBot="1">
      <c r="A3" s="247" t="s">
        <v>2326</v>
      </c>
      <c r="B3" s="248">
        <f ca="1">ROUND(B2*10000/IF(C1="",'数据-汇总表'!E3,INDIRECT("'数据-取费表'!K"&amp;$K$1)),0)</f>
        <v>-103</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1330</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2478</v>
      </c>
      <c r="C12" s="24">
        <f ca="1">ROUND(C11*F12,0)</f>
        <v>0</v>
      </c>
      <c r="D12" s="976"/>
      <c r="E12" s="375"/>
      <c r="F12" s="979">
        <f>'数据-取费表'!B33</f>
        <v>0.03</v>
      </c>
      <c r="G12" s="8" t="s">
        <v>2479</v>
      </c>
      <c r="H12" s="971"/>
      <c r="I12" s="971"/>
      <c r="J12" s="971"/>
      <c r="K12" s="972"/>
    </row>
    <row r="13" spans="1:33" s="978" customFormat="1" ht="13.5" customHeight="1">
      <c r="A13" s="974" t="s">
        <v>1332</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1333</v>
      </c>
      <c r="B14" s="975" t="s">
        <v>2482</v>
      </c>
      <c r="C14" s="24">
        <f ca="1">ROUND(D14*E14*F11/10000,0)</f>
        <v>0</v>
      </c>
      <c r="D14" s="1036">
        <f ca="1">IF(C1="",'数据-汇总表'!E3,INDIRECT("'数据-取费表'!K"&amp;$K$1)+INDIRECT("'数据-取费表'!S"&amp;$K$1))</f>
        <v>96955.040000000008</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96955.040000000008</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2489</v>
      </c>
      <c r="C18" s="24">
        <f ca="1">C19+C20-IF(C1="",'数据-取费表'!B29,IF(G18="已全部缴纳",C19+C20,H18))</f>
        <v>873</v>
      </c>
      <c r="D18" s="1036"/>
      <c r="E18" s="24"/>
      <c r="F18" s="979"/>
      <c r="G18" s="2558"/>
      <c r="H18" s="1580"/>
      <c r="I18" s="2559"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873</v>
      </c>
      <c r="D20" s="1036">
        <f ca="1">IF(C1="",'数据-汇总表'!E6,IF(INDIRECT("'数据-取费表'!c"&amp;$K$1)="住宅",INDIRECT("'数据-取费表'!s"&amp;$K$1),INDIRECT("'数据-取费表'!k"&amp;$K$1)+INDIRECT("'数据-取费表'!s"&amp;$K$1)))</f>
        <v>96955.040000000008</v>
      </c>
      <c r="E20" s="24">
        <f>'数据-取费表'!B28</f>
        <v>90</v>
      </c>
      <c r="F20" s="979"/>
      <c r="G20" s="15"/>
      <c r="H20" s="984"/>
      <c r="I20" s="984"/>
      <c r="J20" s="984"/>
      <c r="K20" s="985"/>
    </row>
    <row r="21" spans="1:33" s="978" customFormat="1" ht="13.5" customHeight="1">
      <c r="A21" s="964" t="s">
        <v>802</v>
      </c>
      <c r="B21" s="988" t="s">
        <v>2493</v>
      </c>
      <c r="C21" s="989">
        <f ca="1">C16+C17+C18</f>
        <v>873</v>
      </c>
      <c r="D21" s="990"/>
      <c r="E21" s="325"/>
      <c r="F21" s="325"/>
      <c r="G21" s="140" t="s">
        <v>2494</v>
      </c>
      <c r="H21" s="982"/>
      <c r="I21" s="982"/>
      <c r="J21" s="982"/>
      <c r="K21" s="983"/>
    </row>
    <row r="22" spans="1:33" s="978" customFormat="1" ht="13.5" customHeight="1">
      <c r="A22" s="964" t="s">
        <v>2466</v>
      </c>
      <c r="B22" s="988" t="s">
        <v>2495</v>
      </c>
      <c r="C22" s="989">
        <f ca="1">ROUND(C21*F22,0)</f>
        <v>17</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2.8799999999999999E-2</v>
      </c>
      <c r="D24" s="325" t="s">
        <v>15</v>
      </c>
      <c r="E24" s="325"/>
      <c r="F24" s="991">
        <f>'数据-取费表'!B48+'数据-取费表'!B49</f>
        <v>3.0249999999999999E-2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2506</v>
      </c>
      <c r="B28" s="2561" t="s">
        <v>2507</v>
      </c>
      <c r="C28" s="331">
        <f ca="1">C30</f>
        <v>134</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134</v>
      </c>
      <c r="D30" s="328"/>
      <c r="E30" s="329"/>
      <c r="F30" s="334"/>
      <c r="G30" s="140"/>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-995</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F36" sqref="F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32.35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81060</v>
      </c>
      <c r="C2" s="1848" t="s">
        <v>1512</v>
      </c>
      <c r="D2" s="1848"/>
      <c r="E2" s="1849"/>
      <c r="F2" s="1850"/>
      <c r="G2" s="1851"/>
      <c r="H2" s="1843"/>
      <c r="I2" s="1843"/>
      <c r="J2" s="1843"/>
      <c r="K2" s="1844"/>
      <c r="L2" s="1843"/>
      <c r="M2" s="1843"/>
    </row>
    <row r="3" spans="1:37" ht="18" customHeight="1" thickBot="1">
      <c r="A3" s="1852" t="s">
        <v>1513</v>
      </c>
      <c r="B3" s="1853">
        <f ca="1">IF(ISERROR(B2*10000/F43),0,ROUND(B2*10000/F43,0))</f>
        <v>11312</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5192</v>
      </c>
      <c r="D5" s="1825" t="s">
        <v>1398</v>
      </c>
      <c r="E5" s="1296"/>
      <c r="F5" s="1297"/>
      <c r="G5" s="1854"/>
      <c r="H5" s="344">
        <v>1</v>
      </c>
      <c r="I5" s="345" t="s">
        <v>1397</v>
      </c>
      <c r="J5" s="1295">
        <f ca="1">J6+J10+J12</f>
        <v>0</v>
      </c>
      <c r="K5" s="1825" t="s">
        <v>1398</v>
      </c>
      <c r="L5" s="1296"/>
      <c r="M5" s="1297"/>
    </row>
    <row r="6" spans="1:37" ht="18" customHeight="1">
      <c r="A6" s="1294" t="s">
        <v>1032</v>
      </c>
      <c r="B6" s="3164" t="s">
        <v>1399</v>
      </c>
      <c r="C6" s="1299">
        <f ca="1">ROUND(F6*F8*F7*(1-F9)/10000,0)</f>
        <v>5179</v>
      </c>
      <c r="D6" s="164" t="s">
        <v>3029</v>
      </c>
      <c r="E6" s="347" t="s">
        <v>1401</v>
      </c>
      <c r="F6" s="348">
        <f ca="1">INDIRECT("'数据-取费表'!u"&amp;$G$1)</f>
        <v>2.2000000000000002</v>
      </c>
      <c r="G6" s="1854"/>
      <c r="H6" s="1294" t="s">
        <v>1032</v>
      </c>
      <c r="I6" s="3164" t="s">
        <v>1399</v>
      </c>
      <c r="J6" s="346">
        <f ca="1">ROUND(M6*M8*M7*(1-M9)/10000,0)</f>
        <v>0</v>
      </c>
      <c r="K6" s="164" t="s">
        <v>3028</v>
      </c>
      <c r="L6" s="347" t="s">
        <v>1401</v>
      </c>
      <c r="M6" s="348">
        <f ca="1">INDIRECT("'数据-取费表'!z"&amp;$G$1)</f>
        <v>0</v>
      </c>
    </row>
    <row r="7" spans="1:37" ht="18" customHeight="1">
      <c r="A7" s="1298"/>
      <c r="B7" s="3165"/>
      <c r="C7" s="1300"/>
      <c r="D7" s="352"/>
      <c r="E7" s="1301" t="s">
        <v>1402</v>
      </c>
      <c r="F7" s="348">
        <f ca="1">IF(INDIRECT("'数据-取费表'!ah"&amp;$G$1)="",INDIRECT("'数据-取费表'!k"&amp;$G$1),INDIRECT("'数据-取费表'!ah"&amp;$G$1))</f>
        <v>71660.160000000003</v>
      </c>
      <c r="G7" s="1854"/>
      <c r="H7" s="349"/>
      <c r="I7" s="3165"/>
      <c r="J7" s="351"/>
      <c r="K7" s="352"/>
      <c r="L7" s="347" t="s">
        <v>1402</v>
      </c>
      <c r="M7" s="348">
        <f ca="1">F7</f>
        <v>71660.160000000003</v>
      </c>
    </row>
    <row r="8" spans="1:37" ht="18" customHeight="1">
      <c r="A8" s="349"/>
      <c r="B8" s="3165"/>
      <c r="C8" s="351"/>
      <c r="D8" s="352"/>
      <c r="E8" s="347" t="s">
        <v>1403</v>
      </c>
      <c r="F8" s="348">
        <f ca="1">INDIRECT("'数据-取费表'!ai"&amp;$G$1)</f>
        <v>365</v>
      </c>
      <c r="G8" s="1854"/>
      <c r="H8" s="349"/>
      <c r="I8" s="3165"/>
      <c r="J8" s="351"/>
      <c r="K8" s="352"/>
      <c r="L8" s="347" t="s">
        <v>1403</v>
      </c>
      <c r="M8" s="348">
        <f ca="1">INDIRECT("'数据-取费表'!ai"&amp;$G$1)</f>
        <v>365</v>
      </c>
    </row>
    <row r="9" spans="1:37" ht="18" customHeight="1">
      <c r="A9" s="349"/>
      <c r="B9" s="3166"/>
      <c r="C9" s="351"/>
      <c r="D9" s="352"/>
      <c r="E9" s="347" t="s">
        <v>1404</v>
      </c>
      <c r="F9" s="357">
        <f ca="1">INDIRECT("'数据-取费表'!w"&amp;$G$1)</f>
        <v>0.1</v>
      </c>
      <c r="G9" s="1854"/>
      <c r="H9" s="349"/>
      <c r="I9" s="3166"/>
      <c r="J9" s="351"/>
      <c r="K9" s="352"/>
      <c r="L9" s="358" t="s">
        <v>1404</v>
      </c>
      <c r="M9" s="359">
        <f ca="1">INDIRECT("'数据-取费表'!ab"&amp;$G$1)</f>
        <v>0</v>
      </c>
    </row>
    <row r="10" spans="1:37" ht="18" customHeight="1">
      <c r="A10" s="1294" t="s">
        <v>1036</v>
      </c>
      <c r="B10" s="1826" t="s">
        <v>1405</v>
      </c>
      <c r="C10" s="361">
        <f ca="1">ROUND(IF(F10="押一",C6/12*F11,IF(F10="押二",C6/12*2*F11,IF(F10="押三",C6/12*3*F11,C11*F11))),0)</f>
        <v>13</v>
      </c>
      <c r="D10" s="1827" t="s">
        <v>3038</v>
      </c>
      <c r="E10" s="358" t="s">
        <v>1406</v>
      </c>
      <c r="F10" s="2963" t="s">
        <v>3133</v>
      </c>
      <c r="G10" s="1854"/>
      <c r="H10" s="1294" t="s">
        <v>1036</v>
      </c>
      <c r="I10" s="1826" t="s">
        <v>1405</v>
      </c>
      <c r="J10" s="346">
        <f ca="1">ROUND(IF(M10="押一",J6/12*M11,IF(M10="押二",J6/12*2*M11,IF(M10="押三",J6/12*3*M11,J11*M11))),0)</f>
        <v>0</v>
      </c>
      <c r="K10" s="1827" t="s">
        <v>3037</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39635</v>
      </c>
      <c r="D13" s="1334" t="s">
        <v>1411</v>
      </c>
      <c r="E13" s="1334" t="s">
        <v>1412</v>
      </c>
      <c r="F13" s="1335">
        <f ca="1">INDIRECT("'数据-取费表'!y"&amp;$G$1)</f>
        <v>0.93330000000000002</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28875</v>
      </c>
      <c r="D14" s="1803" t="s">
        <v>1414</v>
      </c>
      <c r="E14" s="1797"/>
      <c r="F14" s="364"/>
      <c r="G14" s="1854"/>
      <c r="H14" s="1204" t="s">
        <v>1032</v>
      </c>
      <c r="I14" s="347" t="s">
        <v>1415</v>
      </c>
      <c r="J14" s="24">
        <f ca="1">C29</f>
        <v>42468</v>
      </c>
      <c r="K14" s="15"/>
      <c r="L14" s="982"/>
      <c r="M14" s="983"/>
    </row>
    <row r="15" spans="1:37" s="1861" customFormat="1" ht="18" customHeight="1" thickBot="1">
      <c r="A15" s="1204" t="s">
        <v>1033</v>
      </c>
      <c r="B15" s="347" t="s">
        <v>1416</v>
      </c>
      <c r="C15" s="24">
        <f ca="1">ROUND(C14*F15,0)</f>
        <v>866</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1042</v>
      </c>
      <c r="K16" s="1340" t="s">
        <v>1421</v>
      </c>
      <c r="L16" s="1341"/>
      <c r="M16" s="1297"/>
    </row>
    <row r="17" spans="1:37" s="1861" customFormat="1" ht="18" customHeight="1">
      <c r="A17" s="1204" t="s">
        <v>1386</v>
      </c>
      <c r="B17" s="347" t="s">
        <v>1422</v>
      </c>
      <c r="C17" s="24">
        <f ca="1">ROUND(F17*(F43+INDIRECT("'数据-取费表'!S"&amp;$G$1))/10000,0)</f>
        <v>1939</v>
      </c>
      <c r="D17" s="347" t="s">
        <v>1423</v>
      </c>
      <c r="E17" s="347" t="s">
        <v>1424</v>
      </c>
      <c r="F17" s="26">
        <f>'数据-取费表'!B35</f>
        <v>200</v>
      </c>
      <c r="G17" s="1857"/>
      <c r="H17" s="1204" t="s">
        <v>1032</v>
      </c>
      <c r="I17" s="347" t="s">
        <v>1425</v>
      </c>
      <c r="J17" s="24">
        <f ca="1">ROUND(IF(项目基本情况!B11="自然人",J5*M17,J18+J19+J20),1)</f>
        <v>404.9</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433</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32113</v>
      </c>
      <c r="D19" s="140" t="s">
        <v>1432</v>
      </c>
      <c r="E19" s="1821"/>
      <c r="F19" s="26"/>
      <c r="G19" s="1854"/>
      <c r="H19" s="1204" t="s">
        <v>1033</v>
      </c>
      <c r="I19" s="347" t="s">
        <v>1433</v>
      </c>
      <c r="J19" s="24">
        <f ca="1">IF(K19="按租金收入计税",ROUND(J5*M19,2),ROUND(C29*M19*0.7,2))</f>
        <v>356.73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642</v>
      </c>
      <c r="D20" s="369" t="s">
        <v>1436</v>
      </c>
      <c r="E20" s="347" t="s">
        <v>1418</v>
      </c>
      <c r="F20" s="367">
        <f>'数据-取费表'!B37</f>
        <v>0.02</v>
      </c>
      <c r="G20" s="1857"/>
      <c r="H20" s="1204" t="s">
        <v>1385</v>
      </c>
      <c r="I20" s="164" t="s">
        <v>1437</v>
      </c>
      <c r="J20" s="25">
        <f ca="1">ROUND(M20*M21/10000,2)</f>
        <v>48.12</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96248.76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637</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1555</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-1042</v>
      </c>
      <c r="K25" s="1348" t="s">
        <v>1460</v>
      </c>
      <c r="L25" s="1349"/>
      <c r="M25" s="1350"/>
    </row>
    <row r="26" spans="1:37">
      <c r="A26" s="1204" t="s">
        <v>1031</v>
      </c>
      <c r="B26" s="347" t="s">
        <v>1461</v>
      </c>
      <c r="C26" s="24">
        <f ca="1">ROUND((C19+C20)*F26,0)</f>
        <v>4913</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42468</v>
      </c>
      <c r="D29" s="1345"/>
      <c r="E29" s="1343"/>
      <c r="F29" s="1346"/>
      <c r="G29" s="1857"/>
      <c r="H29" s="380" t="s">
        <v>1030</v>
      </c>
      <c r="I29" s="381" t="s">
        <v>1475</v>
      </c>
      <c r="J29" s="382">
        <f ca="1">ROUND(J26/(1+F40)^F41,0)</f>
        <v>0</v>
      </c>
      <c r="K29" s="383" t="s">
        <v>1476</v>
      </c>
      <c r="L29" s="384"/>
      <c r="M29" s="385">
        <f ca="1">INDIRECT("'数据-取费表'!k"&amp;$G$1)</f>
        <v>71660.160000000003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1692</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943.1</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271.95999999999998</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623.04</v>
      </c>
      <c r="D33" s="1831" t="s">
        <v>3070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48.12</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96248.76</v>
      </c>
      <c r="G35" s="1854"/>
      <c r="H35" s="745"/>
      <c r="I35" s="1863"/>
      <c r="J35" s="1864"/>
      <c r="K35" s="1865"/>
      <c r="L35" s="1862"/>
      <c r="M35" s="1862"/>
    </row>
    <row r="36" spans="1:18" ht="18" customHeight="1">
      <c r="A36" s="1355" t="s">
        <v>1036</v>
      </c>
      <c r="B36" s="347" t="s">
        <v>1445</v>
      </c>
      <c r="C36" s="24">
        <f ca="1">ROUND(C29*F36,1)</f>
        <v>637</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59.5</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51.9</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3500</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81060</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32.35</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11312</v>
      </c>
      <c r="D43" s="383" t="s">
        <v>1484</v>
      </c>
      <c r="E43" s="384" t="s">
        <v>1485</v>
      </c>
      <c r="F43" s="385">
        <f ca="1">INDIRECT("'数据-取费表'!k"&amp;$G$1)</f>
        <v>71660.160000000003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-149508</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3068</v>
      </c>
      <c r="K47" s="1885" t="s">
        <v>1523</v>
      </c>
      <c r="L47" s="1886">
        <f ca="1">INDIRECT("'数据-取费表'!d"&amp;$G$1)</f>
        <v>50</v>
      </c>
      <c r="M47" s="1841" t="str">
        <f>IF(ISNUMBER(FIND("住宅",C1)),"住宅","非住宅")</f>
        <v>非住宅</v>
      </c>
      <c r="O47" s="1887" t="s">
        <v>1037</v>
      </c>
      <c r="P47" s="1888" t="s">
        <v>1524</v>
      </c>
      <c r="Q47" s="1889">
        <f ca="1">C40+J29</f>
        <v>81060</v>
      </c>
      <c r="R47" s="1889" t="s">
        <v>1525</v>
      </c>
    </row>
    <row r="48" spans="1:18" s="1845" customFormat="1" ht="28.5" thickBot="1">
      <c r="A48" s="1363" t="s">
        <v>1132</v>
      </c>
      <c r="B48" s="345" t="s">
        <v>1397</v>
      </c>
      <c r="C48" s="1820">
        <f ca="1">C49+C53+C55</f>
        <v>0</v>
      </c>
      <c r="D48" s="1365"/>
      <c r="E48" s="1366"/>
      <c r="F48" s="1184"/>
      <c r="G48" s="792"/>
      <c r="H48" s="793"/>
      <c r="I48" s="1890" t="s">
        <v>1526</v>
      </c>
      <c r="J48" s="1891" t="s">
        <v>3069</v>
      </c>
      <c r="K48" s="1892" t="s">
        <v>1527</v>
      </c>
      <c r="L48" s="1893">
        <f ca="1">INDIRECT("'数据-取费表'!f"&amp;$G$1)</f>
        <v>32.35</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3030</v>
      </c>
      <c r="E49" s="1833" t="s">
        <v>1487</v>
      </c>
      <c r="F49" s="1284"/>
      <c r="G49" s="1894"/>
      <c r="H49" s="793"/>
      <c r="I49" s="1890" t="s">
        <v>1530</v>
      </c>
      <c r="J49" s="1895"/>
      <c r="K49" s="1892" t="s">
        <v>1531</v>
      </c>
      <c r="L49" s="1896"/>
      <c r="O49" s="1897" t="s">
        <v>1039</v>
      </c>
      <c r="P49" s="1888" t="s">
        <v>1532</v>
      </c>
      <c r="Q49" s="1889">
        <f ca="1">C29</f>
        <v>42468</v>
      </c>
      <c r="R49" s="1889" t="s">
        <v>1525</v>
      </c>
    </row>
    <row r="50" spans="1:18" s="1845" customFormat="1" ht="13.5" thickBot="1">
      <c r="A50" s="1198"/>
      <c r="B50" s="1201"/>
      <c r="C50" s="1371"/>
      <c r="D50" s="1175"/>
      <c r="E50" s="1280" t="s">
        <v>1402</v>
      </c>
      <c r="F50" s="1281">
        <f ca="1">F7</f>
        <v>71660.160000000003</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5554</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32.35</v>
      </c>
      <c r="R52" s="1889" t="s">
        <v>1542</v>
      </c>
    </row>
    <row r="53" spans="1:18" s="1845" customFormat="1" ht="24.75" thickBot="1">
      <c r="A53" s="1408" t="s">
        <v>1134</v>
      </c>
      <c r="B53" s="1834" t="s">
        <v>1405</v>
      </c>
      <c r="C53" s="361">
        <f ca="1">ROUND(IF(F53="押一",C49/12*F11,IF(F53="押二",C49/12*2*F11,IF(F53="押三",C49/12*3*F11,C54*F11))),0)</f>
        <v>0</v>
      </c>
      <c r="D53" s="1827" t="s">
        <v>3037</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32.35</v>
      </c>
      <c r="K53" s="3162" t="s">
        <v>1544</v>
      </c>
      <c r="L53" s="3163"/>
      <c r="O53" s="1887" t="s">
        <v>1043</v>
      </c>
      <c r="P53" s="1888" t="s">
        <v>1545</v>
      </c>
      <c r="Q53" s="1889">
        <f ca="1">Q47+Q48</f>
        <v>81060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39635</v>
      </c>
      <c r="D56" s="1917"/>
      <c r="E56" s="1918"/>
      <c r="F56" s="1910"/>
      <c r="I56" s="1919" t="s">
        <v>1550</v>
      </c>
      <c r="J56" s="1920" t="s">
        <v>3060</v>
      </c>
      <c r="K56" s="1890" t="s">
        <v>1551</v>
      </c>
      <c r="L56" s="1893" t="str">
        <f ca="1">IF(L48&lt;J51,"——",L48-J53)</f>
        <v>——</v>
      </c>
      <c r="O56" s="1887" t="s">
        <v>1037</v>
      </c>
      <c r="P56" s="1888" t="s">
        <v>1524</v>
      </c>
      <c r="Q56" s="1889">
        <f ca="1">C40+J29</f>
        <v>81060</v>
      </c>
      <c r="R56" s="1889" t="s">
        <v>1525</v>
      </c>
    </row>
    <row r="57" spans="1:18" s="1845" customFormat="1" ht="24.75" thickBot="1">
      <c r="A57" s="1921"/>
      <c r="B57" s="1172" t="s">
        <v>1474</v>
      </c>
      <c r="C57" s="282">
        <f ca="1">C29</f>
        <v>42468</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4312</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3615.4</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3567.31</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48.12</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81060</v>
      </c>
      <c r="R62" s="1889" t="s">
        <v>1044</v>
      </c>
    </row>
    <row r="63" spans="1:18" s="1845" customFormat="1" ht="13.5" thickBot="1">
      <c r="A63" s="372"/>
      <c r="B63" s="1178"/>
      <c r="C63" s="29"/>
      <c r="D63" s="1188"/>
      <c r="E63" s="1172" t="s">
        <v>1495</v>
      </c>
      <c r="F63" s="348">
        <f t="shared" ca="1" si="0"/>
        <v>96248.76</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637</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59.5</v>
      </c>
      <c r="D65" s="1186" t="s">
        <v>1450</v>
      </c>
      <c r="E65" s="1172" t="s">
        <v>1451</v>
      </c>
      <c r="F65" s="376">
        <f t="shared" ca="1" si="0"/>
        <v>1.5E-3</v>
      </c>
      <c r="I65" s="1932" t="s">
        <v>1575</v>
      </c>
      <c r="J65" s="1933">
        <v>40</v>
      </c>
      <c r="K65" s="1933">
        <v>30</v>
      </c>
      <c r="L65" s="1933">
        <v>50</v>
      </c>
      <c r="M65" s="1935">
        <v>0.02</v>
      </c>
      <c r="O65" s="1887" t="s">
        <v>1037</v>
      </c>
      <c r="P65" s="1888" t="s">
        <v>1576</v>
      </c>
      <c r="Q65" s="1889">
        <f ca="1">C40+J29</f>
        <v>81060</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-4312</v>
      </c>
      <c r="D67" s="1185" t="s">
        <v>1460</v>
      </c>
      <c r="E67" s="1190"/>
      <c r="F67" s="1191"/>
      <c r="O67" s="1897" t="s">
        <v>1039</v>
      </c>
      <c r="P67" s="1888" t="s">
        <v>1558</v>
      </c>
      <c r="Q67" s="1936">
        <f ca="1">L51</f>
        <v>5554</v>
      </c>
      <c r="R67" s="1889" t="s">
        <v>1578</v>
      </c>
    </row>
    <row r="68" spans="1:18" s="1845" customFormat="1" ht="16.5" thickBot="1">
      <c r="A68" s="1169" t="s">
        <v>1029</v>
      </c>
      <c r="B68" s="1170" t="s">
        <v>1481</v>
      </c>
      <c r="C68" s="346">
        <f ca="1">ROUND(C67*(1-((1+F70)/(1+F68))^F69)/(F68-F70),0)</f>
        <v>-68448</v>
      </c>
      <c r="D68" s="1187" t="s">
        <v>1465</v>
      </c>
      <c r="E68" s="1172" t="s">
        <v>1466</v>
      </c>
      <c r="F68" s="357">
        <f ca="1">F40</f>
        <v>0.05</v>
      </c>
      <c r="O68" s="1897" t="s">
        <v>1040</v>
      </c>
      <c r="P68" s="1937" t="s">
        <v>1579</v>
      </c>
      <c r="Q68" s="1889">
        <f ca="1">ROUND(Q69-Q70*Q71,0)</f>
        <v>329</v>
      </c>
      <c r="R68" s="1889" t="s">
        <v>1048</v>
      </c>
    </row>
    <row r="69" spans="1:18" s="1845" customFormat="1" ht="13.5" thickBot="1">
      <c r="A69" s="1173"/>
      <c r="B69" s="1174"/>
      <c r="C69" s="351"/>
      <c r="D69" s="1192" t="s">
        <v>1469</v>
      </c>
      <c r="E69" s="1172" t="s">
        <v>1470</v>
      </c>
      <c r="F69" s="379">
        <f ca="1">F41</f>
        <v>32.35</v>
      </c>
      <c r="O69" s="1897" t="s">
        <v>1045</v>
      </c>
      <c r="P69" s="1937" t="s">
        <v>1580</v>
      </c>
      <c r="Q69" s="1889">
        <f ca="1">C39</f>
        <v>3500</v>
      </c>
      <c r="R69" s="1889" t="s">
        <v>1525</v>
      </c>
    </row>
    <row r="70" spans="1:18" s="1845" customFormat="1" ht="13.5" thickBot="1">
      <c r="A70" s="1176"/>
      <c r="B70" s="1177"/>
      <c r="C70" s="355"/>
      <c r="D70" s="1188"/>
      <c r="E70" s="1172" t="s">
        <v>1473</v>
      </c>
      <c r="F70" s="1278"/>
      <c r="O70" s="1897" t="s">
        <v>1046</v>
      </c>
      <c r="P70" s="1937" t="s">
        <v>1581</v>
      </c>
      <c r="Q70" s="1889">
        <f ca="1">C13</f>
        <v>39635</v>
      </c>
      <c r="R70" s="1889" t="s">
        <v>1525</v>
      </c>
    </row>
    <row r="71" spans="1:18" s="1845" customFormat="1" ht="13.5" thickBot="1">
      <c r="A71" s="1193" t="s">
        <v>1030</v>
      </c>
      <c r="B71" s="1194" t="s">
        <v>1483</v>
      </c>
      <c r="C71" s="382">
        <f ca="1">ROUND(C68*10000/F71,0)</f>
        <v>-9552</v>
      </c>
      <c r="D71" s="1195" t="s">
        <v>1484</v>
      </c>
      <c r="E71" s="1196" t="s">
        <v>1485</v>
      </c>
      <c r="F71" s="385">
        <f ca="1">F43</f>
        <v>71660.160000000003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3171</v>
      </c>
      <c r="D75" s="1845"/>
      <c r="E75" s="1845"/>
      <c r="F75" s="1845"/>
      <c r="K75" s="1871"/>
      <c r="L75" s="1845"/>
      <c r="O75" s="1887" t="s">
        <v>1043</v>
      </c>
      <c r="P75" s="1888" t="s">
        <v>1545</v>
      </c>
      <c r="Q75" s="1889">
        <f ca="1">Q65+Q66</f>
        <v>81060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9.3999999999999972E-2</v>
      </c>
    </row>
    <row r="80" spans="1:18">
      <c r="B80" s="386" t="s">
        <v>1507</v>
      </c>
      <c r="C80" s="318">
        <f ca="1">ROUND(C75/C39,3)</f>
        <v>0.90600000000000003</v>
      </c>
    </row>
    <row r="81" spans="2:3">
      <c r="B81" s="314" t="s">
        <v>1508</v>
      </c>
      <c r="C81" s="282"/>
    </row>
    <row r="82" spans="2:3">
      <c r="B82" s="317" t="s">
        <v>1509</v>
      </c>
      <c r="C82" s="319">
        <f ca="1">1-C83</f>
        <v>0.51100000000000001</v>
      </c>
    </row>
    <row r="83" spans="2:3">
      <c r="B83" s="317" t="s">
        <v>1510</v>
      </c>
      <c r="C83" s="318">
        <f ca="1">ROUND(C13/C40,3)</f>
        <v>0.48899999999999999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9" zoomScaleNormal="10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64" t="s">
        <v>1399</v>
      </c>
      <c r="C6" s="1299">
        <f ca="1">ROUND(F6*F8*F7*(1-F9),0)</f>
        <v>0</v>
      </c>
      <c r="D6" s="164" t="s">
        <v>3026</v>
      </c>
      <c r="E6" s="347" t="s">
        <v>1401</v>
      </c>
      <c r="F6" s="348">
        <f ca="1">INDIRECT("'数据-取费表'!u"&amp;$G$1)</f>
        <v>0</v>
      </c>
      <c r="G6" s="1854"/>
      <c r="H6" s="1294" t="s">
        <v>1032</v>
      </c>
      <c r="I6" s="3164" t="s">
        <v>1399</v>
      </c>
      <c r="J6" s="346">
        <f ca="1">ROUND(M6*M8*M7*(1-M9),0)</f>
        <v>0</v>
      </c>
      <c r="K6" s="1837" t="s">
        <v>3027</v>
      </c>
      <c r="L6" s="347" t="s">
        <v>1401</v>
      </c>
      <c r="M6" s="348">
        <f ca="1">INDIRECT("'数据-取费表'!z"&amp;$G$1)</f>
        <v>0</v>
      </c>
    </row>
    <row r="7" spans="1:37" ht="18" customHeight="1">
      <c r="A7" s="1298"/>
      <c r="B7" s="3165"/>
      <c r="C7" s="1300"/>
      <c r="D7" s="352"/>
      <c r="E7" s="1301" t="s">
        <v>1402</v>
      </c>
      <c r="F7" s="348">
        <f ca="1">IF(INDIRECT("'数据-取费表'!ah"&amp;$G$1)="",INDIRECT("'数据-取费表'!k"&amp;$G$1),INDIRECT("'数据-取费表'!ah"&amp;$G$1))</f>
        <v>0</v>
      </c>
      <c r="G7" s="1854"/>
      <c r="H7" s="349"/>
      <c r="I7" s="3165"/>
      <c r="J7" s="351"/>
      <c r="K7" s="352"/>
      <c r="L7" s="347" t="s">
        <v>1402</v>
      </c>
      <c r="M7" s="348">
        <f ca="1">F7</f>
        <v>0</v>
      </c>
    </row>
    <row r="8" spans="1:37" ht="18" customHeight="1">
      <c r="A8" s="349"/>
      <c r="B8" s="3165"/>
      <c r="C8" s="351"/>
      <c r="D8" s="352"/>
      <c r="E8" s="347" t="s">
        <v>1403</v>
      </c>
      <c r="F8" s="348">
        <f ca="1">INDIRECT("'数据-取费表'!ai"&amp;$G$1)</f>
        <v>0</v>
      </c>
      <c r="G8" s="1854"/>
      <c r="H8" s="349"/>
      <c r="I8" s="3165"/>
      <c r="J8" s="351"/>
      <c r="K8" s="352"/>
      <c r="L8" s="347" t="s">
        <v>1403</v>
      </c>
      <c r="M8" s="348">
        <f ca="1">INDIRECT("'数据-取费表'!ai"&amp;$G$1)</f>
        <v>0</v>
      </c>
    </row>
    <row r="9" spans="1:37" ht="18" customHeight="1">
      <c r="A9" s="349"/>
      <c r="B9" s="3166"/>
      <c r="C9" s="351"/>
      <c r="D9" s="352"/>
      <c r="E9" s="347" t="s">
        <v>1404</v>
      </c>
      <c r="F9" s="357">
        <f ca="1">INDIRECT("'数据-取费表'!w"&amp;$G$1)</f>
        <v>0</v>
      </c>
      <c r="G9" s="1854"/>
      <c r="H9" s="349"/>
      <c r="I9" s="316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3037</v>
      </c>
      <c r="E10" s="358" t="s">
        <v>1406</v>
      </c>
      <c r="F10" s="1369"/>
      <c r="G10" s="1854"/>
      <c r="H10" s="1294" t="s">
        <v>1036</v>
      </c>
      <c r="I10" s="1826" t="s">
        <v>1405</v>
      </c>
      <c r="J10" s="346">
        <f ca="1">ROUND(IF(M10="押一",J6/12*M11,IF(M10="押二",J6/12*2*M11,IF(M10="押三",J6/12*3*M11,J11*M11))),0)</f>
        <v>0</v>
      </c>
      <c r="K10" s="1838" t="s">
        <v>3039</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62" t="s">
        <v>1544</v>
      </c>
      <c r="L53" s="3163"/>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2523</v>
      </c>
      <c r="B1" s="2564"/>
      <c r="C1" s="2564"/>
      <c r="D1" s="2564"/>
      <c r="E1" s="2565"/>
    </row>
    <row r="2" spans="1:6" ht="15.75">
      <c r="A2" s="2566" t="s">
        <v>2324</v>
      </c>
      <c r="B2" s="2567">
        <f ca="1">SUMIF(B6:B13,"&lt;&gt;#ref!",B6:B13)</f>
        <v>81060</v>
      </c>
      <c r="C2" s="2568" t="s">
        <v>2516</v>
      </c>
      <c r="D2" s="2569" t="s">
        <v>2517</v>
      </c>
      <c r="E2" s="2570">
        <f>SUM(E6:E13)</f>
        <v>96955.040000000008</v>
      </c>
    </row>
    <row r="3" spans="1:6" ht="15.75">
      <c r="A3" s="2566" t="s">
        <v>1391</v>
      </c>
      <c r="B3" s="2567">
        <f ca="1">ROUND(B2*10000/E2,0)</f>
        <v>8361</v>
      </c>
      <c r="C3" s="2568" t="s">
        <v>2524</v>
      </c>
      <c r="D3" s="2571"/>
      <c r="E3" s="2572"/>
    </row>
    <row r="4" spans="1:6" ht="15.75">
      <c r="A4" s="2573"/>
      <c r="B4" s="2571"/>
      <c r="C4" s="2571"/>
      <c r="D4" s="2571"/>
      <c r="E4" s="2572"/>
    </row>
    <row r="5" spans="1:6" ht="15">
      <c r="A5" s="2574" t="s">
        <v>2518</v>
      </c>
      <c r="B5" s="3167" t="s">
        <v>2519</v>
      </c>
      <c r="C5" s="3167"/>
      <c r="D5" s="2575"/>
      <c r="E5" s="2576" t="s">
        <v>2520</v>
      </c>
      <c r="F5" s="2577" t="s">
        <v>2521</v>
      </c>
    </row>
    <row r="6" spans="1:6">
      <c r="A6" s="2578" t="str">
        <f>'数据-取费表'!AN6</f>
        <v>收益法</v>
      </c>
      <c r="B6" s="2577">
        <f ca="1">IF(F6="是",'数据-取费表'!AO6,0)</f>
        <v>81060</v>
      </c>
      <c r="C6" s="2568" t="s">
        <v>2516</v>
      </c>
      <c r="D6" s="2571"/>
      <c r="E6" s="2579">
        <f>IF(OR(A6=0,F6="否"),0,'数据-取费表'!K6+'数据-取费表'!S6)</f>
        <v>96955.040000000008</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8" t="s">
        <v>1073</v>
      </c>
      <c r="B1" s="3169"/>
      <c r="C1" s="3170"/>
      <c r="D1" s="3171">
        <f>SUM(I10,I15,I20,I21,I23)</f>
        <v>0</v>
      </c>
      <c r="E1" s="3171"/>
      <c r="F1" s="3171"/>
      <c r="G1" s="3171"/>
      <c r="H1" s="3171"/>
      <c r="I1" s="3172"/>
    </row>
    <row r="2" spans="1:9">
      <c r="A2" s="3173" t="s">
        <v>1074</v>
      </c>
      <c r="B2" s="3174" t="s">
        <v>1075</v>
      </c>
      <c r="C2" s="3174"/>
      <c r="D2" s="1304" t="s">
        <v>1076</v>
      </c>
      <c r="E2" s="1304" t="s">
        <v>1077</v>
      </c>
      <c r="F2" s="1304" t="s">
        <v>1078</v>
      </c>
      <c r="G2" s="1304" t="s">
        <v>1079</v>
      </c>
      <c r="H2" s="1304" t="s">
        <v>1080</v>
      </c>
      <c r="I2" s="1305" t="s">
        <v>1081</v>
      </c>
    </row>
    <row r="3" spans="1:9">
      <c r="A3" s="3173"/>
      <c r="B3" s="3174" t="s">
        <v>1082</v>
      </c>
      <c r="C3" s="3174"/>
      <c r="D3" s="1306"/>
      <c r="E3" s="1304"/>
      <c r="F3" s="1307"/>
      <c r="G3" s="1307"/>
      <c r="H3" s="1308"/>
      <c r="I3" s="1309">
        <f>ROUND(D3*E3*F3*G3*H3/10000,0)</f>
        <v>0</v>
      </c>
    </row>
    <row r="4" spans="1:9">
      <c r="A4" s="3173"/>
      <c r="B4" s="3174" t="s">
        <v>1083</v>
      </c>
      <c r="C4" s="3174"/>
      <c r="D4" s="1306"/>
      <c r="E4" s="1304"/>
      <c r="F4" s="1307"/>
      <c r="G4" s="1307"/>
      <c r="H4" s="1308"/>
      <c r="I4" s="1309">
        <f t="shared" ref="I4:I9" si="0">ROUND(D4*E4*F4*G4*H4/10000,0)</f>
        <v>0</v>
      </c>
    </row>
    <row r="5" spans="1:9">
      <c r="A5" s="3173"/>
      <c r="B5" s="3174" t="s">
        <v>1084</v>
      </c>
      <c r="C5" s="3174"/>
      <c r="D5" s="1306"/>
      <c r="E5" s="1304"/>
      <c r="F5" s="1307"/>
      <c r="G5" s="1307"/>
      <c r="H5" s="1308"/>
      <c r="I5" s="1309">
        <f t="shared" si="0"/>
        <v>0</v>
      </c>
    </row>
    <row r="6" spans="1:9">
      <c r="A6" s="3173"/>
      <c r="B6" s="3174" t="s">
        <v>1085</v>
      </c>
      <c r="C6" s="3174"/>
      <c r="D6" s="1306"/>
      <c r="E6" s="1304"/>
      <c r="F6" s="1307"/>
      <c r="G6" s="1307"/>
      <c r="H6" s="1308"/>
      <c r="I6" s="1309">
        <f t="shared" si="0"/>
        <v>0</v>
      </c>
    </row>
    <row r="7" spans="1:9">
      <c r="A7" s="3173"/>
      <c r="B7" s="3174" t="s">
        <v>1086</v>
      </c>
      <c r="C7" s="3174"/>
      <c r="D7" s="1306"/>
      <c r="E7" s="1304"/>
      <c r="F7" s="1307"/>
      <c r="G7" s="1307"/>
      <c r="H7" s="1308"/>
      <c r="I7" s="1309">
        <f t="shared" si="0"/>
        <v>0</v>
      </c>
    </row>
    <row r="8" spans="1:9">
      <c r="A8" s="3173"/>
      <c r="B8" s="3174" t="s">
        <v>1087</v>
      </c>
      <c r="C8" s="3174"/>
      <c r="D8" s="1306"/>
      <c r="E8" s="1304"/>
      <c r="F8" s="1307"/>
      <c r="G8" s="1307"/>
      <c r="H8" s="1308"/>
      <c r="I8" s="1309">
        <f t="shared" si="0"/>
        <v>0</v>
      </c>
    </row>
    <row r="9" spans="1:9">
      <c r="A9" s="3173"/>
      <c r="B9" s="3174" t="s">
        <v>1088</v>
      </c>
      <c r="C9" s="3174"/>
      <c r="D9" s="1306"/>
      <c r="E9" s="1304"/>
      <c r="F9" s="1307"/>
      <c r="G9" s="1307"/>
      <c r="H9" s="1308"/>
      <c r="I9" s="1309">
        <f t="shared" si="0"/>
        <v>0</v>
      </c>
    </row>
    <row r="10" spans="1:9">
      <c r="A10" s="3173"/>
      <c r="B10" s="3175" t="s">
        <v>1089</v>
      </c>
      <c r="C10" s="3175"/>
      <c r="D10" s="1310"/>
      <c r="E10" s="1310" t="e">
        <f>ROUND(D1*10000/D10/H9,0)</f>
        <v>#DIV/0!</v>
      </c>
      <c r="F10" s="1311"/>
      <c r="G10" s="1311"/>
      <c r="H10" s="1312"/>
      <c r="I10" s="1313">
        <f>SUM(I3:I9)</f>
        <v>0</v>
      </c>
    </row>
    <row r="11" spans="1:9" ht="14.25">
      <c r="A11" s="3173" t="s">
        <v>1090</v>
      </c>
      <c r="B11" s="3174" t="s">
        <v>1091</v>
      </c>
      <c r="C11" s="3174"/>
      <c r="D11" s="1306" t="s">
        <v>1092</v>
      </c>
      <c r="E11" s="1306" t="s">
        <v>1093</v>
      </c>
      <c r="F11" s="1307" t="s">
        <v>1094</v>
      </c>
      <c r="G11" s="1307" t="s">
        <v>1080</v>
      </c>
      <c r="H11" s="1314" t="s">
        <v>1095</v>
      </c>
      <c r="I11" s="1305" t="s">
        <v>1081</v>
      </c>
    </row>
    <row r="12" spans="1:9">
      <c r="A12" s="3173"/>
      <c r="B12" s="3174" t="s">
        <v>1096</v>
      </c>
      <c r="C12" s="3174"/>
      <c r="D12" s="1306"/>
      <c r="E12" s="1306"/>
      <c r="F12" s="1307"/>
      <c r="G12" s="1308"/>
      <c r="H12" s="1315"/>
      <c r="I12" s="1305">
        <f>ROUND(D12*E12*F12*G12/10000,0)</f>
        <v>0</v>
      </c>
    </row>
    <row r="13" spans="1:9">
      <c r="A13" s="3173"/>
      <c r="B13" s="3174" t="s">
        <v>1097</v>
      </c>
      <c r="C13" s="3174"/>
      <c r="D13" s="1306"/>
      <c r="E13" s="1306"/>
      <c r="F13" s="1307"/>
      <c r="G13" s="1308"/>
      <c r="H13" s="1315"/>
      <c r="I13" s="1305">
        <f>ROUND(D13*E13*F13*G13/10000,0)</f>
        <v>0</v>
      </c>
    </row>
    <row r="14" spans="1:9">
      <c r="A14" s="3173"/>
      <c r="B14" s="3174" t="s">
        <v>1098</v>
      </c>
      <c r="C14" s="3174"/>
      <c r="D14" s="1306"/>
      <c r="E14" s="1306"/>
      <c r="F14" s="1307"/>
      <c r="G14" s="1308"/>
      <c r="H14" s="1315"/>
      <c r="I14" s="1305">
        <f>ROUND(D14*E14*F14*G14/10000,0)</f>
        <v>0</v>
      </c>
    </row>
    <row r="15" spans="1:9">
      <c r="A15" s="3173"/>
      <c r="B15" s="3175" t="s">
        <v>1089</v>
      </c>
      <c r="C15" s="3175"/>
      <c r="D15" s="1310"/>
      <c r="E15" s="1310">
        <f>SUM(E12:E14)</f>
        <v>0</v>
      </c>
      <c r="F15" s="1311"/>
      <c r="G15" s="1308"/>
      <c r="H15" s="1315"/>
      <c r="I15" s="1316">
        <f>SUM(I12:I14)</f>
        <v>0</v>
      </c>
    </row>
    <row r="16" spans="1:9" ht="24">
      <c r="A16" s="3173" t="s">
        <v>1099</v>
      </c>
      <c r="B16" s="3174" t="s">
        <v>1100</v>
      </c>
      <c r="C16" s="3174"/>
      <c r="D16" s="1306" t="s">
        <v>1076</v>
      </c>
      <c r="E16" s="1317" t="s">
        <v>1101</v>
      </c>
      <c r="F16" s="1307" t="s">
        <v>1102</v>
      </c>
      <c r="G16" s="1308" t="s">
        <v>1080</v>
      </c>
      <c r="H16" s="1314" t="s">
        <v>1095</v>
      </c>
      <c r="I16" s="1305" t="s">
        <v>1081</v>
      </c>
    </row>
    <row r="17" spans="1:9" ht="14.25">
      <c r="A17" s="3173"/>
      <c r="B17" s="3174" t="s">
        <v>1103</v>
      </c>
      <c r="C17" s="3174"/>
      <c r="D17" s="1306"/>
      <c r="E17" s="1306"/>
      <c r="F17" s="1307"/>
      <c r="G17" s="1308"/>
      <c r="H17" s="1318"/>
      <c r="I17" s="1319">
        <f>ROUND(D17*E17*F17*G17/10000,0)</f>
        <v>0</v>
      </c>
    </row>
    <row r="18" spans="1:9" ht="14.25">
      <c r="A18" s="3173"/>
      <c r="B18" s="3174" t="s">
        <v>1104</v>
      </c>
      <c r="C18" s="3174"/>
      <c r="D18" s="1306"/>
      <c r="E18" s="1306"/>
      <c r="F18" s="1307"/>
      <c r="G18" s="1308"/>
      <c r="H18" s="1318"/>
      <c r="I18" s="1319">
        <f>ROUND(D18*E18*F18*G18/10000,0)</f>
        <v>0</v>
      </c>
    </row>
    <row r="19" spans="1:9" ht="14.25">
      <c r="A19" s="3173"/>
      <c r="B19" s="3174" t="s">
        <v>1105</v>
      </c>
      <c r="C19" s="3174"/>
      <c r="D19" s="1306"/>
      <c r="E19" s="1306"/>
      <c r="F19" s="1307"/>
      <c r="G19" s="1308"/>
      <c r="H19" s="1318"/>
      <c r="I19" s="1319">
        <f>ROUND(D19*E19*F19*G19/10000,0)</f>
        <v>0</v>
      </c>
    </row>
    <row r="20" spans="1:9">
      <c r="A20" s="3173"/>
      <c r="B20" s="3175" t="s">
        <v>1089</v>
      </c>
      <c r="C20" s="3175"/>
      <c r="D20" s="1310">
        <f>SUM(D17:D19)</f>
        <v>0</v>
      </c>
      <c r="E20" s="1310"/>
      <c r="F20" s="1311"/>
      <c r="G20" s="1308"/>
      <c r="H20" s="1315"/>
      <c r="I20" s="1316">
        <f>SUM(I17:I19)</f>
        <v>0</v>
      </c>
    </row>
    <row r="21" spans="1:9">
      <c r="A21" s="3173" t="s">
        <v>1106</v>
      </c>
      <c r="B21" s="3177"/>
      <c r="C21" s="3177"/>
      <c r="D21" s="3177"/>
      <c r="E21" s="3177"/>
      <c r="F21" s="3177"/>
      <c r="G21" s="3177"/>
      <c r="H21" s="1768">
        <v>0.1</v>
      </c>
      <c r="I21" s="1313">
        <f>ROUND(I10*H21,0)</f>
        <v>0</v>
      </c>
    </row>
    <row r="22" spans="1:9" ht="14.25">
      <c r="A22" s="3178" t="s">
        <v>1107</v>
      </c>
      <c r="B22" s="3179"/>
      <c r="C22" s="3180"/>
      <c r="D22" s="1320" t="s">
        <v>1108</v>
      </c>
      <c r="E22" s="1320" t="s">
        <v>1109</v>
      </c>
      <c r="F22" s="1321" t="s">
        <v>1110</v>
      </c>
      <c r="G22" s="1321" t="s">
        <v>1111</v>
      </c>
      <c r="H22" s="1314" t="s">
        <v>1112</v>
      </c>
      <c r="I22" s="1305" t="s">
        <v>1113</v>
      </c>
    </row>
    <row r="23" spans="1:9" ht="14.25" thickBot="1">
      <c r="A23" s="3181"/>
      <c r="B23" s="3182"/>
      <c r="C23" s="3183"/>
      <c r="D23" s="1322"/>
      <c r="E23" s="1322"/>
      <c r="F23" s="1322"/>
      <c r="G23" s="1323"/>
      <c r="H23" s="1324"/>
      <c r="I23" s="1325">
        <f>ROUND(E23*D23*F23*(1-G23)/10000,0)</f>
        <v>0</v>
      </c>
    </row>
    <row r="26" spans="1:9">
      <c r="A26" s="1326" t="s">
        <v>1114</v>
      </c>
      <c r="B26" s="1326"/>
      <c r="C26" s="1326"/>
      <c r="D26" s="1326"/>
      <c r="E26" s="3184">
        <f>C27-C30-C31-C32</f>
        <v>0</v>
      </c>
      <c r="F26" s="3184"/>
      <c r="G26" s="3184"/>
      <c r="H26" s="1740" t="s">
        <v>1336</v>
      </c>
    </row>
    <row r="27" spans="1:9">
      <c r="A27" s="1327">
        <v>1</v>
      </c>
      <c r="B27" s="1328" t="s">
        <v>1115</v>
      </c>
      <c r="C27" s="1328">
        <f>C28+C29</f>
        <v>0</v>
      </c>
      <c r="D27" s="1328"/>
      <c r="E27" s="3185"/>
      <c r="F27" s="3185"/>
      <c r="G27" s="3185"/>
    </row>
    <row r="28" spans="1:9">
      <c r="A28" s="1329" t="s">
        <v>1116</v>
      </c>
      <c r="B28" s="1328" t="s">
        <v>1117</v>
      </c>
      <c r="C28" s="1328"/>
      <c r="D28" s="1328"/>
      <c r="E28" s="3185"/>
      <c r="F28" s="3185"/>
      <c r="G28" s="3185"/>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6"/>
      <c r="F32" s="3176"/>
      <c r="G32" s="3176"/>
    </row>
    <row r="33" spans="1:7" hidden="1">
      <c r="A33" s="3186" t="s">
        <v>1126</v>
      </c>
      <c r="B33" s="3187"/>
      <c r="C33" s="3187"/>
      <c r="D33" s="3188"/>
      <c r="E33" s="3184"/>
      <c r="F33" s="3184"/>
      <c r="G33" s="3184"/>
    </row>
    <row r="34" spans="1:7" hidden="1">
      <c r="A34" s="1331">
        <v>1</v>
      </c>
      <c r="B34" s="1328" t="s">
        <v>1127</v>
      </c>
      <c r="C34" s="1328"/>
      <c r="D34" s="1328"/>
      <c r="E34" s="3185"/>
      <c r="F34" s="3185"/>
      <c r="G34" s="3185"/>
    </row>
    <row r="35" spans="1:7" hidden="1">
      <c r="A35" s="1331">
        <v>2</v>
      </c>
      <c r="B35" s="1328" t="s">
        <v>1128</v>
      </c>
      <c r="C35" s="1328"/>
      <c r="D35" s="1328"/>
      <c r="E35" s="3185"/>
      <c r="F35" s="3185"/>
      <c r="G35" s="3185"/>
    </row>
    <row r="36" spans="1:7" hidden="1">
      <c r="A36" s="1331">
        <v>3</v>
      </c>
      <c r="B36" s="1328" t="s">
        <v>1129</v>
      </c>
      <c r="C36" s="1328"/>
      <c r="D36" s="1328"/>
      <c r="E36" s="3185"/>
      <c r="F36" s="3185"/>
      <c r="G36" s="3185"/>
    </row>
    <row r="37" spans="1:7" hidden="1">
      <c r="A37" s="1331">
        <v>4</v>
      </c>
      <c r="B37" s="1328" t="s">
        <v>1130</v>
      </c>
      <c r="C37" s="1328"/>
      <c r="D37" s="1328"/>
      <c r="E37" s="3185"/>
      <c r="F37" s="3185"/>
      <c r="G37" s="3185"/>
    </row>
    <row r="38" spans="1:7" hidden="1">
      <c r="A38" s="3186" t="s">
        <v>1131</v>
      </c>
      <c r="B38" s="3187"/>
      <c r="C38" s="3187"/>
      <c r="D38" s="3188"/>
      <c r="E38" s="3184"/>
      <c r="F38" s="3184"/>
      <c r="G38" s="31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2526</v>
      </c>
      <c r="C1" s="1637" t="s">
        <v>2527</v>
      </c>
      <c r="D1" s="1624"/>
      <c r="E1" s="2585"/>
      <c r="F1" s="2586" t="s">
        <v>2528</v>
      </c>
      <c r="G1" s="1634" t="s">
        <v>2529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2530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2531</v>
      </c>
      <c r="D3" s="399">
        <f>IF(D1="",'数据-汇总表'!E3,SUMIF('数据-汇总表'!$C19:$C33,D1,'数据-汇总表'!$E19:$E33))</f>
        <v>96955.040000000008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2532</v>
      </c>
      <c r="B4" s="402"/>
      <c r="C4" s="3207" t="s">
        <v>2533</v>
      </c>
      <c r="D4" s="3208"/>
      <c r="E4" s="3209" t="s">
        <v>2534</v>
      </c>
      <c r="F4" s="3210"/>
      <c r="G4" s="3207" t="s">
        <v>2535</v>
      </c>
      <c r="H4" s="3208"/>
      <c r="I4" s="3207" t="s">
        <v>2536</v>
      </c>
      <c r="J4" s="3208"/>
      <c r="K4" s="2598" t="s">
        <v>2537</v>
      </c>
      <c r="L4" s="1133"/>
      <c r="M4" s="1134"/>
      <c r="N4" s="1134"/>
      <c r="O4" s="1134"/>
      <c r="P4" s="3211" t="s">
        <v>2538</v>
      </c>
      <c r="Q4" s="3212"/>
      <c r="R4" s="3194" t="s">
        <v>2534</v>
      </c>
      <c r="S4" s="3195"/>
      <c r="T4" s="3194" t="s">
        <v>2535</v>
      </c>
      <c r="U4" s="3195"/>
      <c r="V4" s="3219" t="s">
        <v>2536</v>
      </c>
      <c r="W4" s="3219"/>
      <c r="X4" s="1816"/>
      <c r="Y4" s="3194" t="s">
        <v>2538</v>
      </c>
      <c r="Z4" s="3195"/>
      <c r="AA4" s="3189" t="s">
        <v>2534</v>
      </c>
      <c r="AB4" s="3189" t="s">
        <v>2535</v>
      </c>
      <c r="AC4" s="3189" t="s">
        <v>2536</v>
      </c>
    </row>
    <row r="5" spans="1:29" ht="15">
      <c r="A5" s="404"/>
      <c r="B5" s="405"/>
      <c r="C5" s="3200" t="s">
        <v>2539</v>
      </c>
      <c r="D5" s="3201"/>
      <c r="E5" s="3198" t="s">
        <v>2540</v>
      </c>
      <c r="F5" s="3199"/>
      <c r="G5" s="3200" t="s">
        <v>2541</v>
      </c>
      <c r="H5" s="3201"/>
      <c r="I5" s="3200" t="s">
        <v>2542</v>
      </c>
      <c r="J5" s="3201"/>
      <c r="K5" s="2599"/>
      <c r="L5" s="1133"/>
      <c r="M5" s="1134"/>
      <c r="N5" s="1134"/>
      <c r="O5" s="1134"/>
      <c r="P5" s="3213"/>
      <c r="Q5" s="3214"/>
      <c r="R5" s="3196"/>
      <c r="S5" s="3197"/>
      <c r="T5" s="3196"/>
      <c r="U5" s="3197"/>
      <c r="V5" s="3219"/>
      <c r="W5" s="3219"/>
      <c r="X5" s="1816"/>
      <c r="Y5" s="3196"/>
      <c r="Z5" s="3197"/>
      <c r="AA5" s="3190"/>
      <c r="AB5" s="3190"/>
      <c r="AC5" s="3190"/>
    </row>
    <row r="6" spans="1:29" ht="15.75" thickBot="1">
      <c r="A6" s="406"/>
      <c r="B6" s="407"/>
      <c r="C6" s="3202" t="s">
        <v>2543</v>
      </c>
      <c r="D6" s="3203"/>
      <c r="E6" s="3204" t="s">
        <v>2543</v>
      </c>
      <c r="F6" s="3205"/>
      <c r="G6" s="3202" t="s">
        <v>2543</v>
      </c>
      <c r="H6" s="3203"/>
      <c r="I6" s="3202" t="s">
        <v>2543</v>
      </c>
      <c r="J6" s="3203"/>
      <c r="K6" s="2599" t="s">
        <v>2544</v>
      </c>
      <c r="L6" s="1133"/>
      <c r="M6" s="1134"/>
      <c r="N6" s="1134"/>
      <c r="O6" s="1134"/>
      <c r="P6" s="3215"/>
      <c r="Q6" s="3216"/>
      <c r="R6" s="3196"/>
      <c r="S6" s="3197"/>
      <c r="T6" s="3217"/>
      <c r="U6" s="3218"/>
      <c r="V6" s="3219"/>
      <c r="W6" s="3219"/>
      <c r="X6" s="1816"/>
      <c r="Y6" s="3217"/>
      <c r="Z6" s="3218"/>
      <c r="AA6" s="3191"/>
      <c r="AB6" s="3191"/>
      <c r="AC6" s="3191"/>
    </row>
    <row r="7" spans="1:29" s="117" customFormat="1" ht="15.75" thickBot="1">
      <c r="A7" s="408" t="s">
        <v>2545</v>
      </c>
      <c r="B7" s="409"/>
      <c r="C7" s="410">
        <f>'数据-取费表'!B2</f>
        <v>43536</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92" t="s">
        <v>2546</v>
      </c>
      <c r="Q7" s="3220"/>
      <c r="R7" s="770" t="s">
        <v>23</v>
      </c>
      <c r="S7" s="771">
        <f t="shared" ref="S7:S15" si="0">F7</f>
        <v>0</v>
      </c>
      <c r="T7" s="770" t="s">
        <v>23</v>
      </c>
      <c r="U7" s="771">
        <f t="shared" ref="U7:U15" si="1">H7</f>
        <v>0</v>
      </c>
      <c r="V7" s="770" t="s">
        <v>23</v>
      </c>
      <c r="W7" s="771">
        <f t="shared" ref="W7:W15" si="2">J7</f>
        <v>0</v>
      </c>
      <c r="X7" s="772"/>
      <c r="Y7" s="3192" t="s">
        <v>2546</v>
      </c>
      <c r="Z7" s="3193"/>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92" t="s">
        <v>2549</v>
      </c>
      <c r="Q8" s="3193"/>
      <c r="R8" s="770" t="s">
        <v>23</v>
      </c>
      <c r="S8" s="771">
        <f t="shared" si="0"/>
        <v>0</v>
      </c>
      <c r="T8" s="770" t="s">
        <v>23</v>
      </c>
      <c r="U8" s="771">
        <f t="shared" si="1"/>
        <v>0</v>
      </c>
      <c r="V8" s="770" t="s">
        <v>23</v>
      </c>
      <c r="W8" s="771">
        <f t="shared" si="2"/>
        <v>0</v>
      </c>
      <c r="X8" s="772"/>
      <c r="Y8" s="3192" t="s">
        <v>2549</v>
      </c>
      <c r="Z8" s="3193"/>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06" t="s">
        <v>2552</v>
      </c>
      <c r="Q9" s="1798"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6"/>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6"/>
      <c r="Q11" s="1798" t="str">
        <f t="shared" si="6"/>
        <v>容积率</v>
      </c>
      <c r="R11" s="770" t="s">
        <v>21</v>
      </c>
      <c r="S11" s="771" t="e">
        <f t="shared" si="0"/>
        <v>#N/A</v>
      </c>
      <c r="T11" s="770" t="s">
        <v>21</v>
      </c>
      <c r="U11" s="771" t="e">
        <f t="shared" si="1"/>
        <v>#N/A</v>
      </c>
      <c r="V11" s="770" t="s">
        <v>21</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06"/>
      <c r="Q12" s="1798">
        <f t="shared" si="6"/>
        <v>111</v>
      </c>
      <c r="R12" s="770" t="s">
        <v>21</v>
      </c>
      <c r="S12" s="771">
        <f t="shared" si="0"/>
        <v>100</v>
      </c>
      <c r="T12" s="770" t="s">
        <v>21</v>
      </c>
      <c r="U12" s="771">
        <f t="shared" si="1"/>
        <v>100</v>
      </c>
      <c r="V12" s="770" t="s">
        <v>21</v>
      </c>
      <c r="W12" s="771">
        <f t="shared" si="2"/>
        <v>100</v>
      </c>
      <c r="X12" s="772"/>
      <c r="Y12" s="303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06"/>
      <c r="Q13" s="1798">
        <f t="shared" si="6"/>
        <v>111</v>
      </c>
      <c r="R13" s="770" t="s">
        <v>21</v>
      </c>
      <c r="S13" s="771">
        <f t="shared" si="0"/>
        <v>100</v>
      </c>
      <c r="T13" s="770" t="s">
        <v>21</v>
      </c>
      <c r="U13" s="771">
        <f t="shared" si="1"/>
        <v>100</v>
      </c>
      <c r="V13" s="770" t="s">
        <v>21</v>
      </c>
      <c r="W13" s="771">
        <f t="shared" si="2"/>
        <v>100</v>
      </c>
      <c r="X13" s="772"/>
      <c r="Y13" s="303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06"/>
      <c r="Q14" s="1798">
        <f t="shared" si="6"/>
        <v>111</v>
      </c>
      <c r="R14" s="770" t="s">
        <v>21</v>
      </c>
      <c r="S14" s="771">
        <f t="shared" si="0"/>
        <v>100</v>
      </c>
      <c r="T14" s="770" t="s">
        <v>21</v>
      </c>
      <c r="U14" s="771">
        <f t="shared" si="1"/>
        <v>100</v>
      </c>
      <c r="V14" s="770" t="s">
        <v>21</v>
      </c>
      <c r="W14" s="771">
        <f t="shared" si="2"/>
        <v>100</v>
      </c>
      <c r="X14" s="772"/>
      <c r="Y14" s="3039"/>
      <c r="Z14" s="55">
        <f t="shared" si="7"/>
        <v>111</v>
      </c>
      <c r="AA14" s="773">
        <f t="shared" si="3"/>
        <v>1</v>
      </c>
      <c r="AB14" s="773">
        <f t="shared" si="4"/>
        <v>1</v>
      </c>
      <c r="AC14" s="773">
        <f t="shared" si="5"/>
        <v>1</v>
      </c>
    </row>
    <row r="15" spans="1:29" ht="99.75">
      <c r="A15" s="440" t="s">
        <v>2556</v>
      </c>
      <c r="B15" s="69" t="s">
        <v>2082</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3" t="s">
        <v>2557</v>
      </c>
      <c r="Q15" s="1813" t="str">
        <f t="shared" si="6"/>
        <v>居住社区成熟度</v>
      </c>
      <c r="R15" s="774" t="s">
        <v>21</v>
      </c>
      <c r="S15" s="775">
        <f t="shared" si="0"/>
        <v>100</v>
      </c>
      <c r="T15" s="774" t="s">
        <v>21</v>
      </c>
      <c r="U15" s="775">
        <f t="shared" si="1"/>
        <v>100</v>
      </c>
      <c r="V15" s="774" t="s">
        <v>21</v>
      </c>
      <c r="W15" s="775">
        <f t="shared" si="2"/>
        <v>100</v>
      </c>
      <c r="X15" s="1816"/>
      <c r="Y15" s="3226" t="s">
        <v>2557</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34"/>
      <c r="Q16" s="1813"/>
      <c r="R16" s="774"/>
      <c r="S16" s="775"/>
      <c r="T16" s="774"/>
      <c r="U16" s="775"/>
      <c r="V16" s="774"/>
      <c r="W16" s="775"/>
      <c r="X16" s="1816"/>
      <c r="Y16" s="3227"/>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4"/>
      <c r="Q17" s="1813" t="str">
        <f>B17</f>
        <v>交通便捷度</v>
      </c>
      <c r="R17" s="774" t="s">
        <v>21</v>
      </c>
      <c r="S17" s="775">
        <f>F17</f>
        <v>100</v>
      </c>
      <c r="T17" s="774" t="s">
        <v>21</v>
      </c>
      <c r="U17" s="775">
        <f>H17</f>
        <v>100</v>
      </c>
      <c r="V17" s="774" t="s">
        <v>21</v>
      </c>
      <c r="W17" s="775">
        <f>J17</f>
        <v>100</v>
      </c>
      <c r="X17" s="1816"/>
      <c r="Y17" s="3227"/>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34"/>
      <c r="Q18" s="1813"/>
      <c r="R18" s="774"/>
      <c r="S18" s="775"/>
      <c r="T18" s="774"/>
      <c r="U18" s="775"/>
      <c r="V18" s="774"/>
      <c r="W18" s="775"/>
      <c r="X18" s="1816"/>
      <c r="Y18" s="3227"/>
      <c r="Z18" s="1817"/>
      <c r="AA18" s="1814">
        <v>1</v>
      </c>
      <c r="AB18" s="1814">
        <v>1</v>
      </c>
      <c r="AC18" s="1814">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4"/>
      <c r="Q19" s="1813" t="str">
        <f>B19</f>
        <v>公共配套设施</v>
      </c>
      <c r="R19" s="774" t="s">
        <v>21</v>
      </c>
      <c r="S19" s="775">
        <f>F19</f>
        <v>100</v>
      </c>
      <c r="T19" s="774" t="s">
        <v>21</v>
      </c>
      <c r="U19" s="775">
        <f>H19</f>
        <v>100</v>
      </c>
      <c r="V19" s="774" t="s">
        <v>21</v>
      </c>
      <c r="W19" s="775">
        <f>J19</f>
        <v>100</v>
      </c>
      <c r="X19" s="1816"/>
      <c r="Y19" s="3227"/>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34"/>
      <c r="Q20" s="1813"/>
      <c r="R20" s="774"/>
      <c r="S20" s="775"/>
      <c r="T20" s="774"/>
      <c r="U20" s="775"/>
      <c r="V20" s="774"/>
      <c r="W20" s="775"/>
      <c r="X20" s="1816"/>
      <c r="Y20" s="3227"/>
      <c r="Z20" s="1817"/>
      <c r="AA20" s="1814">
        <v>1</v>
      </c>
      <c r="AB20" s="1814">
        <v>1</v>
      </c>
      <c r="AC20" s="1814">
        <v>1</v>
      </c>
    </row>
    <row r="21" spans="1:29" ht="28.5">
      <c r="A21" s="428"/>
      <c r="B21" s="1387"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4"/>
      <c r="Q21" s="1813" t="str">
        <f>B21</f>
        <v>基础设施水平</v>
      </c>
      <c r="R21" s="774" t="s">
        <v>17</v>
      </c>
      <c r="S21" s="775">
        <f>F21</f>
        <v>100</v>
      </c>
      <c r="T21" s="774" t="s">
        <v>17</v>
      </c>
      <c r="U21" s="775">
        <f>H21</f>
        <v>100</v>
      </c>
      <c r="V21" s="774" t="s">
        <v>17</v>
      </c>
      <c r="W21" s="775">
        <f>J21</f>
        <v>100</v>
      </c>
      <c r="X21" s="1816"/>
      <c r="Y21" s="322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34"/>
      <c r="Q22" s="1813"/>
      <c r="R22" s="774"/>
      <c r="S22" s="775"/>
      <c r="T22" s="774"/>
      <c r="U22" s="775"/>
      <c r="V22" s="774"/>
      <c r="W22" s="775"/>
      <c r="X22" s="1816"/>
      <c r="Y22" s="3227"/>
      <c r="Z22" s="1817"/>
      <c r="AA22" s="1814">
        <v>1</v>
      </c>
      <c r="AB22" s="1814">
        <v>1</v>
      </c>
      <c r="AC22" s="1814">
        <v>1</v>
      </c>
    </row>
    <row r="23" spans="1:29" ht="57">
      <c r="A23" s="428"/>
      <c r="B23" s="451" t="s">
        <v>2099</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4"/>
      <c r="Q23" s="1813" t="str">
        <f>B23</f>
        <v>自然及人文环境</v>
      </c>
      <c r="R23" s="774" t="s">
        <v>21</v>
      </c>
      <c r="S23" s="775">
        <f>F23</f>
        <v>100</v>
      </c>
      <c r="T23" s="774" t="s">
        <v>21</v>
      </c>
      <c r="U23" s="775">
        <f>H23</f>
        <v>100</v>
      </c>
      <c r="V23" s="774" t="s">
        <v>21</v>
      </c>
      <c r="W23" s="775">
        <f>J23</f>
        <v>100</v>
      </c>
      <c r="X23" s="1816"/>
      <c r="Y23" s="3227"/>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34"/>
      <c r="Q24" s="1813"/>
      <c r="R24" s="774"/>
      <c r="S24" s="775"/>
      <c r="T24" s="774"/>
      <c r="U24" s="775"/>
      <c r="V24" s="774"/>
      <c r="W24" s="775"/>
      <c r="X24" s="1816"/>
      <c r="Y24" s="3227"/>
      <c r="Z24" s="1817"/>
      <c r="AA24" s="1814">
        <v>1</v>
      </c>
      <c r="AB24" s="1814">
        <v>1</v>
      </c>
      <c r="AC24" s="1814">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3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7"/>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34"/>
      <c r="Q26" s="1813" t="str">
        <f t="shared" si="11"/>
        <v>朝向</v>
      </c>
      <c r="R26" s="774" t="s">
        <v>21</v>
      </c>
      <c r="S26" s="775">
        <f t="shared" si="12"/>
        <v>100</v>
      </c>
      <c r="T26" s="774" t="s">
        <v>21</v>
      </c>
      <c r="U26" s="775">
        <f t="shared" si="13"/>
        <v>100</v>
      </c>
      <c r="V26" s="774" t="s">
        <v>21</v>
      </c>
      <c r="W26" s="775">
        <f t="shared" si="14"/>
        <v>100</v>
      </c>
      <c r="X26" s="1816"/>
      <c r="Y26" s="322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34"/>
      <c r="Q27" s="1798">
        <f t="shared" si="11"/>
        <v>111</v>
      </c>
      <c r="R27" s="770" t="s">
        <v>21</v>
      </c>
      <c r="S27" s="771">
        <f t="shared" si="12"/>
        <v>100</v>
      </c>
      <c r="T27" s="770" t="s">
        <v>21</v>
      </c>
      <c r="U27" s="771">
        <f t="shared" si="13"/>
        <v>100</v>
      </c>
      <c r="V27" s="770" t="s">
        <v>21</v>
      </c>
      <c r="W27" s="771">
        <f t="shared" si="14"/>
        <v>100</v>
      </c>
      <c r="X27" s="772"/>
      <c r="Y27" s="322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34"/>
      <c r="Q28" s="1813">
        <f t="shared" si="11"/>
        <v>111</v>
      </c>
      <c r="R28" s="774" t="s">
        <v>21</v>
      </c>
      <c r="S28" s="775">
        <f t="shared" si="12"/>
        <v>100</v>
      </c>
      <c r="T28" s="774" t="s">
        <v>21</v>
      </c>
      <c r="U28" s="775">
        <f t="shared" si="13"/>
        <v>100</v>
      </c>
      <c r="V28" s="774" t="s">
        <v>21</v>
      </c>
      <c r="W28" s="775">
        <f t="shared" si="14"/>
        <v>100</v>
      </c>
      <c r="X28" s="1816"/>
      <c r="Y28" s="322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34"/>
      <c r="Q29" s="1813">
        <f t="shared" si="11"/>
        <v>111</v>
      </c>
      <c r="R29" s="774" t="s">
        <v>21</v>
      </c>
      <c r="S29" s="775">
        <f t="shared" si="12"/>
        <v>100</v>
      </c>
      <c r="T29" s="774" t="s">
        <v>21</v>
      </c>
      <c r="U29" s="775">
        <f t="shared" si="13"/>
        <v>100</v>
      </c>
      <c r="V29" s="774" t="s">
        <v>21</v>
      </c>
      <c r="W29" s="775">
        <f t="shared" si="14"/>
        <v>100</v>
      </c>
      <c r="X29" s="1816"/>
      <c r="Y29" s="322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34"/>
      <c r="Q30" s="1813">
        <f t="shared" si="11"/>
        <v>111</v>
      </c>
      <c r="R30" s="774" t="s">
        <v>21</v>
      </c>
      <c r="S30" s="775">
        <f t="shared" si="12"/>
        <v>100</v>
      </c>
      <c r="T30" s="774" t="s">
        <v>21</v>
      </c>
      <c r="U30" s="775">
        <f t="shared" si="13"/>
        <v>100</v>
      </c>
      <c r="V30" s="774" t="s">
        <v>21</v>
      </c>
      <c r="W30" s="775">
        <f t="shared" si="14"/>
        <v>100</v>
      </c>
      <c r="X30" s="1816"/>
      <c r="Y30" s="322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34"/>
      <c r="Q31" s="1813">
        <f t="shared" si="11"/>
        <v>111</v>
      </c>
      <c r="R31" s="774" t="s">
        <v>21</v>
      </c>
      <c r="S31" s="775">
        <f t="shared" si="12"/>
        <v>100</v>
      </c>
      <c r="T31" s="774" t="s">
        <v>21</v>
      </c>
      <c r="U31" s="775">
        <f t="shared" si="13"/>
        <v>100</v>
      </c>
      <c r="V31" s="774" t="s">
        <v>21</v>
      </c>
      <c r="W31" s="775">
        <f t="shared" si="14"/>
        <v>100</v>
      </c>
      <c r="X31" s="1816"/>
      <c r="Y31" s="3227"/>
      <c r="Z31" s="1817">
        <f t="shared" si="18"/>
        <v>111</v>
      </c>
      <c r="AA31" s="1814">
        <f t="shared" si="15"/>
        <v>1</v>
      </c>
      <c r="AB31" s="1814">
        <f t="shared" si="16"/>
        <v>1</v>
      </c>
      <c r="AC31" s="1814">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28" t="s">
        <v>2562</v>
      </c>
      <c r="Q32" s="1813" t="str">
        <f t="shared" si="11"/>
        <v>建筑类型</v>
      </c>
      <c r="R32" s="774" t="s">
        <v>21</v>
      </c>
      <c r="S32" s="775">
        <f t="shared" si="12"/>
        <v>100</v>
      </c>
      <c r="T32" s="774" t="s">
        <v>21</v>
      </c>
      <c r="U32" s="775">
        <f t="shared" si="13"/>
        <v>100</v>
      </c>
      <c r="V32" s="774" t="s">
        <v>21</v>
      </c>
      <c r="W32" s="775">
        <f t="shared" si="14"/>
        <v>100</v>
      </c>
      <c r="X32" s="1816"/>
      <c r="Y32" s="3231"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29"/>
      <c r="Q33" s="776" t="str">
        <f t="shared" si="11"/>
        <v>项目建筑规模</v>
      </c>
      <c r="R33" s="777" t="s">
        <v>21</v>
      </c>
      <c r="S33" s="778" t="e">
        <f t="shared" si="12"/>
        <v>#N/A</v>
      </c>
      <c r="T33" s="777" t="s">
        <v>21</v>
      </c>
      <c r="U33" s="778" t="e">
        <f t="shared" si="13"/>
        <v>#N/A</v>
      </c>
      <c r="V33" s="777" t="s">
        <v>21</v>
      </c>
      <c r="W33" s="778" t="e">
        <f t="shared" si="14"/>
        <v>#N/A</v>
      </c>
      <c r="X33" s="779"/>
      <c r="Y33" s="3231"/>
      <c r="Z33" s="780" t="str">
        <f t="shared" si="18"/>
        <v>项目建筑规模</v>
      </c>
      <c r="AA33" s="1814" t="e">
        <f t="shared" si="15"/>
        <v>#N/A</v>
      </c>
      <c r="AB33" s="1814" t="e">
        <f t="shared" si="16"/>
        <v>#N/A</v>
      </c>
      <c r="AC33" s="1814"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29"/>
      <c r="Q34" s="1813" t="str">
        <f t="shared" si="11"/>
        <v>建筑结构</v>
      </c>
      <c r="R34" s="774" t="s">
        <v>21</v>
      </c>
      <c r="S34" s="775">
        <f t="shared" si="12"/>
        <v>100</v>
      </c>
      <c r="T34" s="774" t="s">
        <v>21</v>
      </c>
      <c r="U34" s="775">
        <f t="shared" si="13"/>
        <v>100</v>
      </c>
      <c r="V34" s="774" t="s">
        <v>21</v>
      </c>
      <c r="W34" s="775">
        <f t="shared" si="14"/>
        <v>100</v>
      </c>
      <c r="X34" s="1816"/>
      <c r="Y34" s="3231"/>
      <c r="Z34" s="1817" t="str">
        <f t="shared" si="18"/>
        <v>建筑结构</v>
      </c>
      <c r="AA34" s="1814">
        <f t="shared" si="15"/>
        <v>1</v>
      </c>
      <c r="AB34" s="1814">
        <f t="shared" si="16"/>
        <v>1</v>
      </c>
      <c r="AC34" s="1814">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29"/>
      <c r="Q35" s="1813" t="str">
        <f t="shared" si="11"/>
        <v>建筑品质</v>
      </c>
      <c r="R35" s="774" t="s">
        <v>21</v>
      </c>
      <c r="S35" s="775">
        <f t="shared" si="12"/>
        <v>100</v>
      </c>
      <c r="T35" s="774" t="s">
        <v>21</v>
      </c>
      <c r="U35" s="775">
        <f t="shared" si="13"/>
        <v>100</v>
      </c>
      <c r="V35" s="774" t="s">
        <v>21</v>
      </c>
      <c r="W35" s="775">
        <f t="shared" si="14"/>
        <v>100</v>
      </c>
      <c r="X35" s="1816"/>
      <c r="Y35" s="3231"/>
      <c r="Z35" s="1817" t="str">
        <f t="shared" si="18"/>
        <v>建筑品质</v>
      </c>
      <c r="AA35" s="1814">
        <f t="shared" si="15"/>
        <v>1</v>
      </c>
      <c r="AB35" s="1814">
        <f t="shared" si="16"/>
        <v>1</v>
      </c>
      <c r="AC35" s="1814">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29"/>
      <c r="Q36" s="1813" t="str">
        <f t="shared" si="11"/>
        <v>公共部分装修</v>
      </c>
      <c r="R36" s="774" t="s">
        <v>21</v>
      </c>
      <c r="S36" s="775">
        <f t="shared" si="12"/>
        <v>100</v>
      </c>
      <c r="T36" s="774" t="s">
        <v>21</v>
      </c>
      <c r="U36" s="775">
        <f t="shared" si="13"/>
        <v>100</v>
      </c>
      <c r="V36" s="774" t="s">
        <v>21</v>
      </c>
      <c r="W36" s="775">
        <f t="shared" si="14"/>
        <v>100</v>
      </c>
      <c r="X36" s="1816"/>
      <c r="Y36" s="3231"/>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9"/>
      <c r="Q37" s="1798" t="str">
        <f t="shared" si="11"/>
        <v>成新度</v>
      </c>
      <c r="R37" s="770" t="s">
        <v>21</v>
      </c>
      <c r="S37" s="771" t="e">
        <f t="shared" si="12"/>
        <v>#N/A</v>
      </c>
      <c r="T37" s="770" t="s">
        <v>21</v>
      </c>
      <c r="U37" s="771" t="e">
        <f t="shared" si="13"/>
        <v>#N/A</v>
      </c>
      <c r="V37" s="770" t="s">
        <v>21</v>
      </c>
      <c r="W37" s="771" t="e">
        <f t="shared" si="14"/>
        <v>#N/A</v>
      </c>
      <c r="X37" s="772"/>
      <c r="Y37" s="3231"/>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29" t="s">
        <v>2562</v>
      </c>
      <c r="Q38" s="1813" t="str">
        <f t="shared" si="11"/>
        <v>物业管理</v>
      </c>
      <c r="R38" s="774" t="s">
        <v>21</v>
      </c>
      <c r="S38" s="775">
        <f t="shared" si="12"/>
        <v>100</v>
      </c>
      <c r="T38" s="774" t="s">
        <v>21</v>
      </c>
      <c r="U38" s="775">
        <f t="shared" si="13"/>
        <v>100</v>
      </c>
      <c r="V38" s="774" t="s">
        <v>21</v>
      </c>
      <c r="W38" s="775">
        <f t="shared" si="14"/>
        <v>100</v>
      </c>
      <c r="X38" s="1816"/>
      <c r="Y38" s="3231" t="s">
        <v>2562</v>
      </c>
      <c r="Z38" s="1817" t="str">
        <f t="shared" si="18"/>
        <v>物业管理</v>
      </c>
      <c r="AA38" s="1814">
        <f t="shared" si="15"/>
        <v>1</v>
      </c>
      <c r="AB38" s="1814">
        <f t="shared" si="16"/>
        <v>1</v>
      </c>
      <c r="AC38" s="1814">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29"/>
      <c r="Q39" s="1813" t="str">
        <f t="shared" si="11"/>
        <v>市政基础设施</v>
      </c>
      <c r="R39" s="774" t="s">
        <v>21</v>
      </c>
      <c r="S39" s="775">
        <f t="shared" si="12"/>
        <v>100</v>
      </c>
      <c r="T39" s="774" t="s">
        <v>21</v>
      </c>
      <c r="U39" s="775">
        <f t="shared" si="13"/>
        <v>100</v>
      </c>
      <c r="V39" s="774" t="s">
        <v>21</v>
      </c>
      <c r="W39" s="775">
        <f t="shared" si="14"/>
        <v>100</v>
      </c>
      <c r="X39" s="1816"/>
      <c r="Y39" s="3231"/>
      <c r="Z39" s="1817" t="str">
        <f t="shared" si="18"/>
        <v>市政基础设施</v>
      </c>
      <c r="AA39" s="1814">
        <f t="shared" si="15"/>
        <v>1</v>
      </c>
      <c r="AB39" s="1814">
        <f t="shared" si="16"/>
        <v>1</v>
      </c>
      <c r="AC39" s="1814">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29"/>
      <c r="Q40" s="1813" t="str">
        <f t="shared" si="11"/>
        <v>房型</v>
      </c>
      <c r="R40" s="774" t="s">
        <v>21</v>
      </c>
      <c r="S40" s="775">
        <f t="shared" si="12"/>
        <v>100</v>
      </c>
      <c r="T40" s="774" t="s">
        <v>21</v>
      </c>
      <c r="U40" s="775">
        <f t="shared" si="13"/>
        <v>100</v>
      </c>
      <c r="V40" s="774" t="s">
        <v>21</v>
      </c>
      <c r="W40" s="775">
        <f t="shared" si="14"/>
        <v>100</v>
      </c>
      <c r="X40" s="1816"/>
      <c r="Y40" s="3231"/>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29"/>
      <c r="Q41" s="776" t="str">
        <f t="shared" si="11"/>
        <v>单套/主力户型建筑面积</v>
      </c>
      <c r="R41" s="777" t="s">
        <v>21</v>
      </c>
      <c r="S41" s="778">
        <f t="shared" si="12"/>
        <v>100</v>
      </c>
      <c r="T41" s="777" t="s">
        <v>21</v>
      </c>
      <c r="U41" s="778">
        <f t="shared" si="13"/>
        <v>100</v>
      </c>
      <c r="V41" s="777" t="s">
        <v>21</v>
      </c>
      <c r="W41" s="778">
        <f t="shared" si="14"/>
        <v>100</v>
      </c>
      <c r="X41" s="779"/>
      <c r="Y41" s="3231"/>
      <c r="Z41" s="780" t="str">
        <f t="shared" si="18"/>
        <v>单套/主力户型建筑面积</v>
      </c>
      <c r="AA41" s="1814">
        <f t="shared" si="15"/>
        <v>1</v>
      </c>
      <c r="AB41" s="1814">
        <f t="shared" si="16"/>
        <v>1</v>
      </c>
      <c r="AC41" s="1814">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29"/>
      <c r="Q42" s="1813" t="str">
        <f t="shared" si="11"/>
        <v>内部装修</v>
      </c>
      <c r="R42" s="774" t="s">
        <v>21</v>
      </c>
      <c r="S42" s="775">
        <f t="shared" si="12"/>
        <v>100</v>
      </c>
      <c r="T42" s="774" t="s">
        <v>21</v>
      </c>
      <c r="U42" s="775">
        <f t="shared" si="13"/>
        <v>100</v>
      </c>
      <c r="V42" s="774" t="s">
        <v>21</v>
      </c>
      <c r="W42" s="775">
        <f t="shared" si="14"/>
        <v>100</v>
      </c>
      <c r="X42" s="1816"/>
      <c r="Y42" s="3231"/>
      <c r="Z42" s="1817" t="str">
        <f t="shared" si="18"/>
        <v>内部装修</v>
      </c>
      <c r="AA42" s="1814">
        <f t="shared" si="15"/>
        <v>1</v>
      </c>
      <c r="AB42" s="1814">
        <f t="shared" si="16"/>
        <v>1</v>
      </c>
      <c r="AC42" s="1814">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29"/>
      <c r="Q43" s="1813" t="str">
        <f t="shared" si="11"/>
        <v>内部装修维护情况</v>
      </c>
      <c r="R43" s="774" t="s">
        <v>21</v>
      </c>
      <c r="S43" s="775">
        <f t="shared" si="12"/>
        <v>100</v>
      </c>
      <c r="T43" s="774" t="s">
        <v>21</v>
      </c>
      <c r="U43" s="775">
        <f t="shared" si="13"/>
        <v>100</v>
      </c>
      <c r="V43" s="774" t="s">
        <v>21</v>
      </c>
      <c r="W43" s="775">
        <f t="shared" si="14"/>
        <v>100</v>
      </c>
      <c r="X43" s="1816"/>
      <c r="Y43" s="323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29"/>
      <c r="Q44" s="1798">
        <f t="shared" si="11"/>
        <v>111</v>
      </c>
      <c r="R44" s="770" t="s">
        <v>21</v>
      </c>
      <c r="S44" s="771">
        <f t="shared" si="12"/>
        <v>100</v>
      </c>
      <c r="T44" s="770" t="s">
        <v>21</v>
      </c>
      <c r="U44" s="771">
        <f t="shared" si="13"/>
        <v>100</v>
      </c>
      <c r="V44" s="770" t="s">
        <v>21</v>
      </c>
      <c r="W44" s="771">
        <f t="shared" si="14"/>
        <v>100</v>
      </c>
      <c r="X44" s="772"/>
      <c r="Y44" s="323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29"/>
      <c r="Q45" s="1813">
        <f t="shared" si="11"/>
        <v>111</v>
      </c>
      <c r="R45" s="774" t="s">
        <v>21</v>
      </c>
      <c r="S45" s="775">
        <f t="shared" si="12"/>
        <v>100</v>
      </c>
      <c r="T45" s="774" t="s">
        <v>21</v>
      </c>
      <c r="U45" s="775">
        <f t="shared" si="13"/>
        <v>100</v>
      </c>
      <c r="V45" s="774" t="s">
        <v>21</v>
      </c>
      <c r="W45" s="775">
        <f t="shared" si="14"/>
        <v>100</v>
      </c>
      <c r="X45" s="1816"/>
      <c r="Y45" s="3231"/>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30"/>
      <c r="Q46" s="1813">
        <f t="shared" si="11"/>
        <v>111</v>
      </c>
      <c r="R46" s="774" t="s">
        <v>20</v>
      </c>
      <c r="S46" s="775">
        <f t="shared" si="12"/>
        <v>100</v>
      </c>
      <c r="T46" s="774" t="s">
        <v>20</v>
      </c>
      <c r="U46" s="775">
        <f t="shared" si="13"/>
        <v>100</v>
      </c>
      <c r="V46" s="774" t="s">
        <v>20</v>
      </c>
      <c r="W46" s="775">
        <f t="shared" si="14"/>
        <v>100</v>
      </c>
      <c r="X46" s="1816"/>
      <c r="Y46" s="3232"/>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3"/>
      <c r="L47" s="1146"/>
      <c r="M47" s="1147"/>
      <c r="N47" s="1134"/>
      <c r="O47" s="1147"/>
      <c r="P47" s="3224" t="str">
        <f>A47</f>
        <v>成交单价（元/平方米）</v>
      </c>
      <c r="Q47" s="3224"/>
      <c r="R47" s="3225">
        <f>E47</f>
        <v>0</v>
      </c>
      <c r="S47" s="3225"/>
      <c r="T47" s="3225">
        <f>G47</f>
        <v>0</v>
      </c>
      <c r="U47" s="3225"/>
      <c r="V47" s="3225">
        <f>I47</f>
        <v>0</v>
      </c>
      <c r="W47" s="3225"/>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4"/>
      <c r="L48" s="1146"/>
      <c r="M48" s="1147"/>
      <c r="N48" s="1147"/>
      <c r="O48" s="1147"/>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5"/>
      <c r="L49" s="1146"/>
      <c r="M49" s="1147"/>
      <c r="N49" s="1147"/>
      <c r="O49" s="1147"/>
      <c r="P49" s="3221" t="str">
        <f>A49</f>
        <v>估价对象XX用房的比较价值（楼面单价，元/平方米）</v>
      </c>
      <c r="Q49" s="3222"/>
      <c r="R49" s="3223" t="e">
        <f>IF(F1="售价",ROUND(AVERAGE(R48:V48),0),ROUND(AVERAGE(R48:V48),1))</f>
        <v>#DIV/0!</v>
      </c>
      <c r="S49" s="3223"/>
      <c r="T49" s="3223"/>
      <c r="U49" s="3223"/>
      <c r="V49" s="3223"/>
      <c r="W49" s="322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8"/>
      <c r="Q57" s="504"/>
    </row>
    <row r="58" spans="1:29" s="508" customFormat="1" ht="15">
      <c r="A58" s="505" t="s">
        <v>2581</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2608</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2560</v>
      </c>
      <c r="B100" s="528" t="s">
        <v>2609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7">
        <v>6</v>
      </c>
      <c r="C139" s="1088">
        <v>96</v>
      </c>
      <c r="D139" s="2650" t="s">
        <v>2628</v>
      </c>
      <c r="E139" s="1089">
        <v>100</v>
      </c>
      <c r="F139" s="1090">
        <v>102.5</v>
      </c>
      <c r="G139" s="2650" t="s">
        <v>2628</v>
      </c>
      <c r="H139" s="1091">
        <v>105</v>
      </c>
      <c r="I139" s="2651" t="s">
        <v>2629</v>
      </c>
      <c r="J139" s="1088">
        <v>20</v>
      </c>
      <c r="K139" s="1092">
        <f>C145/(J139-2)</f>
        <v>4.0555555555555553E-3</v>
      </c>
    </row>
    <row r="140" spans="1:17" ht="15">
      <c r="B140" s="1093">
        <v>5</v>
      </c>
      <c r="C140" s="1094">
        <v>100</v>
      </c>
      <c r="D140" s="1094"/>
      <c r="E140" s="1095"/>
      <c r="F140" s="1096">
        <v>102</v>
      </c>
      <c r="G140" s="1094"/>
      <c r="H140" s="1097"/>
      <c r="I140" s="2652" t="s">
        <v>2630</v>
      </c>
      <c r="J140" s="315">
        <f>ROUNDUP((J139-1)/2,0)</f>
        <v>10</v>
      </c>
      <c r="K140" s="1098">
        <v>100</v>
      </c>
    </row>
    <row r="141" spans="1:17" ht="15">
      <c r="B141" s="1093">
        <v>4</v>
      </c>
      <c r="C141" s="1094">
        <v>102</v>
      </c>
      <c r="D141" s="1094"/>
      <c r="E141" s="1095"/>
      <c r="F141" s="1096">
        <v>101.5</v>
      </c>
      <c r="G141" s="1094"/>
      <c r="H141" s="1097"/>
      <c r="I141" s="2652" t="s">
        <v>2631</v>
      </c>
      <c r="J141" s="315">
        <v>1</v>
      </c>
      <c r="K141" s="1099">
        <f>ROUND(100+(J141-J140)*K139*100,1)</f>
        <v>96.4</v>
      </c>
    </row>
    <row r="142" spans="1:17" ht="15">
      <c r="B142" s="1093">
        <v>3</v>
      </c>
      <c r="C142" s="1094">
        <v>103</v>
      </c>
      <c r="D142" s="1094"/>
      <c r="E142" s="1095"/>
      <c r="F142" s="1096">
        <v>101</v>
      </c>
      <c r="G142" s="1094"/>
      <c r="H142" s="1097"/>
      <c r="I142" s="2652" t="s">
        <v>2632</v>
      </c>
      <c r="J142" s="315">
        <f>J139</f>
        <v>20</v>
      </c>
      <c r="K142" s="1100">
        <v>95</v>
      </c>
    </row>
    <row r="143" spans="1:17" ht="15">
      <c r="B143" s="1093">
        <v>2</v>
      </c>
      <c r="C143" s="1094">
        <v>100</v>
      </c>
      <c r="D143" s="1094"/>
      <c r="E143" s="1095"/>
      <c r="F143" s="1096">
        <v>100.5</v>
      </c>
      <c r="G143" s="1094"/>
      <c r="H143" s="1097"/>
      <c r="I143" s="2652" t="s">
        <v>2633</v>
      </c>
      <c r="J143" s="1094">
        <v>15</v>
      </c>
      <c r="K143" s="1099">
        <f>ROUND(100+(J143-J140)*K139*100,1)</f>
        <v>102</v>
      </c>
    </row>
    <row r="144" spans="1:17" ht="15">
      <c r="B144" s="1093">
        <v>1</v>
      </c>
      <c r="C144" s="1094">
        <v>98</v>
      </c>
      <c r="D144" s="2653" t="s">
        <v>2634</v>
      </c>
      <c r="E144" s="1095">
        <v>102</v>
      </c>
      <c r="F144" s="1101">
        <v>100</v>
      </c>
      <c r="G144" s="2653" t="s">
        <v>2634</v>
      </c>
      <c r="H144" s="1097">
        <v>105</v>
      </c>
      <c r="I144" s="2652" t="s">
        <v>2633</v>
      </c>
      <c r="J144" s="1094">
        <v>18</v>
      </c>
      <c r="K144" s="1099">
        <f>ROUND(100+(J144-J140)*K139*100,1)</f>
        <v>103.2</v>
      </c>
    </row>
    <row r="145" spans="2:11" ht="15.75" thickBot="1">
      <c r="B145" s="2654" t="s">
        <v>2635</v>
      </c>
      <c r="C145" s="1102">
        <f>ROUND(MAX(C139:C144)/MIN(C139:C144)-1,3)</f>
        <v>7.2999999999999995E-2</v>
      </c>
      <c r="D145" s="1103"/>
      <c r="E145" s="1103"/>
      <c r="F145" s="2655" t="s">
        <v>2636</v>
      </c>
      <c r="G145" s="2656"/>
      <c r="H145" s="2657"/>
      <c r="I145" s="2658" t="s">
        <v>2633</v>
      </c>
      <c r="J145" s="1104">
        <v>8</v>
      </c>
      <c r="K145" s="1105">
        <f>ROUND(100+(J145-J140)*K139*100,1)</f>
        <v>99.2</v>
      </c>
    </row>
    <row r="147" spans="2:11">
      <c r="B147" s="2639" t="s">
        <v>2637</v>
      </c>
    </row>
    <row r="148" spans="2:11">
      <c r="B148" s="2639"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2639</v>
      </c>
      <c r="C1" s="1637" t="s">
        <v>2527</v>
      </c>
      <c r="D1" s="1624"/>
      <c r="E1" s="2659"/>
      <c r="F1" s="2586"/>
      <c r="G1" s="1634" t="s">
        <v>2640</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2324</v>
      </c>
      <c r="B2" s="1421" t="e">
        <f ca="1">IF(C2="——",ROUND(C49*D3/10000,0),ROUND(C49*D3/10000,0)-D2)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2326</v>
      </c>
      <c r="B3" s="609" t="e">
        <f ca="1">IF(C2="——",C49,ROUND(B2*10000/D3,0))</f>
        <v>#DIV/0!</v>
      </c>
      <c r="C3" s="400" t="s">
        <v>2641</v>
      </c>
      <c r="D3" s="399">
        <f>IF(D1="",'数据-汇总表'!E3,SUMIF('数据-汇总表'!$C19:$C33,D1,'数据-汇总表'!$E19:$E33))</f>
        <v>96955.040000000008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2642</v>
      </c>
      <c r="B4" s="402"/>
      <c r="C4" s="3207" t="s">
        <v>2643</v>
      </c>
      <c r="D4" s="3208"/>
      <c r="E4" s="3209" t="s">
        <v>2644</v>
      </c>
      <c r="F4" s="3210"/>
      <c r="G4" s="3207" t="s">
        <v>2645</v>
      </c>
      <c r="H4" s="3208"/>
      <c r="I4" s="3207" t="s">
        <v>2646</v>
      </c>
      <c r="J4" s="3208"/>
      <c r="K4" s="610" t="s">
        <v>2647</v>
      </c>
      <c r="L4" s="1133"/>
      <c r="M4" s="1134"/>
      <c r="N4" s="1134"/>
      <c r="O4" s="1134"/>
      <c r="P4" s="3211" t="s">
        <v>2648</v>
      </c>
      <c r="Q4" s="3212"/>
      <c r="R4" s="3194" t="s">
        <v>2644</v>
      </c>
      <c r="S4" s="3195"/>
      <c r="T4" s="3194" t="s">
        <v>2645</v>
      </c>
      <c r="U4" s="3195"/>
      <c r="V4" s="3219" t="s">
        <v>2646</v>
      </c>
      <c r="W4" s="3219"/>
      <c r="X4" s="1816"/>
      <c r="Y4" s="3194" t="s">
        <v>2648</v>
      </c>
      <c r="Z4" s="3195"/>
      <c r="AA4" s="3189" t="s">
        <v>2644</v>
      </c>
      <c r="AB4" s="3219" t="s">
        <v>2645</v>
      </c>
      <c r="AC4" s="3189" t="s">
        <v>2646</v>
      </c>
    </row>
    <row r="5" spans="1:29" ht="15">
      <c r="A5" s="404"/>
      <c r="B5" s="405"/>
      <c r="C5" s="3200" t="s">
        <v>2539</v>
      </c>
      <c r="D5" s="3201"/>
      <c r="E5" s="3198" t="s">
        <v>2540</v>
      </c>
      <c r="F5" s="3199"/>
      <c r="G5" s="3200" t="s">
        <v>2541</v>
      </c>
      <c r="H5" s="3201"/>
      <c r="I5" s="3200" t="s">
        <v>2542</v>
      </c>
      <c r="J5" s="3201"/>
      <c r="K5" s="610"/>
      <c r="L5" s="1133"/>
      <c r="M5" s="1134"/>
      <c r="N5" s="1134"/>
      <c r="O5" s="1134"/>
      <c r="P5" s="3213"/>
      <c r="Q5" s="3214"/>
      <c r="R5" s="3196"/>
      <c r="S5" s="3197"/>
      <c r="T5" s="3196"/>
      <c r="U5" s="3197"/>
      <c r="V5" s="3219"/>
      <c r="W5" s="3219"/>
      <c r="X5" s="1816"/>
      <c r="Y5" s="3196"/>
      <c r="Z5" s="3197"/>
      <c r="AA5" s="3190"/>
      <c r="AB5" s="3219"/>
      <c r="AC5" s="3190"/>
    </row>
    <row r="6" spans="1:29" ht="15.75" thickBot="1">
      <c r="A6" s="406"/>
      <c r="B6" s="407"/>
      <c r="C6" s="3202" t="s">
        <v>2543</v>
      </c>
      <c r="D6" s="3203"/>
      <c r="E6" s="3204" t="s">
        <v>2543</v>
      </c>
      <c r="F6" s="3205"/>
      <c r="G6" s="3202" t="s">
        <v>2543</v>
      </c>
      <c r="H6" s="3203"/>
      <c r="I6" s="3202" t="s">
        <v>2543</v>
      </c>
      <c r="J6" s="3203"/>
      <c r="K6" s="610" t="s">
        <v>2544</v>
      </c>
      <c r="L6" s="1133"/>
      <c r="M6" s="1134"/>
      <c r="N6" s="1134"/>
      <c r="O6" s="1134"/>
      <c r="P6" s="3215"/>
      <c r="Q6" s="3216"/>
      <c r="R6" s="3196"/>
      <c r="S6" s="3197"/>
      <c r="T6" s="3217"/>
      <c r="U6" s="3218"/>
      <c r="V6" s="3219"/>
      <c r="W6" s="3219"/>
      <c r="X6" s="1816"/>
      <c r="Y6" s="3217"/>
      <c r="Z6" s="3218"/>
      <c r="AA6" s="3191"/>
      <c r="AB6" s="3219"/>
      <c r="AC6" s="3191"/>
    </row>
    <row r="7" spans="1:29" s="117" customFormat="1" ht="15.75" thickBot="1">
      <c r="A7" s="408" t="s">
        <v>2545</v>
      </c>
      <c r="B7" s="409"/>
      <c r="C7" s="410">
        <f>'数据-取费表'!B2</f>
        <v>43536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2" t="s">
        <v>2546</v>
      </c>
      <c r="Q7" s="3220"/>
      <c r="R7" s="770" t="s">
        <v>17</v>
      </c>
      <c r="S7" s="771">
        <f t="shared" ref="S7:S15" si="0">F7</f>
        <v>0</v>
      </c>
      <c r="T7" s="770" t="s">
        <v>17</v>
      </c>
      <c r="U7" s="771">
        <f t="shared" ref="U7:U15" si="1">H7</f>
        <v>0</v>
      </c>
      <c r="V7" s="770" t="s">
        <v>17</v>
      </c>
      <c r="W7" s="771">
        <f t="shared" ref="W7:W15" si="2">J7</f>
        <v>0</v>
      </c>
      <c r="X7" s="772"/>
      <c r="Y7" s="3192" t="s">
        <v>2546</v>
      </c>
      <c r="Z7" s="3193"/>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2" t="s">
        <v>2549</v>
      </c>
      <c r="Q8" s="3193"/>
      <c r="R8" s="770" t="s">
        <v>17</v>
      </c>
      <c r="S8" s="771">
        <f t="shared" si="0"/>
        <v>0</v>
      </c>
      <c r="T8" s="770" t="s">
        <v>17</v>
      </c>
      <c r="U8" s="771">
        <f t="shared" si="1"/>
        <v>0</v>
      </c>
      <c r="V8" s="770" t="s">
        <v>17</v>
      </c>
      <c r="W8" s="771">
        <f t="shared" si="2"/>
        <v>0</v>
      </c>
      <c r="X8" s="772"/>
      <c r="Y8" s="3192" t="s">
        <v>2549</v>
      </c>
      <c r="Z8" s="3193"/>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6" t="s">
        <v>2552</v>
      </c>
      <c r="Q9" s="1798"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6"/>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6"/>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6"/>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6"/>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6"/>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71.25">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3" t="s">
        <v>2557</v>
      </c>
      <c r="Q15" s="1813" t="str">
        <f t="shared" si="6"/>
        <v>商业繁华度</v>
      </c>
      <c r="R15" s="774" t="s">
        <v>17</v>
      </c>
      <c r="S15" s="775">
        <f t="shared" si="0"/>
        <v>100</v>
      </c>
      <c r="T15" s="774" t="s">
        <v>17</v>
      </c>
      <c r="U15" s="775">
        <f t="shared" si="1"/>
        <v>100</v>
      </c>
      <c r="V15" s="774" t="s">
        <v>17</v>
      </c>
      <c r="W15" s="775">
        <f t="shared" si="2"/>
        <v>100</v>
      </c>
      <c r="X15" s="1816"/>
      <c r="Y15" s="3226"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4"/>
      <c r="Q16" s="1813"/>
      <c r="R16" s="774"/>
      <c r="S16" s="775"/>
      <c r="T16" s="774"/>
      <c r="U16" s="775"/>
      <c r="V16" s="774"/>
      <c r="W16" s="775"/>
      <c r="X16" s="1816"/>
      <c r="Y16" s="3227"/>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4"/>
      <c r="Q17" s="1813" t="str">
        <f>B17</f>
        <v>交通便捷度</v>
      </c>
      <c r="R17" s="774" t="s">
        <v>17</v>
      </c>
      <c r="S17" s="775">
        <f>F17</f>
        <v>100</v>
      </c>
      <c r="T17" s="774" t="s">
        <v>17</v>
      </c>
      <c r="U17" s="775">
        <f>H17</f>
        <v>100</v>
      </c>
      <c r="V17" s="774" t="s">
        <v>17</v>
      </c>
      <c r="W17" s="775">
        <f>J17</f>
        <v>100</v>
      </c>
      <c r="X17" s="1816"/>
      <c r="Y17" s="322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34"/>
      <c r="Q18" s="1813"/>
      <c r="R18" s="774"/>
      <c r="S18" s="775"/>
      <c r="T18" s="774"/>
      <c r="U18" s="775"/>
      <c r="V18" s="774"/>
      <c r="W18" s="775"/>
      <c r="X18" s="1816"/>
      <c r="Y18" s="3227"/>
      <c r="Z18" s="1817"/>
      <c r="AA18" s="1814">
        <v>1</v>
      </c>
      <c r="AB18" s="1814">
        <v>1</v>
      </c>
      <c r="AC18" s="1814">
        <v>1</v>
      </c>
    </row>
    <row r="19" spans="1:29" ht="42.75">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4"/>
      <c r="Q19" s="1813" t="str">
        <f>B19</f>
        <v>公共配套设施</v>
      </c>
      <c r="R19" s="774" t="s">
        <v>17</v>
      </c>
      <c r="S19" s="775">
        <f>F19</f>
        <v>100</v>
      </c>
      <c r="T19" s="774" t="s">
        <v>17</v>
      </c>
      <c r="U19" s="775">
        <f>H19</f>
        <v>100</v>
      </c>
      <c r="V19" s="774" t="s">
        <v>17</v>
      </c>
      <c r="W19" s="775">
        <f>J19</f>
        <v>100</v>
      </c>
      <c r="X19" s="1816"/>
      <c r="Y19" s="322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34"/>
      <c r="Q20" s="1813"/>
      <c r="R20" s="774"/>
      <c r="S20" s="775"/>
      <c r="T20" s="774"/>
      <c r="U20" s="775"/>
      <c r="V20" s="774"/>
      <c r="W20" s="775"/>
      <c r="X20" s="1816"/>
      <c r="Y20" s="3227"/>
      <c r="Z20" s="1817"/>
      <c r="AA20" s="1814">
        <v>1</v>
      </c>
      <c r="AB20" s="1814">
        <v>1</v>
      </c>
      <c r="AC20" s="1814">
        <v>1</v>
      </c>
    </row>
    <row r="21" spans="1:29" ht="28.5">
      <c r="A21" s="428"/>
      <c r="B21" s="1387"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4"/>
      <c r="Q21" s="1813" t="str">
        <f>B21</f>
        <v>基础设施水平</v>
      </c>
      <c r="R21" s="774" t="s">
        <v>17</v>
      </c>
      <c r="S21" s="775">
        <f>F21</f>
        <v>100</v>
      </c>
      <c r="T21" s="774" t="s">
        <v>17</v>
      </c>
      <c r="U21" s="775">
        <f>H21</f>
        <v>100</v>
      </c>
      <c r="V21" s="774" t="s">
        <v>17</v>
      </c>
      <c r="W21" s="775">
        <f>J21</f>
        <v>100</v>
      </c>
      <c r="X21" s="1816"/>
      <c r="Y21" s="322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34"/>
      <c r="Q22" s="1813"/>
      <c r="R22" s="774"/>
      <c r="S22" s="775"/>
      <c r="T22" s="774"/>
      <c r="U22" s="775"/>
      <c r="V22" s="774"/>
      <c r="W22" s="775"/>
      <c r="X22" s="1816"/>
      <c r="Y22" s="3227"/>
      <c r="Z22" s="1817"/>
      <c r="AA22" s="1814">
        <v>1</v>
      </c>
      <c r="AB22" s="1814">
        <v>1</v>
      </c>
      <c r="AC22" s="1814">
        <v>1</v>
      </c>
    </row>
    <row r="23" spans="1:29" ht="57">
      <c r="A23" s="428"/>
      <c r="B23" s="451" t="s">
        <v>2099</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4"/>
      <c r="Q23" s="1813" t="str">
        <f>B23</f>
        <v>自然及人文环境</v>
      </c>
      <c r="R23" s="774" t="s">
        <v>17</v>
      </c>
      <c r="S23" s="775">
        <f>F23</f>
        <v>100</v>
      </c>
      <c r="T23" s="774" t="s">
        <v>17</v>
      </c>
      <c r="U23" s="775">
        <f>H23</f>
        <v>100</v>
      </c>
      <c r="V23" s="774" t="s">
        <v>17</v>
      </c>
      <c r="W23" s="775">
        <f>J23</f>
        <v>100</v>
      </c>
      <c r="X23" s="1816"/>
      <c r="Y23" s="3227"/>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34"/>
      <c r="Q24" s="1813"/>
      <c r="R24" s="774"/>
      <c r="S24" s="775"/>
      <c r="T24" s="774"/>
      <c r="U24" s="775"/>
      <c r="V24" s="774"/>
      <c r="W24" s="775"/>
      <c r="X24" s="1816"/>
      <c r="Y24" s="3227"/>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4"/>
      <c r="Q25" s="1813" t="str">
        <f t="shared" ref="Q25:Q46" si="11">B25</f>
        <v>临街状况</v>
      </c>
      <c r="R25" s="774" t="s">
        <v>17</v>
      </c>
      <c r="S25" s="775">
        <f>F25</f>
        <v>100</v>
      </c>
      <c r="T25" s="774" t="s">
        <v>17</v>
      </c>
      <c r="U25" s="775">
        <f>H25</f>
        <v>100</v>
      </c>
      <c r="V25" s="774" t="s">
        <v>17</v>
      </c>
      <c r="W25" s="775">
        <f>J25</f>
        <v>100</v>
      </c>
      <c r="X25" s="1816"/>
      <c r="Y25" s="3227"/>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4"/>
      <c r="Q26" s="1813" t="str">
        <f t="shared" si="11"/>
        <v>平面位置/可视性</v>
      </c>
      <c r="R26" s="774" t="s">
        <v>17</v>
      </c>
      <c r="S26" s="775">
        <f>F26</f>
        <v>100</v>
      </c>
      <c r="T26" s="774" t="s">
        <v>17</v>
      </c>
      <c r="U26" s="775">
        <f>H26</f>
        <v>100</v>
      </c>
      <c r="V26" s="774" t="s">
        <v>17</v>
      </c>
      <c r="W26" s="775">
        <f>J26</f>
        <v>100</v>
      </c>
      <c r="X26" s="1816"/>
      <c r="Y26" s="3227"/>
      <c r="Z26" s="1817" t="str">
        <f>Q26</f>
        <v>平面位置/可视性</v>
      </c>
      <c r="AA26" s="1814">
        <f t="shared" si="3"/>
        <v>1</v>
      </c>
      <c r="AB26" s="1814">
        <f t="shared" si="4"/>
        <v>1</v>
      </c>
      <c r="AC26" s="1814">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34"/>
      <c r="Q27" s="1798" t="str">
        <f t="shared" si="11"/>
        <v>人流量</v>
      </c>
      <c r="R27" s="770" t="s">
        <v>17</v>
      </c>
      <c r="S27" s="771">
        <f>F27</f>
        <v>100</v>
      </c>
      <c r="T27" s="770" t="s">
        <v>17</v>
      </c>
      <c r="U27" s="771">
        <f>H27</f>
        <v>100</v>
      </c>
      <c r="V27" s="770" t="s">
        <v>17</v>
      </c>
      <c r="W27" s="771">
        <f>J27</f>
        <v>100</v>
      </c>
      <c r="X27" s="772"/>
      <c r="Y27" s="3227"/>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4"/>
      <c r="Q29" s="1813">
        <f t="shared" si="11"/>
        <v>111</v>
      </c>
      <c r="R29" s="774" t="s">
        <v>17</v>
      </c>
      <c r="S29" s="775">
        <f t="shared" si="12"/>
        <v>100</v>
      </c>
      <c r="T29" s="774" t="s">
        <v>17</v>
      </c>
      <c r="U29" s="775">
        <f t="shared" si="13"/>
        <v>100</v>
      </c>
      <c r="V29" s="774" t="s">
        <v>17</v>
      </c>
      <c r="W29" s="775">
        <f t="shared" si="14"/>
        <v>100</v>
      </c>
      <c r="X29" s="1816"/>
      <c r="Y29" s="322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4"/>
      <c r="Q30" s="1813">
        <f t="shared" si="11"/>
        <v>111</v>
      </c>
      <c r="R30" s="774" t="s">
        <v>17</v>
      </c>
      <c r="S30" s="775">
        <f t="shared" si="12"/>
        <v>100</v>
      </c>
      <c r="T30" s="774" t="s">
        <v>17</v>
      </c>
      <c r="U30" s="775">
        <f t="shared" si="13"/>
        <v>100</v>
      </c>
      <c r="V30" s="774" t="s">
        <v>17</v>
      </c>
      <c r="W30" s="775">
        <f t="shared" si="14"/>
        <v>100</v>
      </c>
      <c r="X30" s="1816"/>
      <c r="Y30" s="322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4"/>
      <c r="Q31" s="1813">
        <f t="shared" si="11"/>
        <v>111</v>
      </c>
      <c r="R31" s="774" t="s">
        <v>17</v>
      </c>
      <c r="S31" s="775">
        <f t="shared" si="12"/>
        <v>100</v>
      </c>
      <c r="T31" s="774" t="s">
        <v>17</v>
      </c>
      <c r="U31" s="775">
        <f t="shared" si="13"/>
        <v>100</v>
      </c>
      <c r="V31" s="774" t="s">
        <v>17</v>
      </c>
      <c r="W31" s="775">
        <f t="shared" si="14"/>
        <v>100</v>
      </c>
      <c r="X31" s="1816"/>
      <c r="Y31" s="3227"/>
      <c r="Z31" s="1817">
        <f t="shared" si="15"/>
        <v>111</v>
      </c>
      <c r="AA31" s="1814">
        <f t="shared" si="3"/>
        <v>1</v>
      </c>
      <c r="AB31" s="1814">
        <f t="shared" si="4"/>
        <v>1</v>
      </c>
      <c r="AC31" s="1814">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28" t="s">
        <v>2562</v>
      </c>
      <c r="Q32" s="1813" t="str">
        <f t="shared" si="11"/>
        <v>商业类型</v>
      </c>
      <c r="R32" s="774" t="s">
        <v>17</v>
      </c>
      <c r="S32" s="775">
        <f t="shared" si="12"/>
        <v>100</v>
      </c>
      <c r="T32" s="774" t="s">
        <v>17</v>
      </c>
      <c r="U32" s="775">
        <f t="shared" si="13"/>
        <v>100</v>
      </c>
      <c r="V32" s="774" t="s">
        <v>17</v>
      </c>
      <c r="W32" s="775">
        <f t="shared" si="14"/>
        <v>100</v>
      </c>
      <c r="X32" s="1816"/>
      <c r="Y32" s="3231"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9"/>
      <c r="Q33" s="776" t="str">
        <f t="shared" si="11"/>
        <v>项目建筑规模</v>
      </c>
      <c r="R33" s="777" t="s">
        <v>17</v>
      </c>
      <c r="S33" s="778" t="e">
        <f t="shared" si="12"/>
        <v>#N/A</v>
      </c>
      <c r="T33" s="777" t="s">
        <v>17</v>
      </c>
      <c r="U33" s="778" t="e">
        <f t="shared" si="13"/>
        <v>#N/A</v>
      </c>
      <c r="V33" s="777" t="s">
        <v>17</v>
      </c>
      <c r="W33" s="778" t="e">
        <f t="shared" si="14"/>
        <v>#N/A</v>
      </c>
      <c r="X33" s="779"/>
      <c r="Y33" s="3231"/>
      <c r="Z33" s="780" t="str">
        <f t="shared" si="15"/>
        <v>项目建筑规模</v>
      </c>
      <c r="AA33" s="1814" t="e">
        <f t="shared" si="3"/>
        <v>#N/A</v>
      </c>
      <c r="AB33" s="1814" t="e">
        <f t="shared" si="4"/>
        <v>#N/A</v>
      </c>
      <c r="AC33" s="1814"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29"/>
      <c r="Q34" s="1813" t="str">
        <f t="shared" si="11"/>
        <v>建筑结构</v>
      </c>
      <c r="R34" s="774" t="s">
        <v>17</v>
      </c>
      <c r="S34" s="775">
        <f t="shared" si="12"/>
        <v>100</v>
      </c>
      <c r="T34" s="774" t="s">
        <v>17</v>
      </c>
      <c r="U34" s="775">
        <f t="shared" si="13"/>
        <v>100</v>
      </c>
      <c r="V34" s="774" t="s">
        <v>17</v>
      </c>
      <c r="W34" s="775">
        <f t="shared" si="14"/>
        <v>100</v>
      </c>
      <c r="X34" s="1816"/>
      <c r="Y34" s="3231"/>
      <c r="Z34" s="1817" t="str">
        <f t="shared" si="15"/>
        <v>建筑结构</v>
      </c>
      <c r="AA34" s="1814">
        <f t="shared" si="3"/>
        <v>1</v>
      </c>
      <c r="AB34" s="1814">
        <f t="shared" si="4"/>
        <v>1</v>
      </c>
      <c r="AC34" s="1814">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29"/>
      <c r="Q35" s="1813" t="str">
        <f t="shared" si="11"/>
        <v>公共部分装修</v>
      </c>
      <c r="R35" s="774" t="s">
        <v>17</v>
      </c>
      <c r="S35" s="775">
        <f t="shared" si="12"/>
        <v>100</v>
      </c>
      <c r="T35" s="774" t="s">
        <v>17</v>
      </c>
      <c r="U35" s="775">
        <f t="shared" si="13"/>
        <v>100</v>
      </c>
      <c r="V35" s="774" t="s">
        <v>17</v>
      </c>
      <c r="W35" s="775">
        <f t="shared" si="14"/>
        <v>100</v>
      </c>
      <c r="X35" s="1816"/>
      <c r="Y35" s="3231"/>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9"/>
      <c r="Q36" s="1813" t="str">
        <f t="shared" si="11"/>
        <v>成新度</v>
      </c>
      <c r="R36" s="774" t="s">
        <v>17</v>
      </c>
      <c r="S36" s="775" t="e">
        <f t="shared" si="12"/>
        <v>#N/A</v>
      </c>
      <c r="T36" s="774" t="s">
        <v>17</v>
      </c>
      <c r="U36" s="775" t="e">
        <f t="shared" si="13"/>
        <v>#N/A</v>
      </c>
      <c r="V36" s="774" t="s">
        <v>17</v>
      </c>
      <c r="W36" s="775" t="e">
        <f t="shared" si="14"/>
        <v>#N/A</v>
      </c>
      <c r="X36" s="1816"/>
      <c r="Y36" s="3231"/>
      <c r="Z36" s="1817" t="str">
        <f t="shared" si="15"/>
        <v>成新度</v>
      </c>
      <c r="AA36" s="1814" t="e">
        <f t="shared" si="3"/>
        <v>#N/A</v>
      </c>
      <c r="AB36" s="1814" t="e">
        <f t="shared" si="4"/>
        <v>#N/A</v>
      </c>
      <c r="AC36" s="1814" t="e">
        <f t="shared" si="5"/>
        <v>#N/A</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29"/>
      <c r="Q37" s="1798" t="str">
        <f t="shared" si="11"/>
        <v>市政基础设施</v>
      </c>
      <c r="R37" s="770" t="s">
        <v>17</v>
      </c>
      <c r="S37" s="771">
        <f t="shared" si="12"/>
        <v>100</v>
      </c>
      <c r="T37" s="770" t="s">
        <v>17</v>
      </c>
      <c r="U37" s="771">
        <f t="shared" si="13"/>
        <v>100</v>
      </c>
      <c r="V37" s="770" t="s">
        <v>17</v>
      </c>
      <c r="W37" s="771">
        <f t="shared" si="14"/>
        <v>100</v>
      </c>
      <c r="X37" s="772"/>
      <c r="Y37" s="3231"/>
      <c r="Z37" s="55"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29" t="s">
        <v>2562</v>
      </c>
      <c r="Q38" s="1813" t="str">
        <f t="shared" si="11"/>
        <v>业态</v>
      </c>
      <c r="R38" s="774" t="s">
        <v>17</v>
      </c>
      <c r="S38" s="775">
        <f t="shared" si="12"/>
        <v>100</v>
      </c>
      <c r="T38" s="774" t="s">
        <v>17</v>
      </c>
      <c r="U38" s="775">
        <f t="shared" si="13"/>
        <v>100</v>
      </c>
      <c r="V38" s="774" t="s">
        <v>17</v>
      </c>
      <c r="W38" s="775">
        <f t="shared" si="14"/>
        <v>100</v>
      </c>
      <c r="X38" s="1816"/>
      <c r="Y38" s="3231" t="s">
        <v>2562</v>
      </c>
      <c r="Z38" s="1817" t="str">
        <f t="shared" si="15"/>
        <v>业态</v>
      </c>
      <c r="AA38" s="1814">
        <f t="shared" si="3"/>
        <v>1</v>
      </c>
      <c r="AB38" s="1814">
        <f t="shared" si="4"/>
        <v>1</v>
      </c>
      <c r="AC38" s="1814">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29"/>
      <c r="Q39" s="1813" t="str">
        <f t="shared" si="11"/>
        <v>层高</v>
      </c>
      <c r="R39" s="774" t="s">
        <v>17</v>
      </c>
      <c r="S39" s="775">
        <f t="shared" si="12"/>
        <v>100</v>
      </c>
      <c r="T39" s="774" t="s">
        <v>17</v>
      </c>
      <c r="U39" s="775">
        <f t="shared" si="13"/>
        <v>100</v>
      </c>
      <c r="V39" s="774" t="s">
        <v>17</v>
      </c>
      <c r="W39" s="775">
        <f t="shared" si="14"/>
        <v>100</v>
      </c>
      <c r="X39" s="1816"/>
      <c r="Y39" s="3231"/>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9"/>
      <c r="Q40" s="1813" t="str">
        <f t="shared" si="11"/>
        <v>单套建筑面积</v>
      </c>
      <c r="R40" s="774" t="s">
        <v>17</v>
      </c>
      <c r="S40" s="775">
        <f t="shared" si="12"/>
        <v>100</v>
      </c>
      <c r="T40" s="774" t="s">
        <v>17</v>
      </c>
      <c r="U40" s="775">
        <f t="shared" si="13"/>
        <v>100</v>
      </c>
      <c r="V40" s="774" t="s">
        <v>17</v>
      </c>
      <c r="W40" s="775">
        <f t="shared" si="14"/>
        <v>100</v>
      </c>
      <c r="X40" s="1816"/>
      <c r="Y40" s="3231"/>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9"/>
      <c r="Q41" s="776" t="str">
        <f t="shared" si="11"/>
        <v>进深比</v>
      </c>
      <c r="R41" s="777" t="s">
        <v>17</v>
      </c>
      <c r="S41" s="778">
        <f t="shared" si="12"/>
        <v>100</v>
      </c>
      <c r="T41" s="777" t="s">
        <v>17</v>
      </c>
      <c r="U41" s="778">
        <f t="shared" si="13"/>
        <v>100</v>
      </c>
      <c r="V41" s="777" t="s">
        <v>17</v>
      </c>
      <c r="W41" s="778">
        <f t="shared" si="14"/>
        <v>100</v>
      </c>
      <c r="X41" s="779"/>
      <c r="Y41" s="3231"/>
      <c r="Z41" s="780" t="str">
        <f t="shared" si="15"/>
        <v>进深比</v>
      </c>
      <c r="AA41" s="1814">
        <f t="shared" si="3"/>
        <v>1</v>
      </c>
      <c r="AB41" s="1814">
        <f t="shared" si="4"/>
        <v>1</v>
      </c>
      <c r="AC41" s="1814">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29"/>
      <c r="Q42" s="1813" t="str">
        <f t="shared" si="11"/>
        <v>内部装修</v>
      </c>
      <c r="R42" s="774" t="s">
        <v>17</v>
      </c>
      <c r="S42" s="775">
        <f t="shared" si="12"/>
        <v>100</v>
      </c>
      <c r="T42" s="774" t="s">
        <v>17</v>
      </c>
      <c r="U42" s="775">
        <f t="shared" si="13"/>
        <v>100</v>
      </c>
      <c r="V42" s="774" t="s">
        <v>17</v>
      </c>
      <c r="W42" s="775">
        <f t="shared" si="14"/>
        <v>100</v>
      </c>
      <c r="X42" s="1816"/>
      <c r="Y42" s="3231"/>
      <c r="Z42" s="1817" t="str">
        <f t="shared" si="15"/>
        <v>内部装修</v>
      </c>
      <c r="AA42" s="1814">
        <f t="shared" si="3"/>
        <v>1</v>
      </c>
      <c r="AB42" s="1814">
        <f t="shared" si="4"/>
        <v>1</v>
      </c>
      <c r="AC42" s="1814">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29"/>
      <c r="Q43" s="1813" t="str">
        <f t="shared" si="11"/>
        <v>内部装修维护情况</v>
      </c>
      <c r="R43" s="774" t="s">
        <v>17</v>
      </c>
      <c r="S43" s="775">
        <f t="shared" si="12"/>
        <v>100</v>
      </c>
      <c r="T43" s="774" t="s">
        <v>17</v>
      </c>
      <c r="U43" s="775">
        <f t="shared" si="13"/>
        <v>100</v>
      </c>
      <c r="V43" s="774" t="s">
        <v>17</v>
      </c>
      <c r="W43" s="775">
        <f t="shared" si="14"/>
        <v>100</v>
      </c>
      <c r="X43" s="1816"/>
      <c r="Y43" s="323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9"/>
      <c r="Q44" s="1798">
        <f t="shared" si="11"/>
        <v>111</v>
      </c>
      <c r="R44" s="770" t="s">
        <v>17</v>
      </c>
      <c r="S44" s="771">
        <f t="shared" si="12"/>
        <v>100</v>
      </c>
      <c r="T44" s="770" t="s">
        <v>17</v>
      </c>
      <c r="U44" s="771">
        <f t="shared" si="13"/>
        <v>100</v>
      </c>
      <c r="V44" s="770" t="s">
        <v>17</v>
      </c>
      <c r="W44" s="771">
        <f t="shared" si="14"/>
        <v>100</v>
      </c>
      <c r="X44" s="772"/>
      <c r="Y44" s="323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9"/>
      <c r="Q45" s="1813">
        <f t="shared" si="11"/>
        <v>111</v>
      </c>
      <c r="R45" s="774" t="s">
        <v>17</v>
      </c>
      <c r="S45" s="775">
        <f t="shared" si="12"/>
        <v>100</v>
      </c>
      <c r="T45" s="774" t="s">
        <v>17</v>
      </c>
      <c r="U45" s="775">
        <f t="shared" si="13"/>
        <v>100</v>
      </c>
      <c r="V45" s="774" t="s">
        <v>17</v>
      </c>
      <c r="W45" s="775">
        <f t="shared" si="14"/>
        <v>100</v>
      </c>
      <c r="X45" s="1816"/>
      <c r="Y45" s="3231"/>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0"/>
      <c r="Q46" s="1813">
        <f t="shared" si="11"/>
        <v>111</v>
      </c>
      <c r="R46" s="774" t="s">
        <v>17</v>
      </c>
      <c r="S46" s="775">
        <f t="shared" si="12"/>
        <v>100</v>
      </c>
      <c r="T46" s="774" t="s">
        <v>17</v>
      </c>
      <c r="U46" s="775">
        <f t="shared" si="13"/>
        <v>100</v>
      </c>
      <c r="V46" s="774" t="s">
        <v>17</v>
      </c>
      <c r="W46" s="775">
        <f t="shared" si="14"/>
        <v>100</v>
      </c>
      <c r="X46" s="1816"/>
      <c r="Y46" s="3232"/>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24" t="str">
        <f>A47</f>
        <v>成交单价（元/平方米）</v>
      </c>
      <c r="Q47" s="3224"/>
      <c r="R47" s="3219">
        <f>E47</f>
        <v>0</v>
      </c>
      <c r="S47" s="3219"/>
      <c r="T47" s="3219">
        <f>G47</f>
        <v>0</v>
      </c>
      <c r="U47" s="3219"/>
      <c r="V47" s="3219">
        <f>I47</f>
        <v>0</v>
      </c>
      <c r="W47" s="3219"/>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21" t="str">
        <f>A49</f>
        <v>估价对象XX用房的比较价值（楼面单价，元/平方米）</v>
      </c>
      <c r="Q49" s="3222"/>
      <c r="R49" s="3223" t="e">
        <f>IF(F1="售价",ROUND(AVERAGE(R48:V48),0),ROUND(AVERAGE(R48:V48),1))</f>
        <v>#DIV/0!</v>
      </c>
      <c r="S49" s="3223"/>
      <c r="T49" s="3223"/>
      <c r="U49" s="3223"/>
      <c r="V49" s="3223"/>
      <c r="W49" s="322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2" zoomScale="90" zoomScaleNormal="90" workbookViewId="0">
      <selection activeCell="G93" sqref="G9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2683</v>
      </c>
      <c r="C1" s="1623" t="s">
        <v>2527</v>
      </c>
      <c r="D1" s="1624" t="s">
        <v>27</v>
      </c>
      <c r="E1" s="1633"/>
      <c r="F1" s="2586" t="s">
        <v>3126</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f>IF(C2="——",ROUND(C50*D3/10000,0),ROUND(C50*D3/10000,0)-D2)</f>
        <v>79091</v>
      </c>
      <c r="C2" s="2588" t="s">
        <v>70</v>
      </c>
      <c r="D2" s="1368"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11037</v>
      </c>
      <c r="C3" s="400" t="s">
        <v>2641</v>
      </c>
      <c r="D3" s="399">
        <f>IF(D1="",'数据-汇总表'!E3,SUMIF('数据-汇总表'!$C19:$C33,D1,'数据-汇总表'!$E19:$E33))</f>
        <v>71660.160000000003</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07" t="s">
        <v>2643</v>
      </c>
      <c r="D4" s="3208"/>
      <c r="E4" s="3209" t="s">
        <v>2644</v>
      </c>
      <c r="F4" s="3210"/>
      <c r="G4" s="3207" t="s">
        <v>2645</v>
      </c>
      <c r="H4" s="3208"/>
      <c r="I4" s="3207" t="s">
        <v>2646</v>
      </c>
      <c r="J4" s="3208"/>
      <c r="K4" s="610" t="s">
        <v>2647</v>
      </c>
      <c r="L4" s="1133"/>
      <c r="M4" s="1134"/>
      <c r="N4" s="1134"/>
      <c r="O4" s="1134"/>
      <c r="P4" s="3243" t="s">
        <v>2648</v>
      </c>
      <c r="Q4" s="3244"/>
      <c r="R4" s="3236" t="s">
        <v>2644</v>
      </c>
      <c r="S4" s="3237"/>
      <c r="T4" s="3236" t="s">
        <v>2645</v>
      </c>
      <c r="U4" s="3237"/>
      <c r="V4" s="3247" t="s">
        <v>2646</v>
      </c>
      <c r="W4" s="3247"/>
      <c r="X4" s="2672"/>
      <c r="Y4" s="3236" t="s">
        <v>2648</v>
      </c>
      <c r="Z4" s="3237"/>
      <c r="AA4" s="3235" t="s">
        <v>2644</v>
      </c>
      <c r="AB4" s="3235" t="s">
        <v>2645</v>
      </c>
      <c r="AC4" s="3240" t="s">
        <v>2646</v>
      </c>
    </row>
    <row r="5" spans="1:29" ht="15">
      <c r="A5" s="404"/>
      <c r="B5" s="405"/>
      <c r="C5" s="3239" t="s">
        <v>3071</v>
      </c>
      <c r="D5" s="3201"/>
      <c r="E5" s="3238" t="s">
        <v>3072</v>
      </c>
      <c r="F5" s="3199"/>
      <c r="G5" s="3239" t="s">
        <v>3127</v>
      </c>
      <c r="H5" s="3201"/>
      <c r="I5" s="3239" t="s">
        <v>3137</v>
      </c>
      <c r="J5" s="3201"/>
      <c r="K5" s="610"/>
      <c r="L5" s="1133"/>
      <c r="M5" s="1134"/>
      <c r="N5" s="1134"/>
      <c r="O5" s="1134"/>
      <c r="P5" s="3245"/>
      <c r="Q5" s="3214"/>
      <c r="R5" s="3196"/>
      <c r="S5" s="3197"/>
      <c r="T5" s="3196"/>
      <c r="U5" s="3197"/>
      <c r="V5" s="3219"/>
      <c r="W5" s="3219"/>
      <c r="X5" s="1816"/>
      <c r="Y5" s="3196"/>
      <c r="Z5" s="3197"/>
      <c r="AA5" s="3190"/>
      <c r="AB5" s="3190"/>
      <c r="AC5" s="3241"/>
    </row>
    <row r="6" spans="1:29" ht="15.75" thickBot="1">
      <c r="A6" s="406"/>
      <c r="B6" s="407"/>
      <c r="C6" s="3239" t="s">
        <v>3071</v>
      </c>
      <c r="D6" s="3201"/>
      <c r="E6" s="3204" t="str">
        <f>E5</f>
        <v>奥林大厦</v>
      </c>
      <c r="F6" s="3205"/>
      <c r="G6" s="3202" t="str">
        <f>G5</f>
        <v>财富中心</v>
      </c>
      <c r="H6" s="3203"/>
      <c r="I6" s="3202" t="str">
        <f>I5</f>
        <v>天力大厦</v>
      </c>
      <c r="J6" s="3203"/>
      <c r="K6" s="610" t="s">
        <v>2544</v>
      </c>
      <c r="L6" s="1133"/>
      <c r="M6" s="1134"/>
      <c r="N6" s="1134"/>
      <c r="O6" s="1134"/>
      <c r="P6" s="3246"/>
      <c r="Q6" s="3216"/>
      <c r="R6" s="3196"/>
      <c r="S6" s="3197"/>
      <c r="T6" s="3217"/>
      <c r="U6" s="3218"/>
      <c r="V6" s="3219"/>
      <c r="W6" s="3219"/>
      <c r="X6" s="1816"/>
      <c r="Y6" s="3217"/>
      <c r="Z6" s="3218"/>
      <c r="AA6" s="3191"/>
      <c r="AB6" s="3191"/>
      <c r="AC6" s="3242"/>
    </row>
    <row r="7" spans="1:29" s="117" customFormat="1" ht="15.75" thickBot="1">
      <c r="A7" s="408" t="s">
        <v>2545</v>
      </c>
      <c r="B7" s="409"/>
      <c r="C7" s="410">
        <f>'数据-取费表'!B2</f>
        <v>43536</v>
      </c>
      <c r="D7" s="411">
        <v>100</v>
      </c>
      <c r="E7" s="412">
        <v>43537</v>
      </c>
      <c r="F7" s="413">
        <f>SUMIF(59:59,YEAR(E7)&amp;"-"&amp;MONTH(E7),60:60)</f>
        <v>100</v>
      </c>
      <c r="G7" s="412">
        <v>43537</v>
      </c>
      <c r="H7" s="411">
        <f>SUMIF(59:59,YEAR(G7)&amp;"-"&amp;MONTH(G7),60:60)</f>
        <v>100</v>
      </c>
      <c r="I7" s="412">
        <v>43537</v>
      </c>
      <c r="J7" s="411">
        <f>SUMIF(59:59,YEAR(I7)&amp;"-"&amp;MONTH(I7),60:60)</f>
        <v>100</v>
      </c>
      <c r="K7" s="611"/>
      <c r="L7" s="1135"/>
      <c r="M7" s="1136"/>
      <c r="N7" s="1136"/>
      <c r="O7" s="1136"/>
      <c r="P7" s="3248" t="s">
        <v>2546</v>
      </c>
      <c r="Q7" s="3220"/>
      <c r="R7" s="770" t="s">
        <v>17</v>
      </c>
      <c r="S7" s="771">
        <f t="shared" ref="S7:S15" si="0">F7</f>
        <v>100</v>
      </c>
      <c r="T7" s="770" t="s">
        <v>17</v>
      </c>
      <c r="U7" s="771">
        <f t="shared" ref="U7:U15" si="1">H7</f>
        <v>100</v>
      </c>
      <c r="V7" s="770" t="s">
        <v>17</v>
      </c>
      <c r="W7" s="771">
        <f t="shared" ref="W7:W15" si="2">J7</f>
        <v>100</v>
      </c>
      <c r="X7" s="772"/>
      <c r="Y7" s="3192" t="s">
        <v>2546</v>
      </c>
      <c r="Z7" s="3193"/>
      <c r="AA7" s="773">
        <f>D7/F7</f>
        <v>1</v>
      </c>
      <c r="AB7" s="773">
        <f>D7/H7</f>
        <v>1</v>
      </c>
      <c r="AC7" s="2673">
        <f>D7/J7</f>
        <v>1</v>
      </c>
    </row>
    <row r="8" spans="1:29" s="117" customFormat="1" ht="15.75" thickBot="1">
      <c r="A8" s="408" t="s">
        <v>2547</v>
      </c>
      <c r="B8" s="409"/>
      <c r="C8" s="414" t="s">
        <v>2649</v>
      </c>
      <c r="D8" s="411">
        <v>100</v>
      </c>
      <c r="E8" s="414" t="s">
        <v>3073</v>
      </c>
      <c r="F8" s="413">
        <f>SUMIF(62:62,E8,63:63)-SUMIF(62:62,C8,63:63)+100</f>
        <v>100</v>
      </c>
      <c r="G8" s="414" t="s">
        <v>3073</v>
      </c>
      <c r="H8" s="411">
        <f>SUMIF(62:62,G8,63:63)-SUMIF(62:62,C8,63:63)+100</f>
        <v>100</v>
      </c>
      <c r="I8" s="414" t="s">
        <v>3073</v>
      </c>
      <c r="J8" s="411">
        <f>SUMIF(62:62,I8,63:63)-SUMIF(62:62,C8,63:63)+100</f>
        <v>100</v>
      </c>
      <c r="K8" s="611"/>
      <c r="L8" s="1135"/>
      <c r="M8" s="1136"/>
      <c r="N8" s="1136"/>
      <c r="O8" s="1136"/>
      <c r="P8" s="3248" t="s">
        <v>2549</v>
      </c>
      <c r="Q8" s="3193"/>
      <c r="R8" s="770" t="s">
        <v>17</v>
      </c>
      <c r="S8" s="771">
        <f t="shared" si="0"/>
        <v>100</v>
      </c>
      <c r="T8" s="770" t="s">
        <v>17</v>
      </c>
      <c r="U8" s="771">
        <f t="shared" si="1"/>
        <v>100</v>
      </c>
      <c r="V8" s="770" t="s">
        <v>17</v>
      </c>
      <c r="W8" s="771">
        <f t="shared" si="2"/>
        <v>100</v>
      </c>
      <c r="X8" s="772"/>
      <c r="Y8" s="3192" t="s">
        <v>2549</v>
      </c>
      <c r="Z8" s="3193"/>
      <c r="AA8" s="773">
        <f t="shared" ref="AA8:AA47" si="3">D8/F8</f>
        <v>1</v>
      </c>
      <c r="AB8" s="773">
        <f t="shared" ref="AB8:AB47" si="4">D8/H8</f>
        <v>1</v>
      </c>
      <c r="AC8" s="2673">
        <f t="shared" ref="AC8:AC47" si="5">D8/J8</f>
        <v>1</v>
      </c>
    </row>
    <row r="9" spans="1:29" s="117" customFormat="1">
      <c r="A9" s="415" t="s">
        <v>2550</v>
      </c>
      <c r="B9" s="71" t="s">
        <v>2551</v>
      </c>
      <c r="C9" s="2948" t="s">
        <v>3074</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206" t="s">
        <v>2552</v>
      </c>
      <c r="Q9" s="1798"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2673">
        <f t="shared" si="5"/>
        <v>1</v>
      </c>
    </row>
    <row r="10" spans="1:29" s="427" customFormat="1" ht="27.75" thickBot="1">
      <c r="A10" s="421"/>
      <c r="B10" s="422" t="s">
        <v>2554</v>
      </c>
      <c r="C10" s="423" t="s">
        <v>3075</v>
      </c>
      <c r="D10" s="136">
        <v>100</v>
      </c>
      <c r="E10" s="2966" t="s">
        <v>3128</v>
      </c>
      <c r="F10" s="136">
        <f>SUMIF(66:66,E10,67:67)-SUMIF(66:66,C10,67:67)+100</f>
        <v>101</v>
      </c>
      <c r="G10" s="424" t="s">
        <v>3128</v>
      </c>
      <c r="H10" s="136">
        <f>SUMIF(66:66,G10,67:67)-SUMIF(66:66,C10,67:67)+100</f>
        <v>101</v>
      </c>
      <c r="I10" s="423" t="s">
        <v>3128</v>
      </c>
      <c r="J10" s="136">
        <f>SUMIF(66:66,I10,67:67)-SUMIF(66:66,C10,67:67)+100</f>
        <v>101</v>
      </c>
      <c r="K10" s="612">
        <v>1</v>
      </c>
      <c r="L10" s="1138"/>
      <c r="M10" s="1139"/>
      <c r="N10" s="1139"/>
      <c r="O10" s="1139"/>
      <c r="P10" s="3206"/>
      <c r="Q10" s="1798" t="str">
        <f t="shared" si="6"/>
        <v>土地使用年限（年）</v>
      </c>
      <c r="R10" s="770" t="s">
        <v>17</v>
      </c>
      <c r="S10" s="771">
        <f t="shared" si="0"/>
        <v>101</v>
      </c>
      <c r="T10" s="770" t="s">
        <v>17</v>
      </c>
      <c r="U10" s="771">
        <f t="shared" si="1"/>
        <v>101</v>
      </c>
      <c r="V10" s="770" t="s">
        <v>17</v>
      </c>
      <c r="W10" s="771">
        <f t="shared" si="2"/>
        <v>101</v>
      </c>
      <c r="X10" s="772"/>
      <c r="Y10" s="3039"/>
      <c r="Z10" s="55" t="str">
        <f t="shared" si="7"/>
        <v>土地使用年限（年）</v>
      </c>
      <c r="AA10" s="773">
        <f t="shared" si="3"/>
        <v>0.99009900990099009</v>
      </c>
      <c r="AB10" s="773">
        <f t="shared" si="4"/>
        <v>0.99009900990099009</v>
      </c>
      <c r="AC10" s="2673">
        <f t="shared" si="5"/>
        <v>0.99009900990099009</v>
      </c>
    </row>
    <row r="11" spans="1:29" ht="15" hidden="1">
      <c r="A11" s="428"/>
      <c r="B11" s="422" t="s">
        <v>2555</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41"/>
      <c r="M11" s="1134"/>
      <c r="N11" s="1134"/>
      <c r="O11" s="1134"/>
      <c r="P11" s="3206"/>
      <c r="Q11" s="1798" t="str">
        <f t="shared" si="6"/>
        <v>容积率</v>
      </c>
      <c r="R11" s="770" t="s">
        <v>17</v>
      </c>
      <c r="S11" s="771">
        <f t="shared" si="0"/>
        <v>100</v>
      </c>
      <c r="T11" s="770" t="s">
        <v>17</v>
      </c>
      <c r="U11" s="771">
        <f t="shared" si="1"/>
        <v>100</v>
      </c>
      <c r="V11" s="770" t="s">
        <v>17</v>
      </c>
      <c r="W11" s="771">
        <f t="shared" si="2"/>
        <v>100</v>
      </c>
      <c r="X11" s="772"/>
      <c r="Y11" s="3039"/>
      <c r="Z11" s="55" t="str">
        <f t="shared" si="7"/>
        <v>容积率</v>
      </c>
      <c r="AA11" s="773">
        <f t="shared" si="3"/>
        <v>1</v>
      </c>
      <c r="AB11" s="773">
        <f t="shared" si="4"/>
        <v>1</v>
      </c>
      <c r="AC11" s="2673">
        <f t="shared" si="5"/>
        <v>1</v>
      </c>
    </row>
    <row r="12" spans="1:29" s="117" customFormat="1" ht="15" hidden="1">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06"/>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73">
        <f>D12/J12</f>
        <v>1</v>
      </c>
    </row>
    <row r="13" spans="1:29" ht="15" hidden="1">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06"/>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73">
        <f t="shared" si="5"/>
        <v>1</v>
      </c>
    </row>
    <row r="14" spans="1:29" ht="15.75" hidden="1"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06"/>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73">
        <f t="shared" si="5"/>
        <v>1</v>
      </c>
    </row>
    <row r="15" spans="1:29" ht="71.25">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43"/>
      <c r="M15" s="1134"/>
      <c r="N15" s="1134"/>
      <c r="O15" s="1134"/>
      <c r="P15" s="3233" t="s">
        <v>2557</v>
      </c>
      <c r="Q15" s="1813" t="str">
        <f t="shared" si="6"/>
        <v>办公集聚程度</v>
      </c>
      <c r="R15" s="774" t="s">
        <v>17</v>
      </c>
      <c r="S15" s="775">
        <f t="shared" si="0"/>
        <v>100</v>
      </c>
      <c r="T15" s="774" t="s">
        <v>17</v>
      </c>
      <c r="U15" s="775">
        <f t="shared" si="1"/>
        <v>100</v>
      </c>
      <c r="V15" s="774" t="s">
        <v>17</v>
      </c>
      <c r="W15" s="775">
        <f t="shared" si="2"/>
        <v>100</v>
      </c>
      <c r="X15" s="1816"/>
      <c r="Y15" s="3226" t="s">
        <v>2557</v>
      </c>
      <c r="Z15" s="1817" t="str">
        <f t="shared" si="7"/>
        <v>办公集聚程度</v>
      </c>
      <c r="AA15" s="1814">
        <f t="shared" si="3"/>
        <v>1</v>
      </c>
      <c r="AB15" s="1814">
        <f t="shared" si="4"/>
        <v>1</v>
      </c>
      <c r="AC15" s="2676">
        <f t="shared" si="5"/>
        <v>1</v>
      </c>
    </row>
    <row r="16" spans="1:29" ht="15">
      <c r="A16" s="428"/>
      <c r="B16" s="630"/>
      <c r="C16" s="2613" t="s">
        <v>3076</v>
      </c>
      <c r="D16" s="448"/>
      <c r="E16" s="447" t="s">
        <v>3076</v>
      </c>
      <c r="F16" s="448"/>
      <c r="G16" s="2613" t="s">
        <v>3076</v>
      </c>
      <c r="H16" s="450"/>
      <c r="I16" s="447" t="s">
        <v>3076</v>
      </c>
      <c r="J16" s="448"/>
      <c r="K16" s="615"/>
      <c r="L16" s="1143"/>
      <c r="M16" s="1134"/>
      <c r="N16" s="1134"/>
      <c r="O16" s="1134"/>
      <c r="P16" s="3234"/>
      <c r="Q16" s="1813"/>
      <c r="R16" s="774"/>
      <c r="S16" s="775"/>
      <c r="T16" s="774"/>
      <c r="U16" s="775"/>
      <c r="V16" s="774"/>
      <c r="W16" s="775"/>
      <c r="X16" s="1816"/>
      <c r="Y16" s="3227"/>
      <c r="Z16" s="1817"/>
      <c r="AA16" s="1814">
        <v>1</v>
      </c>
      <c r="AB16" s="1814">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34"/>
      <c r="Q17" s="1813" t="str">
        <f>B17</f>
        <v>交通便捷度</v>
      </c>
      <c r="R17" s="774" t="s">
        <v>17</v>
      </c>
      <c r="S17" s="775">
        <f>F17</f>
        <v>100</v>
      </c>
      <c r="T17" s="774" t="s">
        <v>17</v>
      </c>
      <c r="U17" s="775">
        <f>H17</f>
        <v>100</v>
      </c>
      <c r="V17" s="774" t="s">
        <v>17</v>
      </c>
      <c r="W17" s="775">
        <f>J17</f>
        <v>100</v>
      </c>
      <c r="X17" s="1816"/>
      <c r="Y17" s="3227"/>
      <c r="Z17" s="1817" t="str">
        <f>Q17</f>
        <v>交通便捷度</v>
      </c>
      <c r="AA17" s="1814">
        <f t="shared" si="3"/>
        <v>1</v>
      </c>
      <c r="AB17" s="1814">
        <f t="shared" si="4"/>
        <v>1</v>
      </c>
      <c r="AC17" s="2676">
        <f t="shared" si="5"/>
        <v>1</v>
      </c>
    </row>
    <row r="18" spans="1:29" ht="15">
      <c r="A18" s="428"/>
      <c r="B18" s="632"/>
      <c r="C18" s="2678" t="s">
        <v>3076</v>
      </c>
      <c r="D18" s="450"/>
      <c r="E18" s="2611" t="s">
        <v>3076</v>
      </c>
      <c r="F18" s="450"/>
      <c r="G18" s="2612" t="s">
        <v>3076</v>
      </c>
      <c r="H18" s="448"/>
      <c r="I18" s="2612" t="s">
        <v>3076</v>
      </c>
      <c r="J18" s="448"/>
      <c r="K18" s="615"/>
      <c r="L18" s="1143"/>
      <c r="M18" s="1134"/>
      <c r="N18" s="1134"/>
      <c r="O18" s="1134"/>
      <c r="P18" s="3234"/>
      <c r="Q18" s="1813"/>
      <c r="R18" s="774"/>
      <c r="S18" s="775"/>
      <c r="T18" s="774"/>
      <c r="U18" s="775"/>
      <c r="V18" s="774"/>
      <c r="W18" s="775"/>
      <c r="X18" s="1816"/>
      <c r="Y18" s="3227"/>
      <c r="Z18" s="1817"/>
      <c r="AA18" s="1814">
        <v>1</v>
      </c>
      <c r="AB18" s="1814">
        <v>1</v>
      </c>
      <c r="AC18" s="2676">
        <v>1</v>
      </c>
    </row>
    <row r="19" spans="1:29" ht="42.75">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34"/>
      <c r="Q19" s="1813" t="str">
        <f>B19</f>
        <v>公共配套设施</v>
      </c>
      <c r="R19" s="774" t="s">
        <v>17</v>
      </c>
      <c r="S19" s="775">
        <f>F19</f>
        <v>100</v>
      </c>
      <c r="T19" s="774" t="s">
        <v>17</v>
      </c>
      <c r="U19" s="775">
        <f>H19</f>
        <v>100</v>
      </c>
      <c r="V19" s="774" t="s">
        <v>17</v>
      </c>
      <c r="W19" s="775">
        <f>J19</f>
        <v>100</v>
      </c>
      <c r="X19" s="1816"/>
      <c r="Y19" s="3227"/>
      <c r="Z19" s="1817" t="str">
        <f>Q19</f>
        <v>公共配套设施</v>
      </c>
      <c r="AA19" s="1814">
        <f t="shared" si="3"/>
        <v>1</v>
      </c>
      <c r="AB19" s="1814">
        <f t="shared" si="4"/>
        <v>1</v>
      </c>
      <c r="AC19" s="2676">
        <f t="shared" si="5"/>
        <v>1</v>
      </c>
    </row>
    <row r="20" spans="1:29" ht="15">
      <c r="A20" s="428"/>
      <c r="B20" s="632"/>
      <c r="C20" s="2613" t="s">
        <v>3076</v>
      </c>
      <c r="D20" s="448"/>
      <c r="E20" s="2606" t="s">
        <v>3076</v>
      </c>
      <c r="F20" s="448"/>
      <c r="G20" s="2607" t="s">
        <v>3076</v>
      </c>
      <c r="H20" s="448"/>
      <c r="I20" s="2607" t="s">
        <v>3076</v>
      </c>
      <c r="J20" s="448"/>
      <c r="K20" s="615"/>
      <c r="L20" s="1143"/>
      <c r="M20" s="1134"/>
      <c r="N20" s="1134"/>
      <c r="O20" s="1134"/>
      <c r="P20" s="3234"/>
      <c r="Q20" s="1813"/>
      <c r="R20" s="774"/>
      <c r="S20" s="775"/>
      <c r="T20" s="774"/>
      <c r="U20" s="775"/>
      <c r="V20" s="774"/>
      <c r="W20" s="775"/>
      <c r="X20" s="1816"/>
      <c r="Y20" s="3227"/>
      <c r="Z20" s="1817"/>
      <c r="AA20" s="1814">
        <v>1</v>
      </c>
      <c r="AB20" s="1814">
        <v>1</v>
      </c>
      <c r="AC20" s="2676">
        <v>1</v>
      </c>
    </row>
    <row r="21" spans="1:29" ht="28.5">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34"/>
      <c r="Q21" s="1813" t="str">
        <f>B21</f>
        <v>基础设施水平</v>
      </c>
      <c r="R21" s="774" t="s">
        <v>17</v>
      </c>
      <c r="S21" s="775">
        <f>F21</f>
        <v>100</v>
      </c>
      <c r="T21" s="774" t="s">
        <v>17</v>
      </c>
      <c r="U21" s="775">
        <f>H21</f>
        <v>100</v>
      </c>
      <c r="V21" s="774" t="s">
        <v>17</v>
      </c>
      <c r="W21" s="775">
        <f>J21</f>
        <v>100</v>
      </c>
      <c r="X21" s="1816"/>
      <c r="Y21" s="3227"/>
      <c r="Z21" s="1817" t="str">
        <f>Q21</f>
        <v>基础设施水平</v>
      </c>
      <c r="AA21" s="1814">
        <f t="shared" ref="AA21" si="8">D21/F21</f>
        <v>1</v>
      </c>
      <c r="AB21" s="1814">
        <f t="shared" ref="AB21" si="9">D21/H21</f>
        <v>1</v>
      </c>
      <c r="AC21" s="2676">
        <f t="shared" ref="AC21" si="10">D21/J21</f>
        <v>1</v>
      </c>
    </row>
    <row r="22" spans="1:29" ht="15">
      <c r="A22" s="428"/>
      <c r="B22" s="633"/>
      <c r="C22" s="2678" t="s">
        <v>3077</v>
      </c>
      <c r="D22" s="448"/>
      <c r="E22" s="447" t="s">
        <v>3077</v>
      </c>
      <c r="F22" s="448"/>
      <c r="G22" s="2613" t="s">
        <v>3077</v>
      </c>
      <c r="H22" s="448"/>
      <c r="I22" s="2613" t="s">
        <v>3077</v>
      </c>
      <c r="J22" s="448"/>
      <c r="K22" s="1386"/>
      <c r="L22" s="1143"/>
      <c r="M22" s="1134"/>
      <c r="N22" s="1134"/>
      <c r="O22" s="1134"/>
      <c r="P22" s="3234"/>
      <c r="Q22" s="1813"/>
      <c r="R22" s="774"/>
      <c r="S22" s="775"/>
      <c r="T22" s="774"/>
      <c r="U22" s="775"/>
      <c r="V22" s="774"/>
      <c r="W22" s="775"/>
      <c r="X22" s="1816"/>
      <c r="Y22" s="3227"/>
      <c r="Z22" s="1817"/>
      <c r="AA22" s="1814">
        <v>1</v>
      </c>
      <c r="AB22" s="1814">
        <v>1</v>
      </c>
      <c r="AC22" s="2676">
        <v>1</v>
      </c>
    </row>
    <row r="23" spans="1:29" ht="42.75">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34"/>
      <c r="Q23" s="1813" t="str">
        <f>B23</f>
        <v>环境质量</v>
      </c>
      <c r="R23" s="774" t="s">
        <v>17</v>
      </c>
      <c r="S23" s="775">
        <f>F23</f>
        <v>100</v>
      </c>
      <c r="T23" s="774" t="s">
        <v>17</v>
      </c>
      <c r="U23" s="775">
        <f>H23</f>
        <v>100</v>
      </c>
      <c r="V23" s="774" t="s">
        <v>17</v>
      </c>
      <c r="W23" s="775">
        <f>J23</f>
        <v>100</v>
      </c>
      <c r="X23" s="1816"/>
      <c r="Y23" s="3227"/>
      <c r="Z23" s="1817" t="str">
        <f>Q23</f>
        <v>环境质量</v>
      </c>
      <c r="AA23" s="1814">
        <f t="shared" si="3"/>
        <v>1</v>
      </c>
      <c r="AB23" s="1814">
        <f t="shared" si="4"/>
        <v>1</v>
      </c>
      <c r="AC23" s="2676">
        <f t="shared" si="5"/>
        <v>1</v>
      </c>
    </row>
    <row r="24" spans="1:29" ht="15">
      <c r="A24" s="428"/>
      <c r="B24" s="633"/>
      <c r="C24" s="2613" t="s">
        <v>3076</v>
      </c>
      <c r="D24" s="448"/>
      <c r="E24" s="2606" t="s">
        <v>3076</v>
      </c>
      <c r="F24" s="448"/>
      <c r="G24" s="2607" t="s">
        <v>3076</v>
      </c>
      <c r="H24" s="448"/>
      <c r="I24" s="2607" t="s">
        <v>3076</v>
      </c>
      <c r="J24" s="448"/>
      <c r="K24" s="615"/>
      <c r="L24" s="1143"/>
      <c r="M24" s="1134"/>
      <c r="N24" s="1134"/>
      <c r="O24" s="1134"/>
      <c r="P24" s="3234"/>
      <c r="Q24" s="1813"/>
      <c r="R24" s="774"/>
      <c r="S24" s="775"/>
      <c r="T24" s="774"/>
      <c r="U24" s="775"/>
      <c r="V24" s="774"/>
      <c r="W24" s="775"/>
      <c r="X24" s="1816"/>
      <c r="Y24" s="3227"/>
      <c r="Z24" s="1817"/>
      <c r="AA24" s="1814">
        <v>1</v>
      </c>
      <c r="AB24" s="1814">
        <v>1</v>
      </c>
      <c r="AC24" s="2676">
        <v>1</v>
      </c>
    </row>
    <row r="25" spans="1:29" ht="27">
      <c r="A25" s="404"/>
      <c r="B25" s="631" t="s">
        <v>2688</v>
      </c>
      <c r="C25" s="2951" t="s">
        <v>3102</v>
      </c>
      <c r="D25" s="435">
        <v>100</v>
      </c>
      <c r="E25" s="2950" t="s">
        <v>3083</v>
      </c>
      <c r="F25" s="435">
        <f>SUMIF(87:87,E26,88:88)-SUMIF(87:87,C26,88:88)+100</f>
        <v>100</v>
      </c>
      <c r="G25" s="2951" t="s">
        <v>3083</v>
      </c>
      <c r="H25" s="435">
        <f>SUMIF(87:87,G26,88:88)-SUMIF(87:87,C26,88:88)+100</f>
        <v>100</v>
      </c>
      <c r="I25" s="2950" t="s">
        <v>3083</v>
      </c>
      <c r="J25" s="435">
        <f>SUMIF(87:87,I26,88:88)-SUMIF(87:87,C26,88:88)+100</f>
        <v>100</v>
      </c>
      <c r="K25" s="614">
        <v>1</v>
      </c>
      <c r="L25" s="1143"/>
      <c r="M25" s="1134"/>
      <c r="N25" s="1134"/>
      <c r="O25" s="1134"/>
      <c r="P25" s="3234"/>
      <c r="Q25" s="1813" t="str">
        <f>B25</f>
        <v>毗邻道路的类型与等级</v>
      </c>
      <c r="R25" s="774" t="s">
        <v>17</v>
      </c>
      <c r="S25" s="775">
        <f>F25</f>
        <v>100</v>
      </c>
      <c r="T25" s="774" t="s">
        <v>17</v>
      </c>
      <c r="U25" s="775">
        <f>H25</f>
        <v>100</v>
      </c>
      <c r="V25" s="774" t="s">
        <v>17</v>
      </c>
      <c r="W25" s="775">
        <f>J25</f>
        <v>100</v>
      </c>
      <c r="X25" s="1816"/>
      <c r="Y25" s="3227"/>
      <c r="Z25" s="1817" t="str">
        <f>Q25</f>
        <v>毗邻道路的类型与等级</v>
      </c>
      <c r="AA25" s="1814">
        <f t="shared" si="3"/>
        <v>1</v>
      </c>
      <c r="AB25" s="1814">
        <f t="shared" si="4"/>
        <v>1</v>
      </c>
      <c r="AC25" s="2676">
        <f t="shared" si="5"/>
        <v>1</v>
      </c>
    </row>
    <row r="26" spans="1:29" ht="15">
      <c r="A26" s="404"/>
      <c r="B26" s="632"/>
      <c r="C26" s="634" t="s">
        <v>3080</v>
      </c>
      <c r="D26" s="435"/>
      <c r="E26" s="616" t="s">
        <v>3080</v>
      </c>
      <c r="F26" s="435"/>
      <c r="G26" s="634" t="s">
        <v>3080</v>
      </c>
      <c r="H26" s="435"/>
      <c r="I26" s="616" t="s">
        <v>3080</v>
      </c>
      <c r="J26" s="435"/>
      <c r="K26" s="615"/>
      <c r="L26" s="1143"/>
      <c r="M26" s="1134"/>
      <c r="N26" s="1134"/>
      <c r="O26" s="1134"/>
      <c r="P26" s="3234"/>
      <c r="Q26" s="1813"/>
      <c r="R26" s="774"/>
      <c r="S26" s="775"/>
      <c r="T26" s="774"/>
      <c r="U26" s="775"/>
      <c r="V26" s="774"/>
      <c r="W26" s="775"/>
      <c r="X26" s="1816"/>
      <c r="Y26" s="3227"/>
      <c r="Z26" s="1817"/>
      <c r="AA26" s="1814">
        <v>1</v>
      </c>
      <c r="AB26" s="1814">
        <v>1</v>
      </c>
      <c r="AC26" s="2676">
        <v>1</v>
      </c>
    </row>
    <row r="27" spans="1:29" ht="15">
      <c r="A27" s="428"/>
      <c r="B27" s="632" t="s">
        <v>2656</v>
      </c>
      <c r="C27" s="634" t="s">
        <v>3085</v>
      </c>
      <c r="D27" s="435">
        <v>100</v>
      </c>
      <c r="E27" s="616" t="s">
        <v>3085</v>
      </c>
      <c r="F27" s="435">
        <f>SUMIF(89:89,E27,90:90)-SUMIF(89:89,C27,90:90)+100</f>
        <v>100</v>
      </c>
      <c r="G27" s="634" t="s">
        <v>3085</v>
      </c>
      <c r="H27" s="435">
        <f>SUMIF(89:89,G27,90:90)-SUMIF(89:89,C27,90:90)+100</f>
        <v>100</v>
      </c>
      <c r="I27" s="616" t="s">
        <v>3085</v>
      </c>
      <c r="J27" s="435">
        <f>SUMIF(89:89,I27,90:90)-SUMIF(89:89,C27,90:90)+100</f>
        <v>100</v>
      </c>
      <c r="K27" s="612">
        <v>1</v>
      </c>
      <c r="L27" s="1143"/>
      <c r="M27" s="1134"/>
      <c r="N27" s="1134"/>
      <c r="O27" s="1134"/>
      <c r="P27" s="3234"/>
      <c r="Q27" s="1813" t="str">
        <f t="shared" ref="Q27:Q47" si="11">B27</f>
        <v>楼层</v>
      </c>
      <c r="R27" s="774" t="s">
        <v>17</v>
      </c>
      <c r="S27" s="775">
        <f>F27</f>
        <v>100</v>
      </c>
      <c r="T27" s="774" t="s">
        <v>17</v>
      </c>
      <c r="U27" s="775">
        <f>H27</f>
        <v>100</v>
      </c>
      <c r="V27" s="774" t="s">
        <v>17</v>
      </c>
      <c r="W27" s="775">
        <f>J27</f>
        <v>100</v>
      </c>
      <c r="X27" s="1816"/>
      <c r="Y27" s="3227"/>
      <c r="Z27" s="1817" t="str">
        <f>Q27</f>
        <v>楼层</v>
      </c>
      <c r="AA27" s="1814">
        <f t="shared" si="3"/>
        <v>1</v>
      </c>
      <c r="AB27" s="1814">
        <f t="shared" si="4"/>
        <v>1</v>
      </c>
      <c r="AC27" s="2676">
        <f t="shared" si="5"/>
        <v>1</v>
      </c>
    </row>
    <row r="28" spans="1:29" s="117" customFormat="1" ht="15" hidden="1">
      <c r="A28" s="431"/>
      <c r="B28" s="631" t="s">
        <v>2689</v>
      </c>
      <c r="C28" s="2679" t="s">
        <v>3088</v>
      </c>
      <c r="D28" s="462">
        <v>100</v>
      </c>
      <c r="E28" s="2667" t="s">
        <v>3089</v>
      </c>
      <c r="F28" s="462">
        <f>SUMIF(91:91,E28,92:92)-SUMIF(91:91,C28,92:92)+100</f>
        <v>100</v>
      </c>
      <c r="G28" s="2679" t="s">
        <v>3090</v>
      </c>
      <c r="H28" s="462">
        <f>SUMIF(91:91,G28,92:92)-SUMIF(91:91,C28,92:92)+100</f>
        <v>100</v>
      </c>
      <c r="I28" s="2667" t="s">
        <v>3091</v>
      </c>
      <c r="J28" s="462">
        <f>SUMIF(91:91,I28,92:92)-SUMIF(91:91,C28,92:92)+100</f>
        <v>100</v>
      </c>
      <c r="K28" s="612"/>
      <c r="L28" s="1135"/>
      <c r="M28" s="1136"/>
      <c r="N28" s="1136"/>
      <c r="O28" s="1136"/>
      <c r="P28" s="3234"/>
      <c r="Q28" s="1798" t="str">
        <f t="shared" si="11"/>
        <v>朝向</v>
      </c>
      <c r="R28" s="770" t="s">
        <v>17</v>
      </c>
      <c r="S28" s="771">
        <f>F28</f>
        <v>100</v>
      </c>
      <c r="T28" s="770" t="s">
        <v>17</v>
      </c>
      <c r="U28" s="771">
        <f>H28</f>
        <v>100</v>
      </c>
      <c r="V28" s="770" t="s">
        <v>17</v>
      </c>
      <c r="W28" s="771">
        <f>J28</f>
        <v>100</v>
      </c>
      <c r="X28" s="772"/>
      <c r="Y28" s="3227"/>
      <c r="Z28" s="55" t="str">
        <f>Q28</f>
        <v>朝向</v>
      </c>
      <c r="AA28" s="1814">
        <f>D28/F28</f>
        <v>1</v>
      </c>
      <c r="AB28" s="1814">
        <f>D28/H28</f>
        <v>1</v>
      </c>
      <c r="AC28" s="2676">
        <f>D28/J28</f>
        <v>1</v>
      </c>
    </row>
    <row r="29" spans="1:29" ht="15">
      <c r="A29" s="428"/>
      <c r="B29" s="2969" t="s">
        <v>3136</v>
      </c>
      <c r="C29" s="2617">
        <v>3</v>
      </c>
      <c r="D29" s="435">
        <v>100</v>
      </c>
      <c r="E29" s="432">
        <v>22</v>
      </c>
      <c r="F29" s="435">
        <f>SUMIF(93:93,E29,94:94)-SUMIF(93:93,C29,94:94)+100</f>
        <v>102</v>
      </c>
      <c r="G29" s="2674">
        <v>26</v>
      </c>
      <c r="H29" s="435">
        <f>SUMIF(93:93,G29,94:94)-SUMIF(93:93,C29,94:94)+100</f>
        <v>102</v>
      </c>
      <c r="I29" s="432">
        <v>19</v>
      </c>
      <c r="J29" s="435">
        <f>SUMIF(93:93,I29,94:94)-SUMIF(93:93,C29,94:94)+100</f>
        <v>101</v>
      </c>
      <c r="K29" s="613"/>
      <c r="L29" s="1143"/>
      <c r="M29" s="1134"/>
      <c r="N29" s="1134"/>
      <c r="O29" s="1134"/>
      <c r="P29" s="3234"/>
      <c r="Q29" s="1813" t="str">
        <f t="shared" si="11"/>
        <v>总楼层</v>
      </c>
      <c r="R29" s="774" t="s">
        <v>17</v>
      </c>
      <c r="S29" s="775">
        <f t="shared" ref="S29:S47" si="12">F29</f>
        <v>102</v>
      </c>
      <c r="T29" s="774" t="s">
        <v>17</v>
      </c>
      <c r="U29" s="775">
        <f t="shared" ref="U29:U47" si="13">H29</f>
        <v>102</v>
      </c>
      <c r="V29" s="774" t="s">
        <v>17</v>
      </c>
      <c r="W29" s="775">
        <f t="shared" ref="W29:W47" si="14">J29</f>
        <v>101</v>
      </c>
      <c r="X29" s="1816"/>
      <c r="Y29" s="3227"/>
      <c r="Z29" s="1817" t="str">
        <f t="shared" ref="Z29:Z47" si="15">Q29</f>
        <v>总楼层</v>
      </c>
      <c r="AA29" s="1814">
        <f t="shared" si="3"/>
        <v>0.98039215686274506</v>
      </c>
      <c r="AB29" s="1814">
        <f t="shared" si="4"/>
        <v>0.98039215686274506</v>
      </c>
      <c r="AC29" s="2676">
        <f t="shared" si="5"/>
        <v>0.99009900990099009</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34"/>
      <c r="Q30" s="1813">
        <f t="shared" si="11"/>
        <v>111</v>
      </c>
      <c r="R30" s="774" t="s">
        <v>17</v>
      </c>
      <c r="S30" s="775">
        <f t="shared" si="12"/>
        <v>100</v>
      </c>
      <c r="T30" s="774" t="s">
        <v>17</v>
      </c>
      <c r="U30" s="775">
        <f t="shared" si="13"/>
        <v>100</v>
      </c>
      <c r="V30" s="774" t="s">
        <v>17</v>
      </c>
      <c r="W30" s="775">
        <f t="shared" si="14"/>
        <v>100</v>
      </c>
      <c r="X30" s="1816"/>
      <c r="Y30" s="3227"/>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34"/>
      <c r="Q31" s="1813">
        <f t="shared" si="11"/>
        <v>111</v>
      </c>
      <c r="R31" s="774" t="s">
        <v>17</v>
      </c>
      <c r="S31" s="775">
        <f t="shared" si="12"/>
        <v>100</v>
      </c>
      <c r="T31" s="774" t="s">
        <v>17</v>
      </c>
      <c r="U31" s="775">
        <f t="shared" si="13"/>
        <v>100</v>
      </c>
      <c r="V31" s="774" t="s">
        <v>17</v>
      </c>
      <c r="W31" s="775">
        <f t="shared" si="14"/>
        <v>100</v>
      </c>
      <c r="X31" s="1816"/>
      <c r="Y31" s="3227"/>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34"/>
      <c r="Q32" s="1813">
        <f t="shared" si="11"/>
        <v>111</v>
      </c>
      <c r="R32" s="774" t="s">
        <v>17</v>
      </c>
      <c r="S32" s="775">
        <f t="shared" si="12"/>
        <v>100</v>
      </c>
      <c r="T32" s="774" t="s">
        <v>17</v>
      </c>
      <c r="U32" s="775">
        <f t="shared" si="13"/>
        <v>100</v>
      </c>
      <c r="V32" s="774" t="s">
        <v>17</v>
      </c>
      <c r="W32" s="775">
        <f t="shared" si="14"/>
        <v>100</v>
      </c>
      <c r="X32" s="1816"/>
      <c r="Y32" s="3227"/>
      <c r="Z32" s="1817">
        <f t="shared" si="15"/>
        <v>111</v>
      </c>
      <c r="AA32" s="1814">
        <f t="shared" si="3"/>
        <v>1</v>
      </c>
      <c r="AB32" s="1814">
        <f t="shared" si="4"/>
        <v>1</v>
      </c>
      <c r="AC32" s="2676">
        <f t="shared" si="5"/>
        <v>1</v>
      </c>
    </row>
    <row r="33" spans="1:29" ht="15">
      <c r="A33" s="440" t="s">
        <v>2560</v>
      </c>
      <c r="B33" s="71" t="s">
        <v>2690</v>
      </c>
      <c r="C33" s="2681" t="s">
        <v>3092</v>
      </c>
      <c r="D33" s="467">
        <v>100</v>
      </c>
      <c r="E33" s="2681" t="s">
        <v>3092</v>
      </c>
      <c r="F33" s="461">
        <f>SUMIF(101:101,E33,102:102)-SUMIF(101:101,C33,102:102)+100</f>
        <v>100</v>
      </c>
      <c r="G33" s="2681" t="s">
        <v>3092</v>
      </c>
      <c r="H33" s="435">
        <f>SUMIF(101:101,G33,102:102)-SUMIF(101:101,C33,102:102)+100</f>
        <v>100</v>
      </c>
      <c r="I33" s="2681" t="s">
        <v>3092</v>
      </c>
      <c r="J33" s="467">
        <f>SUMIF(101:101,I33,102:102)-SUMIF(101:101,C33,102:102)+100</f>
        <v>100</v>
      </c>
      <c r="K33" s="612">
        <v>1</v>
      </c>
      <c r="L33" s="1143"/>
      <c r="M33" s="1134"/>
      <c r="N33" s="1134"/>
      <c r="O33" s="1134"/>
      <c r="P33" s="3228" t="s">
        <v>2562</v>
      </c>
      <c r="Q33" s="1813" t="str">
        <f t="shared" si="11"/>
        <v>建筑类型</v>
      </c>
      <c r="R33" s="774" t="s">
        <v>17</v>
      </c>
      <c r="S33" s="775">
        <f t="shared" si="12"/>
        <v>100</v>
      </c>
      <c r="T33" s="774" t="s">
        <v>17</v>
      </c>
      <c r="U33" s="775">
        <f t="shared" si="13"/>
        <v>100</v>
      </c>
      <c r="V33" s="774" t="s">
        <v>17</v>
      </c>
      <c r="W33" s="775">
        <f t="shared" si="14"/>
        <v>100</v>
      </c>
      <c r="X33" s="1816"/>
      <c r="Y33" s="3231" t="s">
        <v>2562</v>
      </c>
      <c r="Z33" s="1817" t="str">
        <f t="shared" si="15"/>
        <v>建筑类型</v>
      </c>
      <c r="AA33" s="1814">
        <f t="shared" si="3"/>
        <v>1</v>
      </c>
      <c r="AB33" s="1814">
        <f t="shared" si="4"/>
        <v>1</v>
      </c>
      <c r="AC33" s="2676">
        <f t="shared" si="5"/>
        <v>1</v>
      </c>
    </row>
    <row r="34" spans="1:29" s="471" customFormat="1" ht="15">
      <c r="A34" s="468"/>
      <c r="B34" s="2962" t="s">
        <v>2563</v>
      </c>
      <c r="C34" s="469">
        <v>13431</v>
      </c>
      <c r="D34" s="136">
        <v>100</v>
      </c>
      <c r="E34" s="430">
        <v>512.08000000000004</v>
      </c>
      <c r="F34" s="425">
        <f>LOOKUP(E34,104:104,105:105)-LOOKUP(C34,104:104,105:105)+100</f>
        <v>104</v>
      </c>
      <c r="G34" s="429">
        <v>1350</v>
      </c>
      <c r="H34" s="136">
        <f>LOOKUP(G34,104:104,105:105)-LOOKUP(C34,104:104,105:105)+100</f>
        <v>103</v>
      </c>
      <c r="I34" s="429">
        <v>128</v>
      </c>
      <c r="J34" s="136">
        <f>LOOKUP(I34,104:104,105:105)-LOOKUP(C34,104:104,105:105)+100</f>
        <v>103</v>
      </c>
      <c r="K34" s="613"/>
      <c r="L34" s="1141"/>
      <c r="M34" s="1144"/>
      <c r="N34" s="1144"/>
      <c r="O34" s="1144"/>
      <c r="P34" s="3229"/>
      <c r="Q34" s="776" t="str">
        <f t="shared" si="11"/>
        <v>项目建筑规模</v>
      </c>
      <c r="R34" s="777" t="s">
        <v>17</v>
      </c>
      <c r="S34" s="778">
        <f t="shared" si="12"/>
        <v>104</v>
      </c>
      <c r="T34" s="777" t="s">
        <v>17</v>
      </c>
      <c r="U34" s="778">
        <f t="shared" si="13"/>
        <v>103</v>
      </c>
      <c r="V34" s="777" t="s">
        <v>17</v>
      </c>
      <c r="W34" s="778">
        <f t="shared" si="14"/>
        <v>103</v>
      </c>
      <c r="X34" s="779"/>
      <c r="Y34" s="3231"/>
      <c r="Z34" s="780" t="str">
        <f t="shared" si="15"/>
        <v>项目建筑规模</v>
      </c>
      <c r="AA34" s="1814">
        <f t="shared" si="3"/>
        <v>0.96153846153846156</v>
      </c>
      <c r="AB34" s="1814">
        <f t="shared" si="4"/>
        <v>0.970873786407767</v>
      </c>
      <c r="AC34" s="2676">
        <f t="shared" si="5"/>
        <v>0.970873786407767</v>
      </c>
    </row>
    <row r="35" spans="1:29" ht="15">
      <c r="A35" s="472"/>
      <c r="B35" s="422" t="s">
        <v>2564</v>
      </c>
      <c r="C35" s="460" t="s">
        <v>3068</v>
      </c>
      <c r="D35" s="435">
        <v>100</v>
      </c>
      <c r="E35" s="460" t="s">
        <v>3068</v>
      </c>
      <c r="F35" s="461">
        <f>SUMIF(106:106,E35,107:107)-SUMIF(106:106,C35,107:107)+100</f>
        <v>100</v>
      </c>
      <c r="G35" s="460" t="s">
        <v>3068</v>
      </c>
      <c r="H35" s="435">
        <f>SUMIF(106:106,G35,107:107)-SUMIF(106:106,C35,107:107)+100</f>
        <v>100</v>
      </c>
      <c r="I35" s="460" t="s">
        <v>3068</v>
      </c>
      <c r="J35" s="435">
        <f>SUMIF(106:106,I35,107:107)-SUMIF(106:106,C35,107:107)+100</f>
        <v>100</v>
      </c>
      <c r="K35" s="612">
        <v>1</v>
      </c>
      <c r="L35" s="1143"/>
      <c r="M35" s="1134"/>
      <c r="N35" s="1134"/>
      <c r="O35" s="1134"/>
      <c r="P35" s="3229"/>
      <c r="Q35" s="1813" t="str">
        <f t="shared" si="11"/>
        <v>建筑结构</v>
      </c>
      <c r="R35" s="774" t="s">
        <v>17</v>
      </c>
      <c r="S35" s="775">
        <f t="shared" si="12"/>
        <v>100</v>
      </c>
      <c r="T35" s="774" t="s">
        <v>17</v>
      </c>
      <c r="U35" s="775">
        <f t="shared" si="13"/>
        <v>100</v>
      </c>
      <c r="V35" s="774" t="s">
        <v>17</v>
      </c>
      <c r="W35" s="775">
        <f t="shared" si="14"/>
        <v>100</v>
      </c>
      <c r="X35" s="1816"/>
      <c r="Y35" s="3231"/>
      <c r="Z35" s="1817" t="str">
        <f t="shared" si="15"/>
        <v>建筑结构</v>
      </c>
      <c r="AA35" s="1814">
        <f t="shared" si="3"/>
        <v>1</v>
      </c>
      <c r="AB35" s="1814">
        <f t="shared" si="4"/>
        <v>1</v>
      </c>
      <c r="AC35" s="2676">
        <f t="shared" si="5"/>
        <v>1</v>
      </c>
    </row>
    <row r="36" spans="1:29" ht="15">
      <c r="A36" s="472"/>
      <c r="B36" s="422" t="s">
        <v>2658</v>
      </c>
      <c r="C36" s="460" t="s">
        <v>3100</v>
      </c>
      <c r="D36" s="435">
        <v>100</v>
      </c>
      <c r="E36" s="460" t="s">
        <v>3076</v>
      </c>
      <c r="F36" s="461">
        <f>SUMIF(108:108,E36,109:109)-SUMIF(108:108,C36,109:109)+100</f>
        <v>97</v>
      </c>
      <c r="G36" s="460" t="s">
        <v>3076</v>
      </c>
      <c r="H36" s="435">
        <f>SUMIF(108:108,G36,109:109)-SUMIF(108:108,C36,109:109)+100</f>
        <v>97</v>
      </c>
      <c r="I36" s="460" t="s">
        <v>3076</v>
      </c>
      <c r="J36" s="435">
        <f>SUMIF(108:108,I36,109:109)-SUMIF(108:108,C36,109:109)+100</f>
        <v>97</v>
      </c>
      <c r="K36" s="612">
        <v>3</v>
      </c>
      <c r="L36" s="1143"/>
      <c r="M36" s="1134"/>
      <c r="N36" s="1134"/>
      <c r="O36" s="1134"/>
      <c r="P36" s="3229"/>
      <c r="Q36" s="1813" t="str">
        <f t="shared" si="11"/>
        <v>公共部分装修</v>
      </c>
      <c r="R36" s="774" t="s">
        <v>17</v>
      </c>
      <c r="S36" s="775">
        <f t="shared" si="12"/>
        <v>97</v>
      </c>
      <c r="T36" s="774" t="s">
        <v>17</v>
      </c>
      <c r="U36" s="775">
        <f t="shared" si="13"/>
        <v>97</v>
      </c>
      <c r="V36" s="774" t="s">
        <v>17</v>
      </c>
      <c r="W36" s="775">
        <f t="shared" si="14"/>
        <v>97</v>
      </c>
      <c r="X36" s="1816"/>
      <c r="Y36" s="3231"/>
      <c r="Z36" s="1817" t="str">
        <f t="shared" si="15"/>
        <v>公共部分装修</v>
      </c>
      <c r="AA36" s="1814">
        <f t="shared" si="3"/>
        <v>1.0309278350515463</v>
      </c>
      <c r="AB36" s="1814">
        <f t="shared" si="4"/>
        <v>1.0309278350515463</v>
      </c>
      <c r="AC36" s="2676">
        <f t="shared" si="5"/>
        <v>1.0309278350515463</v>
      </c>
    </row>
    <row r="37" spans="1:29" ht="15">
      <c r="A37" s="472"/>
      <c r="B37" s="422" t="s">
        <v>2659</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1</v>
      </c>
      <c r="L37" s="1143"/>
      <c r="M37" s="1134"/>
      <c r="N37" s="1134"/>
      <c r="O37" s="1134"/>
      <c r="P37" s="3229"/>
      <c r="Q37" s="1813" t="str">
        <f t="shared" si="11"/>
        <v>成新度</v>
      </c>
      <c r="R37" s="774" t="s">
        <v>17</v>
      </c>
      <c r="S37" s="775">
        <f t="shared" si="12"/>
        <v>100</v>
      </c>
      <c r="T37" s="774" t="s">
        <v>17</v>
      </c>
      <c r="U37" s="775">
        <f t="shared" si="13"/>
        <v>100</v>
      </c>
      <c r="V37" s="774" t="s">
        <v>17</v>
      </c>
      <c r="W37" s="775">
        <f t="shared" si="14"/>
        <v>100</v>
      </c>
      <c r="X37" s="1816"/>
      <c r="Y37" s="3231"/>
      <c r="Z37" s="1817" t="str">
        <f t="shared" si="15"/>
        <v>成新度</v>
      </c>
      <c r="AA37" s="1814">
        <f t="shared" si="3"/>
        <v>1</v>
      </c>
      <c r="AB37" s="1814">
        <f t="shared" si="4"/>
        <v>1</v>
      </c>
      <c r="AC37" s="2676">
        <f t="shared" si="5"/>
        <v>1</v>
      </c>
    </row>
    <row r="38" spans="1:29" s="117" customFormat="1" ht="15">
      <c r="A38" s="473"/>
      <c r="B38" s="422" t="s">
        <v>2691</v>
      </c>
      <c r="C38" s="460" t="s">
        <v>3109</v>
      </c>
      <c r="D38" s="136">
        <v>100</v>
      </c>
      <c r="E38" s="460" t="s">
        <v>3109</v>
      </c>
      <c r="F38" s="461">
        <f>SUMIF(113:113,E38,114:114)-SUMIF(113:113,C38,114:114)+100</f>
        <v>100</v>
      </c>
      <c r="G38" s="460" t="s">
        <v>3109</v>
      </c>
      <c r="H38" s="435">
        <f>SUMIF(113:113,G38,114:114)-SUMIF(113:113,C38,114:114)+100</f>
        <v>100</v>
      </c>
      <c r="I38" s="460" t="s">
        <v>3109</v>
      </c>
      <c r="J38" s="435">
        <f>SUMIF(113:113,I38,114:114)-SUMIF(113:113,C38,114:114)+100</f>
        <v>100</v>
      </c>
      <c r="K38" s="612">
        <v>2</v>
      </c>
      <c r="L38" s="1135"/>
      <c r="M38" s="1136"/>
      <c r="N38" s="1136"/>
      <c r="O38" s="1136"/>
      <c r="P38" s="3229"/>
      <c r="Q38" s="1798" t="str">
        <f t="shared" si="11"/>
        <v>写字楼等级</v>
      </c>
      <c r="R38" s="770" t="s">
        <v>17</v>
      </c>
      <c r="S38" s="771">
        <f t="shared" si="12"/>
        <v>100</v>
      </c>
      <c r="T38" s="770" t="s">
        <v>17</v>
      </c>
      <c r="U38" s="771">
        <f t="shared" si="13"/>
        <v>100</v>
      </c>
      <c r="V38" s="770" t="s">
        <v>17</v>
      </c>
      <c r="W38" s="771">
        <f t="shared" si="14"/>
        <v>100</v>
      </c>
      <c r="X38" s="772"/>
      <c r="Y38" s="3231"/>
      <c r="Z38" s="55" t="str">
        <f t="shared" si="15"/>
        <v>写字楼等级</v>
      </c>
      <c r="AA38" s="773">
        <f t="shared" si="3"/>
        <v>1</v>
      </c>
      <c r="AB38" s="773">
        <f t="shared" si="4"/>
        <v>1</v>
      </c>
      <c r="AC38" s="2673">
        <f t="shared" si="5"/>
        <v>1</v>
      </c>
    </row>
    <row r="39" spans="1:29" ht="15">
      <c r="A39" s="472"/>
      <c r="B39" s="2964" t="s">
        <v>2692</v>
      </c>
      <c r="C39" s="460" t="s">
        <v>3100</v>
      </c>
      <c r="D39" s="435">
        <v>100</v>
      </c>
      <c r="E39" s="460" t="s">
        <v>3076</v>
      </c>
      <c r="F39" s="461">
        <f>SUMIF(115:115,E39,116:116)-SUMIF(115:115,C39,116:116)+100</f>
        <v>95</v>
      </c>
      <c r="G39" s="460" t="s">
        <v>3076</v>
      </c>
      <c r="H39" s="435">
        <f>SUMIF(115:115,G39,116:116)-SUMIF(115:115,C39,116:116)+100</f>
        <v>95</v>
      </c>
      <c r="I39" s="460" t="s">
        <v>3076</v>
      </c>
      <c r="J39" s="435">
        <f>SUMIF(115:115,I39,116:116)-SUMIF(115:115,C39,116:116)+100</f>
        <v>95</v>
      </c>
      <c r="K39" s="612">
        <v>5</v>
      </c>
      <c r="L39" s="1143"/>
      <c r="M39" s="1134"/>
      <c r="N39" s="1134"/>
      <c r="O39" s="1134"/>
      <c r="P39" s="3229" t="s">
        <v>2562</v>
      </c>
      <c r="Q39" s="1813" t="str">
        <f t="shared" si="11"/>
        <v>物业管理</v>
      </c>
      <c r="R39" s="774" t="s">
        <v>17</v>
      </c>
      <c r="S39" s="775">
        <f t="shared" si="12"/>
        <v>95</v>
      </c>
      <c r="T39" s="774" t="s">
        <v>17</v>
      </c>
      <c r="U39" s="775">
        <f t="shared" si="13"/>
        <v>95</v>
      </c>
      <c r="V39" s="774" t="s">
        <v>17</v>
      </c>
      <c r="W39" s="775">
        <f t="shared" si="14"/>
        <v>95</v>
      </c>
      <c r="X39" s="1816"/>
      <c r="Y39" s="3231" t="s">
        <v>2562</v>
      </c>
      <c r="Z39" s="1817" t="str">
        <f t="shared" si="15"/>
        <v>物业管理</v>
      </c>
      <c r="AA39" s="1814">
        <f t="shared" si="3"/>
        <v>1.0526315789473684</v>
      </c>
      <c r="AB39" s="1814">
        <f t="shared" si="4"/>
        <v>1.0526315789473684</v>
      </c>
      <c r="AC39" s="2676">
        <f t="shared" si="5"/>
        <v>1.0526315789473684</v>
      </c>
    </row>
    <row r="40" spans="1:29" ht="15">
      <c r="A40" s="472"/>
      <c r="B40" s="422" t="s">
        <v>2660</v>
      </c>
      <c r="C40" s="460" t="s">
        <v>3077</v>
      </c>
      <c r="D40" s="435">
        <v>100</v>
      </c>
      <c r="E40" s="460" t="s">
        <v>3078</v>
      </c>
      <c r="F40" s="461">
        <f>SUMIF(117:117,E40,118:118)-SUMIF(117:117,C40,118:118)+100</f>
        <v>98</v>
      </c>
      <c r="G40" s="460" t="s">
        <v>3078</v>
      </c>
      <c r="H40" s="435">
        <f>SUMIF(117:117,G40,118:118)-SUMIF(117:117,C40,118:118)+100</f>
        <v>98</v>
      </c>
      <c r="I40" s="460" t="s">
        <v>3078</v>
      </c>
      <c r="J40" s="435">
        <f>SUMIF(117:117,I40,118:118)-SUMIF(117:117,C40,118:118)+100</f>
        <v>98</v>
      </c>
      <c r="K40" s="612">
        <v>2</v>
      </c>
      <c r="L40" s="1143"/>
      <c r="M40" s="1134"/>
      <c r="N40" s="1134"/>
      <c r="O40" s="1134"/>
      <c r="P40" s="3229"/>
      <c r="Q40" s="1813" t="str">
        <f t="shared" si="11"/>
        <v>市政基础设施</v>
      </c>
      <c r="R40" s="774" t="s">
        <v>17</v>
      </c>
      <c r="S40" s="775">
        <f t="shared" si="12"/>
        <v>98</v>
      </c>
      <c r="T40" s="774" t="s">
        <v>17</v>
      </c>
      <c r="U40" s="775">
        <f t="shared" si="13"/>
        <v>98</v>
      </c>
      <c r="V40" s="774" t="s">
        <v>17</v>
      </c>
      <c r="W40" s="775">
        <f t="shared" si="14"/>
        <v>98</v>
      </c>
      <c r="X40" s="1816"/>
      <c r="Y40" s="3231"/>
      <c r="Z40" s="1817" t="str">
        <f t="shared" si="15"/>
        <v>市政基础设施</v>
      </c>
      <c r="AA40" s="1814">
        <f t="shared" si="3"/>
        <v>1.0204081632653061</v>
      </c>
      <c r="AB40" s="1814">
        <f t="shared" si="4"/>
        <v>1.0204081632653061</v>
      </c>
      <c r="AC40" s="2676">
        <f t="shared" si="5"/>
        <v>1.0204081632653061</v>
      </c>
    </row>
    <row r="41" spans="1:29" ht="15">
      <c r="A41" s="472"/>
      <c r="B41" s="422" t="s">
        <v>2662</v>
      </c>
      <c r="C41" s="616" t="s">
        <v>3117</v>
      </c>
      <c r="D41" s="435">
        <v>100</v>
      </c>
      <c r="E41" s="616" t="s">
        <v>3117</v>
      </c>
      <c r="F41" s="461">
        <f>SUMIF(119:119,E41,120:120)-SUMIF(119:119,C41,120:120)+100</f>
        <v>100</v>
      </c>
      <c r="G41" s="616" t="s">
        <v>3117</v>
      </c>
      <c r="H41" s="435">
        <f>SUMIF(119:119,G41,120:120)-SUMIF(119:119,C41,120:120)+100</f>
        <v>100</v>
      </c>
      <c r="I41" s="616" t="s">
        <v>3117</v>
      </c>
      <c r="J41" s="435">
        <f>SUMIF(119:119,I41,120:120)-SUMIF(119:119,C41,120:120)+100</f>
        <v>100</v>
      </c>
      <c r="K41" s="612">
        <v>1</v>
      </c>
      <c r="L41" s="1143"/>
      <c r="M41" s="1134"/>
      <c r="N41" s="1134"/>
      <c r="O41" s="1134"/>
      <c r="P41" s="3229"/>
      <c r="Q41" s="1813" t="str">
        <f t="shared" si="11"/>
        <v>层高</v>
      </c>
      <c r="R41" s="774" t="s">
        <v>17</v>
      </c>
      <c r="S41" s="775">
        <f t="shared" si="12"/>
        <v>100</v>
      </c>
      <c r="T41" s="774" t="s">
        <v>17</v>
      </c>
      <c r="U41" s="775">
        <f t="shared" si="13"/>
        <v>100</v>
      </c>
      <c r="V41" s="774" t="s">
        <v>17</v>
      </c>
      <c r="W41" s="775">
        <f t="shared" si="14"/>
        <v>100</v>
      </c>
      <c r="X41" s="1816"/>
      <c r="Y41" s="3231"/>
      <c r="Z41" s="1817" t="str">
        <f t="shared" si="15"/>
        <v>层高</v>
      </c>
      <c r="AA41" s="1814">
        <f t="shared" si="3"/>
        <v>1</v>
      </c>
      <c r="AB41" s="1814">
        <f t="shared" si="4"/>
        <v>1</v>
      </c>
      <c r="AC41" s="2676">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9"/>
      <c r="Q42" s="776" t="str">
        <f t="shared" si="11"/>
        <v>单套建筑面积</v>
      </c>
      <c r="R42" s="777" t="s">
        <v>17</v>
      </c>
      <c r="S42" s="778">
        <f t="shared" si="12"/>
        <v>100</v>
      </c>
      <c r="T42" s="777" t="s">
        <v>17</v>
      </c>
      <c r="U42" s="778">
        <f t="shared" si="13"/>
        <v>100</v>
      </c>
      <c r="V42" s="777" t="s">
        <v>17</v>
      </c>
      <c r="W42" s="778">
        <f t="shared" si="14"/>
        <v>100</v>
      </c>
      <c r="X42" s="779"/>
      <c r="Y42" s="3231"/>
      <c r="Z42" s="780" t="str">
        <f t="shared" si="15"/>
        <v>单套建筑面积</v>
      </c>
      <c r="AA42" s="1814">
        <f t="shared" si="3"/>
        <v>1</v>
      </c>
      <c r="AB42" s="1814">
        <f t="shared" si="4"/>
        <v>1</v>
      </c>
      <c r="AC42" s="2676">
        <f t="shared" si="5"/>
        <v>1</v>
      </c>
    </row>
    <row r="43" spans="1:29" ht="15">
      <c r="A43" s="472"/>
      <c r="B43" s="422" t="s">
        <v>2665</v>
      </c>
      <c r="C43" s="460" t="s">
        <v>3094</v>
      </c>
      <c r="D43" s="435">
        <v>100</v>
      </c>
      <c r="E43" s="460" t="s">
        <v>3098</v>
      </c>
      <c r="F43" s="461">
        <f>SUMIF(123:123,E43,124:124)-SUMIF(123:123,C43,124:124)+100</f>
        <v>88</v>
      </c>
      <c r="G43" s="460" t="s">
        <v>3098</v>
      </c>
      <c r="H43" s="435">
        <f>SUMIF(123:123,G43,124:124)-SUMIF(123:123,C43,124:124)+100</f>
        <v>88</v>
      </c>
      <c r="I43" s="460" t="s">
        <v>3098</v>
      </c>
      <c r="J43" s="435">
        <f>SUMIF(123:123,I43,124:124)-SUMIF(123:123,C43,124:124)+100</f>
        <v>88</v>
      </c>
      <c r="K43" s="612">
        <v>4</v>
      </c>
      <c r="L43" s="1143"/>
      <c r="M43" s="1134"/>
      <c r="N43" s="1134"/>
      <c r="O43" s="1134"/>
      <c r="P43" s="3229"/>
      <c r="Q43" s="1813" t="str">
        <f t="shared" si="11"/>
        <v>内部装修</v>
      </c>
      <c r="R43" s="774" t="s">
        <v>17</v>
      </c>
      <c r="S43" s="775">
        <f t="shared" si="12"/>
        <v>88</v>
      </c>
      <c r="T43" s="774" t="s">
        <v>17</v>
      </c>
      <c r="U43" s="775">
        <f t="shared" si="13"/>
        <v>88</v>
      </c>
      <c r="V43" s="774" t="s">
        <v>17</v>
      </c>
      <c r="W43" s="775">
        <f t="shared" si="14"/>
        <v>88</v>
      </c>
      <c r="X43" s="1816"/>
      <c r="Y43" s="3231"/>
      <c r="Z43" s="1817" t="str">
        <f t="shared" si="15"/>
        <v>内部装修</v>
      </c>
      <c r="AA43" s="1814">
        <f t="shared" si="3"/>
        <v>1.1363636363636365</v>
      </c>
      <c r="AB43" s="1814">
        <f t="shared" si="4"/>
        <v>1.1363636363636365</v>
      </c>
      <c r="AC43" s="2676">
        <f t="shared" si="5"/>
        <v>1.1363636363636365</v>
      </c>
    </row>
    <row r="44" spans="1:29" ht="15">
      <c r="A44" s="472"/>
      <c r="B44" s="422" t="s">
        <v>2573</v>
      </c>
      <c r="C44" s="460" t="s">
        <v>3100</v>
      </c>
      <c r="D44" s="435">
        <v>100</v>
      </c>
      <c r="E44" s="2615" t="s">
        <v>3076</v>
      </c>
      <c r="F44" s="461">
        <f>SUMIF(125:125,E44,126:126)-SUMIF(125:125,C44,126:126)+100</f>
        <v>98</v>
      </c>
      <c r="G44" s="2615" t="s">
        <v>3076</v>
      </c>
      <c r="H44" s="435">
        <f>SUMIF(125:125,G44,126:126)-SUMIF(125:125,C44,126:126)+100</f>
        <v>98</v>
      </c>
      <c r="I44" s="2615" t="s">
        <v>3076</v>
      </c>
      <c r="J44" s="435">
        <f>SUMIF(125:125,I44,126:126)-SUMIF(125:125,C44,126:126)+100</f>
        <v>98</v>
      </c>
      <c r="K44" s="612">
        <v>2</v>
      </c>
      <c r="L44" s="1143"/>
      <c r="M44" s="1134"/>
      <c r="N44" s="1134"/>
      <c r="O44" s="1134"/>
      <c r="P44" s="3229"/>
      <c r="Q44" s="1813" t="str">
        <f t="shared" si="11"/>
        <v>内部装修维护情况</v>
      </c>
      <c r="R44" s="774" t="s">
        <v>17</v>
      </c>
      <c r="S44" s="775">
        <f t="shared" si="12"/>
        <v>98</v>
      </c>
      <c r="T44" s="774" t="s">
        <v>17</v>
      </c>
      <c r="U44" s="775">
        <f t="shared" si="13"/>
        <v>98</v>
      </c>
      <c r="V44" s="774" t="s">
        <v>17</v>
      </c>
      <c r="W44" s="775">
        <f t="shared" si="14"/>
        <v>98</v>
      </c>
      <c r="X44" s="1816"/>
      <c r="Y44" s="3231"/>
      <c r="Z44" s="1817" t="str">
        <f t="shared" si="15"/>
        <v>内部装修维护情况</v>
      </c>
      <c r="AA44" s="1814">
        <f t="shared" si="3"/>
        <v>1.0204081632653061</v>
      </c>
      <c r="AB44" s="1814">
        <f t="shared" si="4"/>
        <v>1.0204081632653061</v>
      </c>
      <c r="AC44" s="2676">
        <f t="shared" si="5"/>
        <v>1.0204081632653061</v>
      </c>
    </row>
    <row r="45" spans="1:29" s="117" customFormat="1" ht="15">
      <c r="A45" s="473"/>
      <c r="B45" s="2960" t="s">
        <v>3124</v>
      </c>
      <c r="C45" s="2965" t="s">
        <v>3135</v>
      </c>
      <c r="D45" s="136">
        <v>100</v>
      </c>
      <c r="E45" s="2961" t="s">
        <v>3125</v>
      </c>
      <c r="F45" s="425">
        <f>SUMIF(127:127,E45,128:128)-SUMIF(127:127,C45,128:128)+100</f>
        <v>95</v>
      </c>
      <c r="G45" s="2961" t="s">
        <v>3125</v>
      </c>
      <c r="H45" s="136">
        <f>SUMIF(127:127,G45,128:128)-SUMIF(127:127,C45,128:128)+100</f>
        <v>95</v>
      </c>
      <c r="I45" s="2961" t="s">
        <v>3125</v>
      </c>
      <c r="J45" s="136">
        <f>SUMIF(127:127,I45,128:128)-SUMIF(127:127,C45,128:128)+100</f>
        <v>95</v>
      </c>
      <c r="K45" s="613"/>
      <c r="L45" s="1135"/>
      <c r="M45" s="1136"/>
      <c r="N45" s="1136"/>
      <c r="O45" s="1136"/>
      <c r="P45" s="3229"/>
      <c r="Q45" s="1798" t="str">
        <f t="shared" si="11"/>
        <v>其他</v>
      </c>
      <c r="R45" s="770" t="s">
        <v>17</v>
      </c>
      <c r="S45" s="771">
        <f t="shared" si="12"/>
        <v>95</v>
      </c>
      <c r="T45" s="770" t="s">
        <v>17</v>
      </c>
      <c r="U45" s="771">
        <f t="shared" si="13"/>
        <v>95</v>
      </c>
      <c r="V45" s="770" t="s">
        <v>17</v>
      </c>
      <c r="W45" s="771">
        <f t="shared" si="14"/>
        <v>95</v>
      </c>
      <c r="X45" s="772"/>
      <c r="Y45" s="3231"/>
      <c r="Z45" s="55" t="str">
        <f t="shared" si="15"/>
        <v>其他</v>
      </c>
      <c r="AA45" s="773">
        <f t="shared" si="3"/>
        <v>1.0526315789473684</v>
      </c>
      <c r="AB45" s="773">
        <f t="shared" si="4"/>
        <v>1.0526315789473684</v>
      </c>
      <c r="AC45" s="2673">
        <f t="shared" si="5"/>
        <v>1.0526315789473684</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9"/>
      <c r="Q46" s="1813">
        <f t="shared" si="11"/>
        <v>111</v>
      </c>
      <c r="R46" s="774" t="s">
        <v>17</v>
      </c>
      <c r="S46" s="775">
        <f t="shared" si="12"/>
        <v>100</v>
      </c>
      <c r="T46" s="774" t="s">
        <v>17</v>
      </c>
      <c r="U46" s="775">
        <f t="shared" si="13"/>
        <v>100</v>
      </c>
      <c r="V46" s="774" t="s">
        <v>17</v>
      </c>
      <c r="W46" s="775">
        <f t="shared" si="14"/>
        <v>100</v>
      </c>
      <c r="X46" s="1816"/>
      <c r="Y46" s="3231"/>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0"/>
      <c r="Q47" s="1813">
        <f t="shared" si="11"/>
        <v>111</v>
      </c>
      <c r="R47" s="774" t="s">
        <v>17</v>
      </c>
      <c r="S47" s="775">
        <f t="shared" si="12"/>
        <v>100</v>
      </c>
      <c r="T47" s="774" t="s">
        <v>17</v>
      </c>
      <c r="U47" s="775">
        <f t="shared" si="13"/>
        <v>100</v>
      </c>
      <c r="V47" s="774" t="s">
        <v>17</v>
      </c>
      <c r="W47" s="775">
        <f t="shared" si="14"/>
        <v>100</v>
      </c>
      <c r="X47" s="1816"/>
      <c r="Y47" s="3232"/>
      <c r="Z47" s="1817">
        <f t="shared" si="15"/>
        <v>111</v>
      </c>
      <c r="AA47" s="1814">
        <f t="shared" si="3"/>
        <v>1</v>
      </c>
      <c r="AB47" s="1814">
        <f t="shared" si="4"/>
        <v>1</v>
      </c>
      <c r="AC47" s="2676">
        <f t="shared" si="5"/>
        <v>1</v>
      </c>
    </row>
    <row r="48" spans="1:29" ht="15">
      <c r="A48" s="479" t="s">
        <v>2574</v>
      </c>
      <c r="B48" s="480"/>
      <c r="C48" s="1410" t="s">
        <v>1</v>
      </c>
      <c r="D48" s="1411"/>
      <c r="E48" s="1412">
        <v>8750</v>
      </c>
      <c r="F48" s="1413"/>
      <c r="G48" s="1414">
        <v>8650</v>
      </c>
      <c r="H48" s="1415"/>
      <c r="I48" s="1412">
        <v>8593</v>
      </c>
      <c r="J48" s="485"/>
      <c r="K48" s="783"/>
      <c r="L48" s="1146"/>
      <c r="M48" s="1134"/>
      <c r="N48" s="1134"/>
      <c r="O48" s="1134"/>
      <c r="P48" s="3206" t="str">
        <f>A48</f>
        <v>成交单价（元/平方米）</v>
      </c>
      <c r="Q48" s="3224"/>
      <c r="R48" s="3225">
        <f>E48</f>
        <v>8750</v>
      </c>
      <c r="S48" s="3225"/>
      <c r="T48" s="3225">
        <f>G48</f>
        <v>8650</v>
      </c>
      <c r="U48" s="3225"/>
      <c r="V48" s="3225">
        <f>I48</f>
        <v>8593</v>
      </c>
      <c r="W48" s="3225"/>
      <c r="X48" s="446"/>
      <c r="Y48" s="781"/>
      <c r="Z48" s="446"/>
      <c r="AA48" s="446"/>
      <c r="AB48" s="446"/>
      <c r="AC48" s="630"/>
    </row>
    <row r="49" spans="1:29" ht="15.75" thickBot="1">
      <c r="A49" s="486" t="s">
        <v>2666</v>
      </c>
      <c r="B49" s="487"/>
      <c r="C49" s="1416">
        <f>R50</f>
        <v>11037</v>
      </c>
      <c r="D49" s="1417"/>
      <c r="E49" s="1418">
        <f>R49</f>
        <v>11038</v>
      </c>
      <c r="F49" s="1418"/>
      <c r="G49" s="1416">
        <f>T49</f>
        <v>11018</v>
      </c>
      <c r="H49" s="1417"/>
      <c r="I49" s="1418">
        <f>V49</f>
        <v>11054</v>
      </c>
      <c r="J49" s="489"/>
      <c r="K49" s="784"/>
      <c r="L49" s="1146"/>
      <c r="M49" s="1134"/>
      <c r="N49" s="1134"/>
      <c r="O49" s="1134"/>
      <c r="P49" s="3206" t="str">
        <f>A49</f>
        <v>比较价值（元/平方米）</v>
      </c>
      <c r="Q49" s="3224"/>
      <c r="R49" s="3225">
        <f>IF(F1="售价",ROUND(PRODUCT(R48,AA7:AA47),0),ROUND(PRODUCT(R48,AA7:AA47),1))</f>
        <v>11038</v>
      </c>
      <c r="S49" s="3225"/>
      <c r="T49" s="3225">
        <f>IF(F1="售价",ROUND(PRODUCT(T48,AB7:AB47),0),ROUND(PRODUCT(T48,AB7:AB47),1))</f>
        <v>11018</v>
      </c>
      <c r="U49" s="3225"/>
      <c r="V49" s="3225">
        <f>IF(F1="售价",ROUND(PRODUCT(V48,AC7:AC47),0),ROUND(PRODUCT(V48,AC7:AC47),1))</f>
        <v>11054</v>
      </c>
      <c r="W49" s="3225"/>
      <c r="X49" s="446"/>
      <c r="Y49" s="446"/>
      <c r="Z49" s="446"/>
      <c r="AA49" s="446"/>
      <c r="AB49" s="446"/>
      <c r="AC49" s="630"/>
    </row>
    <row r="50" spans="1:29" ht="15.75" thickBot="1">
      <c r="A50" s="492" t="s">
        <v>2667</v>
      </c>
      <c r="B50" s="493"/>
      <c r="C50" s="1420">
        <f>R50</f>
        <v>11037</v>
      </c>
      <c r="D50" s="1420"/>
      <c r="E50" s="1420"/>
      <c r="F50" s="1420"/>
      <c r="G50" s="1420"/>
      <c r="H50" s="1420"/>
      <c r="I50" s="1420"/>
      <c r="J50" s="494"/>
      <c r="K50" s="785"/>
      <c r="L50" s="1146"/>
      <c r="M50" s="1134"/>
      <c r="N50" s="1134"/>
      <c r="O50" s="1134"/>
      <c r="P50" s="3249" t="str">
        <f>A50</f>
        <v>估价对象XX用房的比较价值（楼面单价，元/平方米）</v>
      </c>
      <c r="Q50" s="3250"/>
      <c r="R50" s="3251">
        <f>IF(F1="售价",ROUND(AVERAGE(R49:V49),0),ROUND(AVERAGE(R49:V49),1))</f>
        <v>11037</v>
      </c>
      <c r="S50" s="3251"/>
      <c r="T50" s="3251"/>
      <c r="U50" s="3251"/>
      <c r="V50" s="3251"/>
      <c r="W50" s="3251"/>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f>IF(E48&lt;E49,E49/E48-1,E48/E49-1)</f>
        <v>0.26148571428571432</v>
      </c>
      <c r="F53" s="500" t="str">
        <f>IF(OR(E53&gt;=0.3,E53&lt;=-0.3),"超过30%","")</f>
        <v/>
      </c>
      <c r="G53" s="499">
        <f>IF(G48&lt;G49,G49/G48-1,G48/G49-1)</f>
        <v>0.2737572254335261</v>
      </c>
      <c r="H53" s="500" t="str">
        <f>IF(OR(G53&gt;=0.3,G53&lt;=-0.3),"超过30%","")</f>
        <v/>
      </c>
      <c r="I53" s="499">
        <f>IF(I48&lt;I49,I49/I48-1,I48/I49-1)</f>
        <v>0.28639590364249967</v>
      </c>
      <c r="J53" s="500" t="str">
        <f>IF(OR(I53&gt;=0.3,I53&lt;=-0.3),"超过30%","")</f>
        <v/>
      </c>
      <c r="K53" s="1108"/>
      <c r="L53" s="1109"/>
      <c r="M53" s="1147"/>
      <c r="N53" s="1147"/>
      <c r="O53" s="1147"/>
    </row>
    <row r="54" spans="1:29" ht="13.5" customHeight="1">
      <c r="A54" s="1147"/>
      <c r="B54" s="1147"/>
      <c r="C54" s="497" t="s">
        <v>2669</v>
      </c>
      <c r="D54" s="501"/>
      <c r="E54" s="499">
        <f>IF(E49&lt;G49,G49/E49-1,E49/G49-1)</f>
        <v>1.8152114721365908E-3</v>
      </c>
      <c r="F54" s="500" t="str">
        <f>IF(OR(E54&gt;=0.2,E54&lt;=-0.2),"超过20%","")</f>
        <v/>
      </c>
      <c r="G54" s="499">
        <f>IF(G49&lt;I49,I49/G49-1,G49/I49-1)</f>
        <v>3.2673806498457747E-3</v>
      </c>
      <c r="H54" s="500" t="str">
        <f>IF(OR(G54&gt;=0.2,G54&lt;=-0.2),"超过20%","")</f>
        <v/>
      </c>
      <c r="I54" s="499">
        <f>IF(I49&lt;E49,E49/I49-1,I49/E49-1)</f>
        <v>1.4495379597754265E-3</v>
      </c>
      <c r="J54" s="500" t="str">
        <f>IF(OR(I54&gt;=0.2,I54&lt;=-0.2),"超过20%","")</f>
        <v/>
      </c>
      <c r="K54" s="1108"/>
      <c r="L54" s="1109"/>
      <c r="M54" s="1147"/>
      <c r="N54" s="1147"/>
      <c r="O54" s="1147"/>
    </row>
    <row r="55" spans="1:29" s="502" customFormat="1" ht="13.5" customHeight="1">
      <c r="A55" s="1148"/>
      <c r="B55" s="1148"/>
      <c r="C55" s="497" t="s">
        <v>2670</v>
      </c>
      <c r="D55" s="501"/>
      <c r="E55" s="499">
        <f>IF(E48&lt;G48,G48/E48-1,E48/G48-1)</f>
        <v>1.1560693641618602E-2</v>
      </c>
      <c r="F55" s="500" t="str">
        <f>IF(OR(E55&gt;=0.3,E55&lt;=-0.3),"超过30%","")</f>
        <v/>
      </c>
      <c r="G55" s="499">
        <f>IF(G48&lt;I48,I48/G48-1,G48/I48-1)</f>
        <v>6.6333061794483505E-3</v>
      </c>
      <c r="H55" s="500" t="str">
        <f>IF(OR(G55&gt;=0.3,G55&lt;=-0.3),"超过30%","")</f>
        <v/>
      </c>
      <c r="I55" s="499">
        <f>IF(I48&lt;E48,E48/I48-1,I48/E48-1)</f>
        <v>1.8270685441638568E-2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t="str">
        <f>C9</f>
        <v>办公</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6"/>
      <c r="Q67" s="504"/>
    </row>
    <row r="68" spans="1:17" ht="15.75" thickTop="1">
      <c r="A68" s="534"/>
      <c r="B68" s="546" t="s">
        <v>2555</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1</v>
      </c>
      <c r="D69" s="549">
        <v>2</v>
      </c>
      <c r="E69" s="549">
        <v>3</v>
      </c>
      <c r="F69" s="549">
        <v>4</v>
      </c>
      <c r="G69" s="549">
        <v>5</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6"/>
      <c r="Q86" s="504"/>
    </row>
    <row r="87" spans="1:17" s="117" customFormat="1" ht="27.75" thickTop="1">
      <c r="A87" s="579"/>
      <c r="B87" s="538" t="s">
        <v>2696</v>
      </c>
      <c r="C87" s="2949" t="s">
        <v>3079</v>
      </c>
      <c r="D87" s="2949" t="s">
        <v>3081</v>
      </c>
      <c r="E87" s="2949" t="s">
        <v>3082</v>
      </c>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6"/>
      <c r="Q88" s="504"/>
    </row>
    <row r="89" spans="1:17" s="117" customFormat="1" ht="15.75" thickTop="1">
      <c r="A89" s="579"/>
      <c r="B89" s="538" t="str">
        <f>B27</f>
        <v>楼层</v>
      </c>
      <c r="C89" s="2949" t="s">
        <v>3084</v>
      </c>
      <c r="D89" s="2949" t="s">
        <v>3086</v>
      </c>
      <c r="E89" s="2949" t="s">
        <v>3087</v>
      </c>
      <c r="F89" s="2637"/>
      <c r="G89" s="554"/>
      <c r="H89" s="554"/>
      <c r="I89" s="554"/>
      <c r="J89" s="554"/>
      <c r="K89" s="554"/>
      <c r="L89" s="554"/>
      <c r="M89" s="581"/>
      <c r="N89" s="1154"/>
      <c r="O89" s="1154"/>
      <c r="P89" s="2686"/>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6"/>
      <c r="Q90" s="504"/>
    </row>
    <row r="91" spans="1:17" s="471" customFormat="1" ht="15.75" thickTop="1">
      <c r="A91" s="553"/>
      <c r="B91" s="538" t="str">
        <f>B28</f>
        <v>朝向</v>
      </c>
      <c r="C91" s="2949"/>
      <c r="D91" s="2949"/>
      <c r="E91" s="554"/>
      <c r="F91" s="554"/>
      <c r="G91" s="554"/>
      <c r="H91" s="2952"/>
      <c r="I91" s="2952"/>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t="str">
        <f>B29</f>
        <v>总楼层</v>
      </c>
      <c r="C93" s="554">
        <v>3</v>
      </c>
      <c r="D93" s="554">
        <v>22</v>
      </c>
      <c r="E93" s="554">
        <v>26</v>
      </c>
      <c r="F93" s="554">
        <v>19</v>
      </c>
      <c r="G93" s="554" t="s">
        <v>3139</v>
      </c>
      <c r="H93" s="554"/>
      <c r="I93" s="554"/>
      <c r="J93" s="554"/>
      <c r="K93" s="554"/>
      <c r="L93" s="580"/>
      <c r="M93" s="581"/>
      <c r="N93" s="1155"/>
      <c r="O93" s="1155"/>
      <c r="P93" s="2686"/>
      <c r="Q93" s="504"/>
    </row>
    <row r="94" spans="1:17" ht="15.75" thickBot="1">
      <c r="A94" s="534"/>
      <c r="B94" s="543"/>
      <c r="C94" s="560">
        <v>100</v>
      </c>
      <c r="D94" s="536">
        <v>102</v>
      </c>
      <c r="E94" s="536">
        <v>102</v>
      </c>
      <c r="F94" s="536">
        <v>101</v>
      </c>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2953" t="s">
        <v>3093</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6"/>
      <c r="Q102" s="504"/>
    </row>
    <row r="103" spans="1:17" ht="29.25" thickTop="1">
      <c r="A103" s="534"/>
      <c r="B103" s="538" t="s">
        <v>2610</v>
      </c>
      <c r="C103" s="578" t="str">
        <f>C104&amp;"(含)"&amp;"-"&amp;D104</f>
        <v>0(含)-100</v>
      </c>
      <c r="D103" s="578" t="str">
        <f t="shared" ref="D103:L103" si="23">D104&amp;"(含)"&amp;"-"&amp;E104</f>
        <v>100(含)-500</v>
      </c>
      <c r="E103" s="578" t="str">
        <f t="shared" si="23"/>
        <v>500(含)-1000</v>
      </c>
      <c r="F103" s="578" t="str">
        <f t="shared" si="23"/>
        <v>1000(含)-2000</v>
      </c>
      <c r="G103" s="578" t="str">
        <f t="shared" si="23"/>
        <v>2000(含)-5000</v>
      </c>
      <c r="H103" s="578" t="str">
        <f t="shared" si="23"/>
        <v>5000(含)-10000</v>
      </c>
      <c r="I103" s="578" t="str">
        <f t="shared" si="23"/>
        <v>10000(含)-20000</v>
      </c>
      <c r="J103" s="578" t="str">
        <f t="shared" si="23"/>
        <v>20000(含)-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100</v>
      </c>
      <c r="E104" s="595">
        <v>500</v>
      </c>
      <c r="F104" s="595">
        <v>1000</v>
      </c>
      <c r="G104" s="595">
        <v>2000</v>
      </c>
      <c r="H104" s="595">
        <v>5000</v>
      </c>
      <c r="I104" s="595">
        <v>10000</v>
      </c>
      <c r="J104" s="596">
        <v>20000</v>
      </c>
      <c r="K104" s="596"/>
      <c r="L104" s="597"/>
      <c r="M104" s="598"/>
      <c r="N104" s="1157"/>
      <c r="O104" s="1157"/>
      <c r="P104" s="2687"/>
      <c r="Q104" s="559"/>
    </row>
    <row r="105" spans="1:17" s="471" customFormat="1" ht="15.75" thickBot="1">
      <c r="A105" s="553"/>
      <c r="B105" s="543"/>
      <c r="C105" s="560">
        <v>98</v>
      </c>
      <c r="D105" s="536">
        <v>99</v>
      </c>
      <c r="E105" s="536">
        <v>100</v>
      </c>
      <c r="F105" s="536">
        <v>99</v>
      </c>
      <c r="G105" s="536">
        <v>98</v>
      </c>
      <c r="H105" s="536">
        <v>97</v>
      </c>
      <c r="I105" s="536">
        <v>96</v>
      </c>
      <c r="J105" s="536">
        <v>95</v>
      </c>
      <c r="K105" s="536"/>
      <c r="L105" s="536"/>
      <c r="M105" s="537"/>
      <c r="N105" s="1156"/>
      <c r="O105" s="1156"/>
      <c r="P105" s="2687"/>
      <c r="Q105" s="559"/>
    </row>
    <row r="106" spans="1:17" ht="15" thickTop="1">
      <c r="A106" s="599"/>
      <c r="B106" s="538" t="s">
        <v>2611</v>
      </c>
      <c r="C106" s="2949" t="s">
        <v>3105</v>
      </c>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6"/>
      <c r="Q107" s="504"/>
    </row>
    <row r="108" spans="1:17" ht="15" thickTop="1">
      <c r="A108" s="599"/>
      <c r="B108" s="538" t="s">
        <v>2613</v>
      </c>
      <c r="C108" s="2949" t="s">
        <v>3106</v>
      </c>
      <c r="D108" s="2949" t="s">
        <v>3107</v>
      </c>
      <c r="E108" s="2949" t="s">
        <v>3108</v>
      </c>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6"/>
      <c r="Q112" s="504"/>
    </row>
    <row r="113" spans="1:17" s="471" customFormat="1" ht="15" thickTop="1">
      <c r="A113" s="593"/>
      <c r="B113" s="538" t="s">
        <v>2697</v>
      </c>
      <c r="C113" s="2949" t="s">
        <v>3110</v>
      </c>
      <c r="D113" s="2949" t="s">
        <v>3111</v>
      </c>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2614</v>
      </c>
      <c r="C115" s="2949" t="s">
        <v>3112</v>
      </c>
      <c r="D115" s="2949" t="s">
        <v>3107</v>
      </c>
      <c r="E115" s="2954" t="s">
        <v>3108</v>
      </c>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95</v>
      </c>
      <c r="E116" s="544">
        <f t="shared" si="28"/>
        <v>90</v>
      </c>
      <c r="F116" s="544">
        <f t="shared" si="28"/>
        <v>85</v>
      </c>
      <c r="G116" s="544">
        <f t="shared" si="28"/>
        <v>80</v>
      </c>
      <c r="H116" s="544">
        <f t="shared" si="28"/>
        <v>75</v>
      </c>
      <c r="I116" s="544">
        <f t="shared" si="28"/>
        <v>70</v>
      </c>
      <c r="J116" s="544">
        <f t="shared" si="28"/>
        <v>65</v>
      </c>
      <c r="K116" s="544">
        <f t="shared" si="28"/>
        <v>60</v>
      </c>
      <c r="L116" s="544">
        <f t="shared" si="28"/>
        <v>55</v>
      </c>
      <c r="M116" s="545">
        <f t="shared" si="28"/>
        <v>50</v>
      </c>
      <c r="N116" s="1156"/>
      <c r="O116" s="1156"/>
      <c r="P116" s="2686"/>
      <c r="Q116" s="504"/>
    </row>
    <row r="117" spans="1:17" ht="15" thickTop="1">
      <c r="A117" s="599"/>
      <c r="B117" s="538" t="s">
        <v>2615</v>
      </c>
      <c r="C117" s="2949" t="s">
        <v>3113</v>
      </c>
      <c r="D117" s="2949" t="s">
        <v>3114</v>
      </c>
      <c r="E117" s="2949" t="s">
        <v>3115</v>
      </c>
      <c r="F117" s="554"/>
      <c r="G117" s="554"/>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2698</v>
      </c>
      <c r="C119" s="2954" t="s">
        <v>3116</v>
      </c>
      <c r="D119" s="2954" t="s">
        <v>3118</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2949" t="s">
        <v>3095</v>
      </c>
      <c r="D123" s="2949" t="s">
        <v>3096</v>
      </c>
      <c r="E123" s="2949" t="s">
        <v>3097</v>
      </c>
      <c r="F123" s="2954" t="s">
        <v>3099</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96</v>
      </c>
      <c r="E124" s="544">
        <f t="shared" si="30"/>
        <v>92</v>
      </c>
      <c r="F124" s="544">
        <f t="shared" si="30"/>
        <v>88</v>
      </c>
      <c r="G124" s="544">
        <f t="shared" si="30"/>
        <v>84</v>
      </c>
      <c r="H124" s="544">
        <f t="shared" si="30"/>
        <v>80</v>
      </c>
      <c r="I124" s="544">
        <f t="shared" si="30"/>
        <v>76</v>
      </c>
      <c r="J124" s="544">
        <f t="shared" si="30"/>
        <v>72</v>
      </c>
      <c r="K124" s="544">
        <f t="shared" si="30"/>
        <v>68</v>
      </c>
      <c r="L124" s="544">
        <f t="shared" si="30"/>
        <v>64</v>
      </c>
      <c r="M124" s="545">
        <f t="shared" si="30"/>
        <v>60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t="str">
        <f>B45</f>
        <v>其他</v>
      </c>
      <c r="C127" s="2949" t="s">
        <v>3134</v>
      </c>
      <c r="D127" s="2949" t="s">
        <v>3125</v>
      </c>
      <c r="E127" s="554"/>
      <c r="F127" s="554"/>
      <c r="G127" s="554"/>
      <c r="H127" s="555"/>
      <c r="I127" s="555"/>
      <c r="J127" s="555"/>
      <c r="K127" s="555"/>
      <c r="L127" s="556"/>
      <c r="M127" s="557"/>
      <c r="N127" s="1157"/>
      <c r="O127" s="1157"/>
      <c r="P127" s="2687"/>
      <c r="Q127" s="559"/>
    </row>
    <row r="128" spans="1:17" s="471" customFormat="1" ht="15.75" thickBot="1">
      <c r="A128" s="553"/>
      <c r="B128" s="543"/>
      <c r="C128" s="560">
        <v>100</v>
      </c>
      <c r="D128" s="536">
        <v>95</v>
      </c>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2699</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8"/>
      <c r="D2" s="1127"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96955.040000000008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7" t="s">
        <v>2643</v>
      </c>
      <c r="D4" s="3208"/>
      <c r="E4" s="3209" t="s">
        <v>2644</v>
      </c>
      <c r="F4" s="3210"/>
      <c r="G4" s="3207" t="s">
        <v>2645</v>
      </c>
      <c r="H4" s="3208"/>
      <c r="I4" s="3207" t="s">
        <v>2646</v>
      </c>
      <c r="J4" s="3208"/>
      <c r="K4" s="610" t="s">
        <v>2647</v>
      </c>
      <c r="L4" s="1133"/>
      <c r="M4" s="1134"/>
      <c r="N4" s="1134"/>
      <c r="O4" s="1134"/>
      <c r="P4" s="3211" t="s">
        <v>2648</v>
      </c>
      <c r="Q4" s="3212"/>
      <c r="R4" s="3194" t="s">
        <v>2644</v>
      </c>
      <c r="S4" s="3195"/>
      <c r="T4" s="3194" t="s">
        <v>2645</v>
      </c>
      <c r="U4" s="3195"/>
      <c r="V4" s="3219" t="s">
        <v>2646</v>
      </c>
      <c r="W4" s="3219"/>
      <c r="X4" s="1816"/>
      <c r="Y4" s="3194" t="s">
        <v>2648</v>
      </c>
      <c r="Z4" s="3195"/>
      <c r="AA4" s="3189" t="s">
        <v>2644</v>
      </c>
      <c r="AB4" s="3190" t="s">
        <v>2645</v>
      </c>
      <c r="AC4" s="3189" t="s">
        <v>2646</v>
      </c>
    </row>
    <row r="5" spans="1:29" ht="15">
      <c r="A5" s="404"/>
      <c r="B5" s="405"/>
      <c r="C5" s="3200" t="s">
        <v>2539</v>
      </c>
      <c r="D5" s="3201"/>
      <c r="E5" s="3198" t="s">
        <v>2540</v>
      </c>
      <c r="F5" s="3199"/>
      <c r="G5" s="3200" t="s">
        <v>2541</v>
      </c>
      <c r="H5" s="3201"/>
      <c r="I5" s="3200" t="s">
        <v>2542</v>
      </c>
      <c r="J5" s="3201"/>
      <c r="K5" s="610"/>
      <c r="L5" s="1133"/>
      <c r="M5" s="1134"/>
      <c r="N5" s="1134"/>
      <c r="O5" s="1134"/>
      <c r="P5" s="3213"/>
      <c r="Q5" s="3214"/>
      <c r="R5" s="3196"/>
      <c r="S5" s="3197"/>
      <c r="T5" s="3196"/>
      <c r="U5" s="3197"/>
      <c r="V5" s="3219"/>
      <c r="W5" s="3219"/>
      <c r="X5" s="1816"/>
      <c r="Y5" s="3196"/>
      <c r="Z5" s="3197"/>
      <c r="AA5" s="3190"/>
      <c r="AB5" s="3190"/>
      <c r="AC5" s="3190"/>
    </row>
    <row r="6" spans="1:29" ht="15.75" thickBot="1">
      <c r="A6" s="406"/>
      <c r="B6" s="407"/>
      <c r="C6" s="3202" t="s">
        <v>2543</v>
      </c>
      <c r="D6" s="3203"/>
      <c r="E6" s="3204" t="s">
        <v>2543</v>
      </c>
      <c r="F6" s="3205"/>
      <c r="G6" s="3202" t="s">
        <v>2543</v>
      </c>
      <c r="H6" s="3203"/>
      <c r="I6" s="3202" t="s">
        <v>2543</v>
      </c>
      <c r="J6" s="3203"/>
      <c r="K6" s="610" t="s">
        <v>2544</v>
      </c>
      <c r="L6" s="1133"/>
      <c r="M6" s="1134"/>
      <c r="N6" s="1134"/>
      <c r="O6" s="1134"/>
      <c r="P6" s="3215"/>
      <c r="Q6" s="3216"/>
      <c r="R6" s="3196"/>
      <c r="S6" s="3197"/>
      <c r="T6" s="3217"/>
      <c r="U6" s="3218"/>
      <c r="V6" s="3219"/>
      <c r="W6" s="3219"/>
      <c r="X6" s="1816"/>
      <c r="Y6" s="3217"/>
      <c r="Z6" s="3218"/>
      <c r="AA6" s="3191"/>
      <c r="AB6" s="3191"/>
      <c r="AC6" s="3191"/>
    </row>
    <row r="7" spans="1:29" s="117" customFormat="1" ht="15.75" thickBot="1">
      <c r="A7" s="408" t="s">
        <v>2545</v>
      </c>
      <c r="B7" s="409"/>
      <c r="C7" s="410">
        <f>'数据-取费表'!B2</f>
        <v>43536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2" t="s">
        <v>2546</v>
      </c>
      <c r="Q7" s="3220"/>
      <c r="R7" s="770" t="s">
        <v>17</v>
      </c>
      <c r="S7" s="771">
        <f t="shared" ref="S7:S15" si="0">F7</f>
        <v>0</v>
      </c>
      <c r="T7" s="770" t="s">
        <v>17</v>
      </c>
      <c r="U7" s="771">
        <f t="shared" ref="U7:U15" si="1">H7</f>
        <v>0</v>
      </c>
      <c r="V7" s="770" t="s">
        <v>17</v>
      </c>
      <c r="W7" s="771">
        <f t="shared" ref="W7:W15" si="2">J7</f>
        <v>0</v>
      </c>
      <c r="X7" s="772"/>
      <c r="Y7" s="3192" t="s">
        <v>2546</v>
      </c>
      <c r="Z7" s="3193"/>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2" t="s">
        <v>2549</v>
      </c>
      <c r="Q8" s="3193"/>
      <c r="R8" s="770" t="s">
        <v>17</v>
      </c>
      <c r="S8" s="771">
        <f t="shared" si="0"/>
        <v>0</v>
      </c>
      <c r="T8" s="770" t="s">
        <v>17</v>
      </c>
      <c r="U8" s="771">
        <f t="shared" si="1"/>
        <v>0</v>
      </c>
      <c r="V8" s="770" t="s">
        <v>17</v>
      </c>
      <c r="W8" s="771">
        <f t="shared" si="2"/>
        <v>0</v>
      </c>
      <c r="X8" s="772"/>
      <c r="Y8" s="3192" t="s">
        <v>2549</v>
      </c>
      <c r="Z8" s="3193"/>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4" t="s">
        <v>2552</v>
      </c>
      <c r="Q9" s="1798"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4"/>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4"/>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24"/>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24"/>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2556</v>
      </c>
      <c r="B15" s="69" t="s">
        <v>2700</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6" t="s">
        <v>2557</v>
      </c>
      <c r="Q15" s="1813" t="str">
        <f t="shared" si="6"/>
        <v>产业集聚程度</v>
      </c>
      <c r="R15" s="774" t="s">
        <v>17</v>
      </c>
      <c r="S15" s="775">
        <f t="shared" si="0"/>
        <v>100</v>
      </c>
      <c r="T15" s="774" t="s">
        <v>17</v>
      </c>
      <c r="U15" s="775">
        <f t="shared" si="1"/>
        <v>100</v>
      </c>
      <c r="V15" s="774" t="s">
        <v>17</v>
      </c>
      <c r="W15" s="775">
        <f t="shared" si="2"/>
        <v>100</v>
      </c>
      <c r="X15" s="1816"/>
      <c r="Y15" s="3226"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7"/>
      <c r="Q16" s="1813"/>
      <c r="R16" s="774"/>
      <c r="S16" s="775"/>
      <c r="T16" s="774"/>
      <c r="U16" s="775"/>
      <c r="V16" s="774"/>
      <c r="W16" s="775"/>
      <c r="X16" s="1816"/>
      <c r="Y16" s="3227"/>
      <c r="Z16" s="1817"/>
      <c r="AA16" s="1814">
        <v>1</v>
      </c>
      <c r="AB16" s="1814">
        <v>1</v>
      </c>
      <c r="AC16" s="1814">
        <v>1</v>
      </c>
    </row>
    <row r="17" spans="1:29" ht="85.5">
      <c r="A17" s="428"/>
      <c r="B17" s="451" t="s">
        <v>2094</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7"/>
      <c r="Q17" s="1813" t="str">
        <f>B17</f>
        <v>交通便捷度</v>
      </c>
      <c r="R17" s="774" t="s">
        <v>17</v>
      </c>
      <c r="S17" s="775">
        <f>F17</f>
        <v>100</v>
      </c>
      <c r="T17" s="774" t="s">
        <v>17</v>
      </c>
      <c r="U17" s="775">
        <f>H17</f>
        <v>100</v>
      </c>
      <c r="V17" s="774" t="s">
        <v>17</v>
      </c>
      <c r="W17" s="775">
        <f>J17</f>
        <v>100</v>
      </c>
      <c r="X17" s="1816"/>
      <c r="Y17" s="322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27"/>
      <c r="Q18" s="1813"/>
      <c r="R18" s="774"/>
      <c r="S18" s="775"/>
      <c r="T18" s="774"/>
      <c r="U18" s="775"/>
      <c r="V18" s="774"/>
      <c r="W18" s="775"/>
      <c r="X18" s="1816"/>
      <c r="Y18" s="3227"/>
      <c r="Z18" s="1817"/>
      <c r="AA18" s="1814">
        <v>1</v>
      </c>
      <c r="AB18" s="1814">
        <v>1</v>
      </c>
      <c r="AC18" s="1814">
        <v>1</v>
      </c>
    </row>
    <row r="19" spans="1:29" ht="42.75">
      <c r="A19" s="428"/>
      <c r="B19" s="451" t="s">
        <v>2685</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7"/>
      <c r="Q19" s="1813" t="str">
        <f>B19</f>
        <v>公共配套设施</v>
      </c>
      <c r="R19" s="774" t="s">
        <v>17</v>
      </c>
      <c r="S19" s="775">
        <f>F19</f>
        <v>100</v>
      </c>
      <c r="T19" s="774" t="s">
        <v>17</v>
      </c>
      <c r="U19" s="775">
        <f>H19</f>
        <v>100</v>
      </c>
      <c r="V19" s="774" t="s">
        <v>17</v>
      </c>
      <c r="W19" s="775">
        <f>J19</f>
        <v>100</v>
      </c>
      <c r="X19" s="1816"/>
      <c r="Y19" s="322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27"/>
      <c r="Q20" s="1813"/>
      <c r="R20" s="774"/>
      <c r="S20" s="775"/>
      <c r="T20" s="774"/>
      <c r="U20" s="775"/>
      <c r="V20" s="774"/>
      <c r="W20" s="775"/>
      <c r="X20" s="1816"/>
      <c r="Y20" s="3227"/>
      <c r="Z20" s="1817"/>
      <c r="AA20" s="1814">
        <v>1</v>
      </c>
      <c r="AB20" s="1814">
        <v>1</v>
      </c>
      <c r="AC20" s="1814">
        <v>1</v>
      </c>
    </row>
    <row r="21" spans="1:29" ht="28.5">
      <c r="A21" s="428"/>
      <c r="B21" s="1387" t="s">
        <v>2686</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7"/>
      <c r="Q21" s="1813" t="str">
        <f>B21</f>
        <v>基础设施水平</v>
      </c>
      <c r="R21" s="774" t="s">
        <v>17</v>
      </c>
      <c r="S21" s="775">
        <f>F21</f>
        <v>100</v>
      </c>
      <c r="T21" s="774" t="s">
        <v>17</v>
      </c>
      <c r="U21" s="775">
        <f>H21</f>
        <v>100</v>
      </c>
      <c r="V21" s="774" t="s">
        <v>17</v>
      </c>
      <c r="W21" s="775">
        <f>J21</f>
        <v>100</v>
      </c>
      <c r="X21" s="1816"/>
      <c r="Y21" s="322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27"/>
      <c r="Q22" s="1813"/>
      <c r="R22" s="774"/>
      <c r="S22" s="775"/>
      <c r="T22" s="774"/>
      <c r="U22" s="775"/>
      <c r="V22" s="774"/>
      <c r="W22" s="775"/>
      <c r="X22" s="1816"/>
      <c r="Y22" s="3227"/>
      <c r="Z22" s="1817"/>
      <c r="AA22" s="1814">
        <v>1</v>
      </c>
      <c r="AB22" s="1814">
        <v>1</v>
      </c>
      <c r="AC22" s="1814">
        <v>1</v>
      </c>
    </row>
    <row r="23" spans="1:29" ht="71.25">
      <c r="A23" s="428"/>
      <c r="B23" s="451" t="s">
        <v>2687</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7"/>
      <c r="Q23" s="1813" t="str">
        <f>B23</f>
        <v>环境质量</v>
      </c>
      <c r="R23" s="774" t="s">
        <v>17</v>
      </c>
      <c r="S23" s="775">
        <f>F23</f>
        <v>100</v>
      </c>
      <c r="T23" s="774" t="s">
        <v>17</v>
      </c>
      <c r="U23" s="775">
        <f>H23</f>
        <v>100</v>
      </c>
      <c r="V23" s="774" t="s">
        <v>17</v>
      </c>
      <c r="W23" s="775">
        <f>J23</f>
        <v>100</v>
      </c>
      <c r="X23" s="1816"/>
      <c r="Y23" s="3227"/>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27"/>
      <c r="Q24" s="1813"/>
      <c r="R24" s="774"/>
      <c r="S24" s="775"/>
      <c r="T24" s="774"/>
      <c r="U24" s="775"/>
      <c r="V24" s="774"/>
      <c r="W24" s="775"/>
      <c r="X24" s="1816"/>
      <c r="Y24" s="322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7"/>
      <c r="Q25" s="1813">
        <f>B25</f>
        <v>111</v>
      </c>
      <c r="R25" s="774" t="s">
        <v>17</v>
      </c>
      <c r="S25" s="775">
        <f>F25</f>
        <v>100</v>
      </c>
      <c r="T25" s="774" t="s">
        <v>17</v>
      </c>
      <c r="U25" s="775">
        <f>H25</f>
        <v>100</v>
      </c>
      <c r="V25" s="774" t="s">
        <v>17</v>
      </c>
      <c r="W25" s="775">
        <f>J25</f>
        <v>100</v>
      </c>
      <c r="X25" s="1816"/>
      <c r="Y25" s="322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7"/>
      <c r="Q26" s="1813">
        <f t="shared" ref="Q26:Q40" si="11">B26</f>
        <v>111</v>
      </c>
      <c r="R26" s="774" t="s">
        <v>17</v>
      </c>
      <c r="S26" s="775">
        <f>F26</f>
        <v>100</v>
      </c>
      <c r="T26" s="774" t="s">
        <v>17</v>
      </c>
      <c r="U26" s="775">
        <f>H26</f>
        <v>100</v>
      </c>
      <c r="V26" s="774" t="s">
        <v>17</v>
      </c>
      <c r="W26" s="775">
        <f>J26</f>
        <v>100</v>
      </c>
      <c r="X26" s="1816"/>
      <c r="Y26" s="322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7"/>
      <c r="Q27" s="1798">
        <f t="shared" si="11"/>
        <v>111</v>
      </c>
      <c r="R27" s="770" t="s">
        <v>17</v>
      </c>
      <c r="S27" s="771">
        <f>F27</f>
        <v>100</v>
      </c>
      <c r="T27" s="770" t="s">
        <v>17</v>
      </c>
      <c r="U27" s="771">
        <f>H27</f>
        <v>100</v>
      </c>
      <c r="V27" s="770" t="s">
        <v>17</v>
      </c>
      <c r="W27" s="771">
        <f>J27</f>
        <v>100</v>
      </c>
      <c r="X27" s="772"/>
      <c r="Y27" s="322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7"/>
      <c r="Q28" s="1813">
        <f t="shared" si="11"/>
        <v>111</v>
      </c>
      <c r="R28" s="774" t="s">
        <v>17</v>
      </c>
      <c r="S28" s="775">
        <f t="shared" ref="S28:S40" si="12">F28</f>
        <v>100</v>
      </c>
      <c r="T28" s="774" t="s">
        <v>17</v>
      </c>
      <c r="U28" s="775">
        <f t="shared" ref="U28:U40" si="13">H28</f>
        <v>100</v>
      </c>
      <c r="V28" s="774" t="s">
        <v>17</v>
      </c>
      <c r="W28" s="775">
        <f t="shared" ref="W28:W40" si="14">J28</f>
        <v>100</v>
      </c>
      <c r="X28" s="1816"/>
      <c r="Y28" s="3227"/>
      <c r="Z28" s="1817">
        <f t="shared" ref="Z28:Z40" si="15">Q28</f>
        <v>111</v>
      </c>
      <c r="AA28" s="1814">
        <f t="shared" si="3"/>
        <v>1</v>
      </c>
      <c r="AB28" s="1814">
        <f t="shared" si="4"/>
        <v>1</v>
      </c>
      <c r="AC28" s="1814">
        <f t="shared" si="5"/>
        <v>1</v>
      </c>
    </row>
    <row r="29" spans="1:29" ht="28.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52" t="s">
        <v>2562</v>
      </c>
      <c r="Q29" s="1813" t="str">
        <f t="shared" si="11"/>
        <v>建筑类型</v>
      </c>
      <c r="R29" s="774" t="s">
        <v>17</v>
      </c>
      <c r="S29" s="775">
        <f t="shared" si="12"/>
        <v>100</v>
      </c>
      <c r="T29" s="774" t="s">
        <v>17</v>
      </c>
      <c r="U29" s="775">
        <f t="shared" si="13"/>
        <v>100</v>
      </c>
      <c r="V29" s="774" t="s">
        <v>17</v>
      </c>
      <c r="W29" s="775">
        <f t="shared" si="14"/>
        <v>100</v>
      </c>
      <c r="X29" s="1816"/>
      <c r="Y29" s="3231"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1"/>
      <c r="Q30" s="776" t="str">
        <f t="shared" si="11"/>
        <v>项目建筑规模</v>
      </c>
      <c r="R30" s="777" t="s">
        <v>17</v>
      </c>
      <c r="S30" s="778" t="e">
        <f t="shared" si="12"/>
        <v>#N/A</v>
      </c>
      <c r="T30" s="777" t="s">
        <v>17</v>
      </c>
      <c r="U30" s="778" t="e">
        <f t="shared" si="13"/>
        <v>#N/A</v>
      </c>
      <c r="V30" s="777" t="s">
        <v>17</v>
      </c>
      <c r="W30" s="778" t="e">
        <f t="shared" si="14"/>
        <v>#N/A</v>
      </c>
      <c r="X30" s="779"/>
      <c r="Y30" s="3231"/>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1"/>
      <c r="Q31" s="1813" t="str">
        <f t="shared" si="11"/>
        <v>建筑结构</v>
      </c>
      <c r="R31" s="774" t="s">
        <v>17</v>
      </c>
      <c r="S31" s="775">
        <f t="shared" si="12"/>
        <v>100</v>
      </c>
      <c r="T31" s="774" t="s">
        <v>17</v>
      </c>
      <c r="U31" s="775">
        <f t="shared" si="13"/>
        <v>100</v>
      </c>
      <c r="V31" s="774" t="s">
        <v>17</v>
      </c>
      <c r="W31" s="775">
        <f t="shared" si="14"/>
        <v>100</v>
      </c>
      <c r="X31" s="1816"/>
      <c r="Y31" s="3231"/>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1"/>
      <c r="Q32" s="1813" t="str">
        <f t="shared" si="11"/>
        <v>公共部分装修</v>
      </c>
      <c r="R32" s="774" t="s">
        <v>17</v>
      </c>
      <c r="S32" s="775">
        <f t="shared" si="12"/>
        <v>100</v>
      </c>
      <c r="T32" s="774" t="s">
        <v>17</v>
      </c>
      <c r="U32" s="775">
        <f t="shared" si="13"/>
        <v>100</v>
      </c>
      <c r="V32" s="774" t="s">
        <v>17</v>
      </c>
      <c r="W32" s="775">
        <f t="shared" si="14"/>
        <v>100</v>
      </c>
      <c r="X32" s="1816"/>
      <c r="Y32" s="3231"/>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1"/>
      <c r="Q33" s="1813" t="str">
        <f t="shared" si="11"/>
        <v>成新度</v>
      </c>
      <c r="R33" s="774" t="s">
        <v>17</v>
      </c>
      <c r="S33" s="775" t="e">
        <f t="shared" si="12"/>
        <v>#N/A</v>
      </c>
      <c r="T33" s="774" t="s">
        <v>17</v>
      </c>
      <c r="U33" s="775" t="e">
        <f t="shared" si="13"/>
        <v>#N/A</v>
      </c>
      <c r="V33" s="774" t="s">
        <v>17</v>
      </c>
      <c r="W33" s="775" t="e">
        <f t="shared" si="14"/>
        <v>#N/A</v>
      </c>
      <c r="X33" s="1816"/>
      <c r="Y33" s="3231"/>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1"/>
      <c r="Q34" s="1798" t="str">
        <f t="shared" si="11"/>
        <v>物业管理</v>
      </c>
      <c r="R34" s="770" t="s">
        <v>17</v>
      </c>
      <c r="S34" s="771">
        <f t="shared" si="12"/>
        <v>100</v>
      </c>
      <c r="T34" s="770" t="s">
        <v>17</v>
      </c>
      <c r="U34" s="771">
        <f t="shared" si="13"/>
        <v>100</v>
      </c>
      <c r="V34" s="770" t="s">
        <v>17</v>
      </c>
      <c r="W34" s="771">
        <f t="shared" si="14"/>
        <v>100</v>
      </c>
      <c r="X34" s="772"/>
      <c r="Y34" s="3231"/>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1" t="s">
        <v>2562</v>
      </c>
      <c r="Q35" s="1813" t="str">
        <f t="shared" si="11"/>
        <v>市政基础设施</v>
      </c>
      <c r="R35" s="774" t="s">
        <v>17</v>
      </c>
      <c r="S35" s="775">
        <f t="shared" si="12"/>
        <v>100</v>
      </c>
      <c r="T35" s="774" t="s">
        <v>17</v>
      </c>
      <c r="U35" s="775">
        <f t="shared" si="13"/>
        <v>100</v>
      </c>
      <c r="V35" s="774" t="s">
        <v>17</v>
      </c>
      <c r="W35" s="775">
        <f t="shared" si="14"/>
        <v>100</v>
      </c>
      <c r="X35" s="1816"/>
      <c r="Y35" s="3231"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1"/>
      <c r="Q36" s="1813" t="str">
        <f t="shared" si="11"/>
        <v>内部装修</v>
      </c>
      <c r="R36" s="774" t="s">
        <v>17</v>
      </c>
      <c r="S36" s="775">
        <f t="shared" si="12"/>
        <v>100</v>
      </c>
      <c r="T36" s="774" t="s">
        <v>17</v>
      </c>
      <c r="U36" s="775">
        <f t="shared" si="13"/>
        <v>100</v>
      </c>
      <c r="V36" s="774" t="s">
        <v>17</v>
      </c>
      <c r="W36" s="775">
        <f t="shared" si="14"/>
        <v>100</v>
      </c>
      <c r="X36" s="1816"/>
      <c r="Y36" s="3231"/>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1"/>
      <c r="Q37" s="1813" t="str">
        <f t="shared" si="11"/>
        <v>内部装修状况</v>
      </c>
      <c r="R37" s="774" t="s">
        <v>17</v>
      </c>
      <c r="S37" s="775">
        <f t="shared" si="12"/>
        <v>100</v>
      </c>
      <c r="T37" s="774" t="s">
        <v>17</v>
      </c>
      <c r="U37" s="775">
        <f t="shared" si="13"/>
        <v>100</v>
      </c>
      <c r="V37" s="774" t="s">
        <v>17</v>
      </c>
      <c r="W37" s="775">
        <f t="shared" si="14"/>
        <v>100</v>
      </c>
      <c r="X37" s="1816"/>
      <c r="Y37" s="323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1"/>
      <c r="Q38" s="776">
        <f t="shared" si="11"/>
        <v>111</v>
      </c>
      <c r="R38" s="777" t="s">
        <v>17</v>
      </c>
      <c r="S38" s="778">
        <f t="shared" si="12"/>
        <v>100</v>
      </c>
      <c r="T38" s="777" t="s">
        <v>17</v>
      </c>
      <c r="U38" s="778">
        <f t="shared" si="13"/>
        <v>100</v>
      </c>
      <c r="V38" s="777" t="s">
        <v>17</v>
      </c>
      <c r="W38" s="778">
        <f t="shared" si="14"/>
        <v>100</v>
      </c>
      <c r="X38" s="779"/>
      <c r="Y38" s="323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1"/>
      <c r="Q39" s="1813">
        <f t="shared" si="11"/>
        <v>111</v>
      </c>
      <c r="R39" s="774" t="s">
        <v>17</v>
      </c>
      <c r="S39" s="775">
        <f t="shared" si="12"/>
        <v>100</v>
      </c>
      <c r="T39" s="774" t="s">
        <v>17</v>
      </c>
      <c r="U39" s="775">
        <f t="shared" si="13"/>
        <v>100</v>
      </c>
      <c r="V39" s="774" t="s">
        <v>17</v>
      </c>
      <c r="W39" s="775">
        <f t="shared" si="14"/>
        <v>100</v>
      </c>
      <c r="X39" s="1816"/>
      <c r="Y39" s="3231"/>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2"/>
      <c r="Q40" s="1813">
        <f t="shared" si="11"/>
        <v>111</v>
      </c>
      <c r="R40" s="774" t="s">
        <v>17</v>
      </c>
      <c r="S40" s="775">
        <f t="shared" si="12"/>
        <v>100</v>
      </c>
      <c r="T40" s="774" t="s">
        <v>17</v>
      </c>
      <c r="U40" s="775">
        <f t="shared" si="13"/>
        <v>100</v>
      </c>
      <c r="V40" s="774" t="s">
        <v>17</v>
      </c>
      <c r="W40" s="775">
        <f t="shared" si="14"/>
        <v>100</v>
      </c>
      <c r="X40" s="1816"/>
      <c r="Y40" s="3232"/>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24" t="str">
        <f>A41</f>
        <v>成交单价（元/平方米）</v>
      </c>
      <c r="Q41" s="3224"/>
      <c r="R41" s="3225">
        <f>E41</f>
        <v>0</v>
      </c>
      <c r="S41" s="3225"/>
      <c r="T41" s="3225">
        <f>G41</f>
        <v>0</v>
      </c>
      <c r="U41" s="3225"/>
      <c r="V41" s="3225">
        <f>I41</f>
        <v>0</v>
      </c>
      <c r="W41" s="3225"/>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21" t="str">
        <f>A43</f>
        <v>估价对象XX用房的比较价值（楼面单价，元/平方米）</v>
      </c>
      <c r="Q43" s="3222"/>
      <c r="R43" s="3223" t="e">
        <f>IF(F1="售价",ROUND(AVERAGE(R42:V42),0),ROUND(AVERAGE(R42:V42),1))</f>
        <v>#DIV/0!</v>
      </c>
      <c r="S43" s="3223"/>
      <c r="T43" s="3223"/>
      <c r="U43" s="3223"/>
      <c r="V43" s="3223"/>
      <c r="W43" s="322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象山县城市新中心区开发有限公司：</v>
      </c>
    </row>
    <row r="4" spans="1:1" ht="36">
      <c r="A4" s="1951" t="str">
        <f>"受贵公司委托，我公司对"&amp;项目基本情况!S1&amp;"进行了预评估。"</f>
        <v>受贵公司委托，我公司对浙江省宁波市象山县丹东街道天安路999号房地产抵押价值进行了预评估。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宁波市象山县丹东街道天安路999号房地产，为象山县城市新中心区开发有限公司所有。根据《不动产权证书》[浙（2018）象山县不动产权第0004001号]，估价对象（分摊）出让国有建设用地使用权面积为96248.76平方米，建筑面积为96955.04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宁波市象山县丹东街道天安路999号房地产,为象山县城市新中心区开发有限公司开发建设的办公项目，该项目尚在开发建设中。根据《不动产权证书》[浙（2018）象山县不动产权第0004001号]，估价对象（分摊）出让国有建设用地使用权面积为96248.76平方米，规划建筑面积为96955.04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为估价委托人在向国民信托有限公司办理贷款手续过程中，确定房地产抵押贷款额度提供参考依据而评估房地产抵押价值。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2019年3月12日（评估专业人员实地查勘之日）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12日，估价对象规划用途为办公，土地取得方式为出让，出让国有建设用地使用权剩余土地使用年限为32.35，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32.35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本次评估采用的主估价方法为收益法和基准地价系数修正法。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6"/>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07" t="s">
        <v>2643</v>
      </c>
      <c r="D4" s="3208"/>
      <c r="E4" s="3209" t="s">
        <v>2644</v>
      </c>
      <c r="F4" s="3210"/>
      <c r="G4" s="3207" t="s">
        <v>2645</v>
      </c>
      <c r="H4" s="3208"/>
      <c r="I4" s="3207" t="s">
        <v>2646</v>
      </c>
      <c r="J4" s="3208"/>
      <c r="K4" s="610" t="s">
        <v>2647</v>
      </c>
      <c r="L4" s="1133"/>
      <c r="M4" s="1134"/>
      <c r="N4" s="1134"/>
      <c r="O4" s="1134"/>
      <c r="P4" s="3211" t="s">
        <v>2648</v>
      </c>
      <c r="Q4" s="3212"/>
      <c r="R4" s="3194" t="s">
        <v>2644</v>
      </c>
      <c r="S4" s="3195"/>
      <c r="T4" s="3194" t="s">
        <v>2645</v>
      </c>
      <c r="U4" s="3195"/>
      <c r="V4" s="3219" t="s">
        <v>2646</v>
      </c>
      <c r="W4" s="3219"/>
      <c r="X4" s="1816"/>
      <c r="Y4" s="3194" t="s">
        <v>2648</v>
      </c>
      <c r="Z4" s="3195"/>
      <c r="AA4" s="3189" t="s">
        <v>2644</v>
      </c>
      <c r="AB4" s="3190" t="s">
        <v>2645</v>
      </c>
      <c r="AC4" s="3189" t="s">
        <v>2646</v>
      </c>
    </row>
    <row r="5" spans="1:29" ht="15">
      <c r="A5" s="404"/>
      <c r="B5" s="405"/>
      <c r="C5" s="3200" t="s">
        <v>2539</v>
      </c>
      <c r="D5" s="3201"/>
      <c r="E5" s="3198" t="s">
        <v>2540</v>
      </c>
      <c r="F5" s="3199"/>
      <c r="G5" s="3200" t="s">
        <v>2541</v>
      </c>
      <c r="H5" s="3201"/>
      <c r="I5" s="3200" t="s">
        <v>2542</v>
      </c>
      <c r="J5" s="3201"/>
      <c r="K5" s="610"/>
      <c r="L5" s="1133"/>
      <c r="M5" s="1134"/>
      <c r="N5" s="1134"/>
      <c r="O5" s="1134"/>
      <c r="P5" s="3213"/>
      <c r="Q5" s="3214"/>
      <c r="R5" s="3196"/>
      <c r="S5" s="3197"/>
      <c r="T5" s="3196"/>
      <c r="U5" s="3197"/>
      <c r="V5" s="3219"/>
      <c r="W5" s="3219"/>
      <c r="X5" s="1816"/>
      <c r="Y5" s="3196"/>
      <c r="Z5" s="3197"/>
      <c r="AA5" s="3190"/>
      <c r="AB5" s="3190"/>
      <c r="AC5" s="3190"/>
    </row>
    <row r="6" spans="1:29" ht="15.75" thickBot="1">
      <c r="A6" s="406"/>
      <c r="B6" s="407"/>
      <c r="C6" s="3202" t="s">
        <v>2543</v>
      </c>
      <c r="D6" s="3203"/>
      <c r="E6" s="3204" t="s">
        <v>2543</v>
      </c>
      <c r="F6" s="3205"/>
      <c r="G6" s="3202" t="s">
        <v>2543</v>
      </c>
      <c r="H6" s="3203"/>
      <c r="I6" s="3202" t="s">
        <v>2543</v>
      </c>
      <c r="J6" s="3203"/>
      <c r="K6" s="610" t="s">
        <v>2544</v>
      </c>
      <c r="L6" s="1133"/>
      <c r="M6" s="1134"/>
      <c r="N6" s="1134"/>
      <c r="O6" s="1134"/>
      <c r="P6" s="3215"/>
      <c r="Q6" s="3216"/>
      <c r="R6" s="3196"/>
      <c r="S6" s="3197"/>
      <c r="T6" s="3217"/>
      <c r="U6" s="3218"/>
      <c r="V6" s="3219"/>
      <c r="W6" s="3219"/>
      <c r="X6" s="1816"/>
      <c r="Y6" s="3217"/>
      <c r="Z6" s="3218"/>
      <c r="AA6" s="3191"/>
      <c r="AB6" s="3191"/>
      <c r="AC6" s="3191"/>
    </row>
    <row r="7" spans="1:29" s="117" customFormat="1" ht="15.75" thickBot="1">
      <c r="A7" s="408" t="s">
        <v>2545</v>
      </c>
      <c r="B7" s="409"/>
      <c r="C7" s="410">
        <f>'数据-取费表'!B2</f>
        <v>43536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2" t="s">
        <v>2546</v>
      </c>
      <c r="Q7" s="3220"/>
      <c r="R7" s="770" t="s">
        <v>17</v>
      </c>
      <c r="S7" s="771">
        <f t="shared" ref="S7:S14" si="0">F7</f>
        <v>0</v>
      </c>
      <c r="T7" s="770" t="s">
        <v>17</v>
      </c>
      <c r="U7" s="771">
        <f t="shared" ref="U7:U14" si="1">H7</f>
        <v>0</v>
      </c>
      <c r="V7" s="770" t="s">
        <v>17</v>
      </c>
      <c r="W7" s="771">
        <f t="shared" ref="W7:W14" si="2">J7</f>
        <v>0</v>
      </c>
      <c r="X7" s="772"/>
      <c r="Y7" s="3192" t="s">
        <v>2546</v>
      </c>
      <c r="Z7" s="3193"/>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2" t="s">
        <v>2549</v>
      </c>
      <c r="Q8" s="3193"/>
      <c r="R8" s="770" t="s">
        <v>17</v>
      </c>
      <c r="S8" s="771">
        <f t="shared" si="0"/>
        <v>0</v>
      </c>
      <c r="T8" s="770" t="s">
        <v>17</v>
      </c>
      <c r="U8" s="771">
        <f t="shared" si="1"/>
        <v>0</v>
      </c>
      <c r="V8" s="770" t="s">
        <v>17</v>
      </c>
      <c r="W8" s="771">
        <f t="shared" si="2"/>
        <v>0</v>
      </c>
      <c r="X8" s="772"/>
      <c r="Y8" s="3192" t="s">
        <v>2549</v>
      </c>
      <c r="Z8" s="3193"/>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4" t="s">
        <v>2552</v>
      </c>
      <c r="Q9" s="1798" t="str">
        <f t="shared" ref="Q9:Q14" si="6">B9</f>
        <v>用途</v>
      </c>
      <c r="R9" s="770" t="s">
        <v>17</v>
      </c>
      <c r="S9" s="771">
        <f t="shared" si="0"/>
        <v>100</v>
      </c>
      <c r="T9" s="770" t="s">
        <v>17</v>
      </c>
      <c r="U9" s="771">
        <f t="shared" si="1"/>
        <v>100</v>
      </c>
      <c r="V9" s="770" t="s">
        <v>17</v>
      </c>
      <c r="W9" s="771">
        <f t="shared" si="2"/>
        <v>100</v>
      </c>
      <c r="X9" s="772"/>
      <c r="Y9" s="3039"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4"/>
      <c r="Q11" s="1798">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6" t="s">
        <v>2557</v>
      </c>
      <c r="Q14" s="1813" t="str">
        <f t="shared" si="6"/>
        <v>交通便捷度</v>
      </c>
      <c r="R14" s="774" t="s">
        <v>17</v>
      </c>
      <c r="S14" s="775">
        <f t="shared" si="0"/>
        <v>100</v>
      </c>
      <c r="T14" s="774" t="s">
        <v>17</v>
      </c>
      <c r="U14" s="775">
        <f t="shared" si="1"/>
        <v>100</v>
      </c>
      <c r="V14" s="774" t="s">
        <v>17</v>
      </c>
      <c r="W14" s="775">
        <f t="shared" si="2"/>
        <v>100</v>
      </c>
      <c r="X14" s="1816"/>
      <c r="Y14" s="3226"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7"/>
      <c r="Q15" s="1813"/>
      <c r="R15" s="774"/>
      <c r="S15" s="775"/>
      <c r="T15" s="774"/>
      <c r="U15" s="775"/>
      <c r="V15" s="774"/>
      <c r="W15" s="775"/>
      <c r="X15" s="1816"/>
      <c r="Y15" s="3227"/>
      <c r="Z15" s="1817"/>
      <c r="AA15" s="1814">
        <v>1</v>
      </c>
      <c r="AB15" s="1814">
        <v>1</v>
      </c>
      <c r="AC15" s="1814">
        <v>1</v>
      </c>
    </row>
    <row r="16" spans="1:29" ht="42.75">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7"/>
      <c r="Q16" s="1813" t="str">
        <f>B16</f>
        <v>公共配套设施</v>
      </c>
      <c r="R16" s="774" t="s">
        <v>17</v>
      </c>
      <c r="S16" s="775">
        <f>F16</f>
        <v>100</v>
      </c>
      <c r="T16" s="774" t="s">
        <v>17</v>
      </c>
      <c r="U16" s="775">
        <f>H16</f>
        <v>100</v>
      </c>
      <c r="V16" s="774" t="s">
        <v>17</v>
      </c>
      <c r="W16" s="775">
        <f>J16</f>
        <v>100</v>
      </c>
      <c r="X16" s="1816"/>
      <c r="Y16" s="3227"/>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27"/>
      <c r="Q17" s="1813"/>
      <c r="R17" s="774"/>
      <c r="S17" s="775"/>
      <c r="T17" s="774"/>
      <c r="U17" s="775"/>
      <c r="V17" s="774"/>
      <c r="W17" s="775"/>
      <c r="X17" s="1816"/>
      <c r="Y17" s="3227"/>
      <c r="Z17" s="1817"/>
      <c r="AA17" s="1814">
        <v>1</v>
      </c>
      <c r="AB17" s="1814">
        <v>1</v>
      </c>
      <c r="AC17" s="1814">
        <v>1</v>
      </c>
    </row>
    <row r="18" spans="1:29" ht="28.5">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7"/>
      <c r="Q18" s="1813" t="str">
        <f>B18</f>
        <v>基础设施水平</v>
      </c>
      <c r="R18" s="774" t="s">
        <v>17</v>
      </c>
      <c r="S18" s="775">
        <f>F18</f>
        <v>100</v>
      </c>
      <c r="T18" s="774" t="s">
        <v>17</v>
      </c>
      <c r="U18" s="775">
        <f>H18</f>
        <v>100</v>
      </c>
      <c r="V18" s="774" t="s">
        <v>17</v>
      </c>
      <c r="W18" s="775">
        <f>J18</f>
        <v>100</v>
      </c>
      <c r="X18" s="1816"/>
      <c r="Y18" s="3227"/>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27"/>
      <c r="Q19" s="1813"/>
      <c r="R19" s="774"/>
      <c r="S19" s="775"/>
      <c r="T19" s="774"/>
      <c r="U19" s="775"/>
      <c r="V19" s="774"/>
      <c r="W19" s="775"/>
      <c r="X19" s="1816"/>
      <c r="Y19" s="3227"/>
      <c r="Z19" s="1817"/>
      <c r="AA19" s="1814">
        <v>1</v>
      </c>
      <c r="AB19" s="1814">
        <v>1</v>
      </c>
      <c r="AC19" s="1814">
        <v>1</v>
      </c>
    </row>
    <row r="20" spans="1:29" ht="57">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7"/>
      <c r="Q20" s="1813" t="str">
        <f>B20</f>
        <v>自然及人文环境</v>
      </c>
      <c r="R20" s="774" t="s">
        <v>17</v>
      </c>
      <c r="S20" s="775">
        <f>F20</f>
        <v>100</v>
      </c>
      <c r="T20" s="774" t="s">
        <v>17</v>
      </c>
      <c r="U20" s="775">
        <f>H20</f>
        <v>100</v>
      </c>
      <c r="V20" s="774" t="s">
        <v>17</v>
      </c>
      <c r="W20" s="775">
        <f>J20</f>
        <v>100</v>
      </c>
      <c r="X20" s="1816"/>
      <c r="Y20" s="322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7"/>
      <c r="Q21" s="1813"/>
      <c r="R21" s="774"/>
      <c r="S21" s="775"/>
      <c r="T21" s="774"/>
      <c r="U21" s="775"/>
      <c r="V21" s="774"/>
      <c r="W21" s="775"/>
      <c r="X21" s="1816"/>
      <c r="Y21" s="3227"/>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7"/>
      <c r="Q22" s="1813" t="str">
        <f>B22</f>
        <v>楼层</v>
      </c>
      <c r="R22" s="774" t="s">
        <v>17</v>
      </c>
      <c r="S22" s="775">
        <f>F22</f>
        <v>100</v>
      </c>
      <c r="T22" s="774" t="s">
        <v>17</v>
      </c>
      <c r="U22" s="775">
        <f>H22</f>
        <v>100</v>
      </c>
      <c r="V22" s="774" t="s">
        <v>17</v>
      </c>
      <c r="W22" s="775">
        <f>J22</f>
        <v>100</v>
      </c>
      <c r="X22" s="1816"/>
      <c r="Y22" s="322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7"/>
      <c r="Q23" s="1813">
        <f>B23</f>
        <v>111</v>
      </c>
      <c r="R23" s="774" t="s">
        <v>17</v>
      </c>
      <c r="S23" s="775">
        <f>F23</f>
        <v>100</v>
      </c>
      <c r="T23" s="774" t="s">
        <v>17</v>
      </c>
      <c r="U23" s="775">
        <f>H23</f>
        <v>100</v>
      </c>
      <c r="V23" s="774" t="s">
        <v>17</v>
      </c>
      <c r="W23" s="775">
        <f>J23</f>
        <v>100</v>
      </c>
      <c r="X23" s="1816"/>
      <c r="Y23" s="322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7"/>
      <c r="Q24" s="1813">
        <f t="shared" ref="Q24:Q36" si="11">B24</f>
        <v>111</v>
      </c>
      <c r="R24" s="774" t="s">
        <v>17</v>
      </c>
      <c r="S24" s="775">
        <f>F24</f>
        <v>100</v>
      </c>
      <c r="T24" s="774" t="s">
        <v>17</v>
      </c>
      <c r="U24" s="775">
        <f>H24</f>
        <v>100</v>
      </c>
      <c r="V24" s="774" t="s">
        <v>17</v>
      </c>
      <c r="W24" s="775">
        <f>J24</f>
        <v>100</v>
      </c>
      <c r="X24" s="1816"/>
      <c r="Y24" s="322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7"/>
      <c r="Q25" s="1798">
        <f t="shared" si="11"/>
        <v>111</v>
      </c>
      <c r="R25" s="770" t="s">
        <v>17</v>
      </c>
      <c r="S25" s="771">
        <f>F25</f>
        <v>100</v>
      </c>
      <c r="T25" s="770" t="s">
        <v>17</v>
      </c>
      <c r="U25" s="771">
        <f>H25</f>
        <v>100</v>
      </c>
      <c r="V25" s="770" t="s">
        <v>17</v>
      </c>
      <c r="W25" s="771">
        <f>J25</f>
        <v>100</v>
      </c>
      <c r="X25" s="772"/>
      <c r="Y25" s="3227"/>
      <c r="Z25" s="55">
        <f>Q25</f>
        <v>111</v>
      </c>
      <c r="AA25" s="1814">
        <f>D25/F25</f>
        <v>1</v>
      </c>
      <c r="AB25" s="1814">
        <f>D25/H25</f>
        <v>1</v>
      </c>
      <c r="AC25" s="1814">
        <f>D25/J25</f>
        <v>1</v>
      </c>
    </row>
    <row r="26" spans="1:29" ht="28.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2"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1"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1"/>
      <c r="Q27" s="776" t="str">
        <f t="shared" si="11"/>
        <v>项目停车位配比</v>
      </c>
      <c r="R27" s="777" t="s">
        <v>17</v>
      </c>
      <c r="S27" s="778">
        <f t="shared" si="12"/>
        <v>100</v>
      </c>
      <c r="T27" s="777" t="s">
        <v>17</v>
      </c>
      <c r="U27" s="778">
        <f t="shared" si="13"/>
        <v>100</v>
      </c>
      <c r="V27" s="777" t="s">
        <v>17</v>
      </c>
      <c r="W27" s="778">
        <f t="shared" si="14"/>
        <v>100</v>
      </c>
      <c r="X27" s="779"/>
      <c r="Y27" s="3231"/>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1"/>
      <c r="Q28" s="1813" t="str">
        <f t="shared" si="11"/>
        <v>公共部分装修</v>
      </c>
      <c r="R28" s="774" t="s">
        <v>17</v>
      </c>
      <c r="S28" s="775">
        <f t="shared" si="12"/>
        <v>100</v>
      </c>
      <c r="T28" s="774" t="s">
        <v>17</v>
      </c>
      <c r="U28" s="775">
        <f t="shared" si="13"/>
        <v>100</v>
      </c>
      <c r="V28" s="774" t="s">
        <v>17</v>
      </c>
      <c r="W28" s="775">
        <f t="shared" si="14"/>
        <v>100</v>
      </c>
      <c r="X28" s="1816"/>
      <c r="Y28" s="3231"/>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1"/>
      <c r="Q29" s="1813" t="str">
        <f t="shared" si="11"/>
        <v>成新率</v>
      </c>
      <c r="R29" s="774" t="s">
        <v>17</v>
      </c>
      <c r="S29" s="775" t="e">
        <f t="shared" si="12"/>
        <v>#N/A</v>
      </c>
      <c r="T29" s="774" t="s">
        <v>17</v>
      </c>
      <c r="U29" s="775" t="e">
        <f t="shared" si="13"/>
        <v>#N/A</v>
      </c>
      <c r="V29" s="774" t="s">
        <v>17</v>
      </c>
      <c r="W29" s="775" t="e">
        <f t="shared" si="14"/>
        <v>#N/A</v>
      </c>
      <c r="X29" s="1816"/>
      <c r="Y29" s="3231"/>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1"/>
      <c r="Q30" s="1813" t="str">
        <f t="shared" si="11"/>
        <v>物业等级</v>
      </c>
      <c r="R30" s="774" t="s">
        <v>17</v>
      </c>
      <c r="S30" s="775">
        <f t="shared" si="12"/>
        <v>100</v>
      </c>
      <c r="T30" s="774" t="s">
        <v>17</v>
      </c>
      <c r="U30" s="775">
        <f t="shared" si="13"/>
        <v>100</v>
      </c>
      <c r="V30" s="774" t="s">
        <v>17</v>
      </c>
      <c r="W30" s="775">
        <f t="shared" si="14"/>
        <v>100</v>
      </c>
      <c r="X30" s="1816"/>
      <c r="Y30" s="3231"/>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1"/>
      <c r="Q31" s="1798" t="str">
        <f t="shared" si="11"/>
        <v>停车位面积</v>
      </c>
      <c r="R31" s="770" t="s">
        <v>17</v>
      </c>
      <c r="S31" s="771" t="e">
        <f t="shared" si="12"/>
        <v>#N/A</v>
      </c>
      <c r="T31" s="770" t="s">
        <v>17</v>
      </c>
      <c r="U31" s="771" t="e">
        <f t="shared" si="13"/>
        <v>#N/A</v>
      </c>
      <c r="V31" s="770" t="s">
        <v>17</v>
      </c>
      <c r="W31" s="771" t="e">
        <f t="shared" si="14"/>
        <v>#N/A</v>
      </c>
      <c r="X31" s="772"/>
      <c r="Y31" s="3231"/>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1" t="s">
        <v>2562</v>
      </c>
      <c r="Q32" s="1813" t="str">
        <f t="shared" si="11"/>
        <v>车位类型</v>
      </c>
      <c r="R32" s="774" t="s">
        <v>17</v>
      </c>
      <c r="S32" s="775">
        <f t="shared" si="12"/>
        <v>100</v>
      </c>
      <c r="T32" s="774" t="s">
        <v>17</v>
      </c>
      <c r="U32" s="775">
        <f t="shared" si="13"/>
        <v>100</v>
      </c>
      <c r="V32" s="774" t="s">
        <v>17</v>
      </c>
      <c r="W32" s="775">
        <f t="shared" si="14"/>
        <v>100</v>
      </c>
      <c r="X32" s="1816"/>
      <c r="Y32" s="3231"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1"/>
      <c r="Q33" s="1813" t="str">
        <f t="shared" si="11"/>
        <v>是否直接入户</v>
      </c>
      <c r="R33" s="774" t="s">
        <v>17</v>
      </c>
      <c r="S33" s="775">
        <f t="shared" si="12"/>
        <v>100</v>
      </c>
      <c r="T33" s="774" t="s">
        <v>17</v>
      </c>
      <c r="U33" s="775">
        <f t="shared" si="13"/>
        <v>100</v>
      </c>
      <c r="V33" s="774" t="s">
        <v>17</v>
      </c>
      <c r="W33" s="775">
        <f t="shared" si="14"/>
        <v>100</v>
      </c>
      <c r="X33" s="1816"/>
      <c r="Y33" s="323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1"/>
      <c r="Q34" s="1813">
        <f t="shared" si="11"/>
        <v>111</v>
      </c>
      <c r="R34" s="774" t="s">
        <v>17</v>
      </c>
      <c r="S34" s="775">
        <f t="shared" si="12"/>
        <v>100</v>
      </c>
      <c r="T34" s="774" t="s">
        <v>17</v>
      </c>
      <c r="U34" s="775">
        <f t="shared" si="13"/>
        <v>100</v>
      </c>
      <c r="V34" s="774" t="s">
        <v>17</v>
      </c>
      <c r="W34" s="775">
        <f t="shared" si="14"/>
        <v>100</v>
      </c>
      <c r="X34" s="1816"/>
      <c r="Y34" s="323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1"/>
      <c r="Q35" s="776">
        <f t="shared" si="11"/>
        <v>111</v>
      </c>
      <c r="R35" s="777" t="s">
        <v>17</v>
      </c>
      <c r="S35" s="778">
        <f t="shared" si="12"/>
        <v>100</v>
      </c>
      <c r="T35" s="777" t="s">
        <v>17</v>
      </c>
      <c r="U35" s="778">
        <f t="shared" si="13"/>
        <v>100</v>
      </c>
      <c r="V35" s="777" t="s">
        <v>17</v>
      </c>
      <c r="W35" s="778">
        <f t="shared" si="14"/>
        <v>100</v>
      </c>
      <c r="X35" s="779"/>
      <c r="Y35" s="323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1"/>
      <c r="Q36" s="1813">
        <f t="shared" si="11"/>
        <v>111</v>
      </c>
      <c r="R36" s="774" t="s">
        <v>17</v>
      </c>
      <c r="S36" s="775">
        <f t="shared" si="12"/>
        <v>100</v>
      </c>
      <c r="T36" s="774" t="s">
        <v>17</v>
      </c>
      <c r="U36" s="775">
        <f t="shared" si="13"/>
        <v>100</v>
      </c>
      <c r="V36" s="774" t="s">
        <v>17</v>
      </c>
      <c r="W36" s="775">
        <f t="shared" si="14"/>
        <v>100</v>
      </c>
      <c r="X36" s="1816"/>
      <c r="Y36" s="3231"/>
      <c r="Z36" s="1817">
        <f t="shared" si="15"/>
        <v>111</v>
      </c>
      <c r="AA36" s="1814">
        <f t="shared" si="3"/>
        <v>1</v>
      </c>
      <c r="AB36" s="1814">
        <f t="shared" si="4"/>
        <v>1</v>
      </c>
      <c r="AC36" s="1814">
        <f t="shared" si="5"/>
        <v>1</v>
      </c>
    </row>
    <row r="37" spans="1:29" ht="15">
      <c r="A37" s="479" t="s">
        <v>2717</v>
      </c>
      <c r="B37" s="2697" t="s">
        <v>2718</v>
      </c>
      <c r="C37" s="1410" t="s">
        <v>1</v>
      </c>
      <c r="D37" s="1411"/>
      <c r="E37" s="1412"/>
      <c r="F37" s="1413"/>
      <c r="G37" s="1414"/>
      <c r="H37" s="1415"/>
      <c r="I37" s="1412"/>
      <c r="J37" s="1415"/>
      <c r="K37" s="619"/>
      <c r="L37" s="1146"/>
      <c r="M37" s="1147"/>
      <c r="N37" s="1134"/>
      <c r="O37" s="1147"/>
      <c r="P37" s="3224" t="str">
        <f>A37</f>
        <v>成交单价</v>
      </c>
      <c r="Q37" s="3224"/>
      <c r="R37" s="3225">
        <f>E37</f>
        <v>0</v>
      </c>
      <c r="S37" s="3225"/>
      <c r="T37" s="3225">
        <f>G37</f>
        <v>0</v>
      </c>
      <c r="U37" s="3225"/>
      <c r="V37" s="3225">
        <f>I37</f>
        <v>0</v>
      </c>
      <c r="W37" s="3225"/>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4" t="str">
        <f>A38</f>
        <v>比较价值（元/平方米）</v>
      </c>
      <c r="Q38" s="3224"/>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21" t="str">
        <f>A39</f>
        <v>估价对象XX用房的比较价值（楼面单价，元/平方米）</v>
      </c>
      <c r="Q39" s="3222"/>
      <c r="R39" s="3223" t="e">
        <f>IF(F1="售价",ROUND(AVERAGE(R38:V38),0),ROUND(AVERAGE(R38:V38),1))</f>
        <v>#DIV/0!</v>
      </c>
      <c r="S39" s="3223"/>
      <c r="T39" s="3223"/>
      <c r="U39" s="3223"/>
      <c r="V39" s="3223"/>
      <c r="W39" s="322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7" t="s">
        <v>2643</v>
      </c>
      <c r="D4" s="3208"/>
      <c r="E4" s="3209" t="s">
        <v>2644</v>
      </c>
      <c r="F4" s="3210"/>
      <c r="G4" s="3207" t="s">
        <v>2645</v>
      </c>
      <c r="H4" s="3208"/>
      <c r="I4" s="3207" t="s">
        <v>2646</v>
      </c>
      <c r="J4" s="3208"/>
      <c r="K4" s="610" t="s">
        <v>2647</v>
      </c>
      <c r="L4" s="1133"/>
      <c r="M4" s="1134"/>
      <c r="N4" s="1134"/>
      <c r="O4" s="1134"/>
      <c r="P4" s="3211" t="s">
        <v>2648</v>
      </c>
      <c r="Q4" s="3212"/>
      <c r="R4" s="3194" t="s">
        <v>2644</v>
      </c>
      <c r="S4" s="3195"/>
      <c r="T4" s="3194" t="s">
        <v>2645</v>
      </c>
      <c r="U4" s="3195"/>
      <c r="V4" s="3219" t="s">
        <v>2646</v>
      </c>
      <c r="W4" s="3219"/>
      <c r="X4" s="1816"/>
      <c r="Y4" s="3194" t="s">
        <v>2648</v>
      </c>
      <c r="Z4" s="3195"/>
      <c r="AA4" s="3189" t="s">
        <v>2644</v>
      </c>
      <c r="AB4" s="3190" t="s">
        <v>2645</v>
      </c>
      <c r="AC4" s="3189" t="s">
        <v>2646</v>
      </c>
    </row>
    <row r="5" spans="1:29" ht="15">
      <c r="A5" s="404"/>
      <c r="B5" s="405"/>
      <c r="C5" s="3200" t="s">
        <v>2539</v>
      </c>
      <c r="D5" s="3201"/>
      <c r="E5" s="3198" t="s">
        <v>2540</v>
      </c>
      <c r="F5" s="3199"/>
      <c r="G5" s="3200" t="s">
        <v>2541</v>
      </c>
      <c r="H5" s="3201"/>
      <c r="I5" s="3200" t="s">
        <v>2542</v>
      </c>
      <c r="J5" s="3201"/>
      <c r="K5" s="610"/>
      <c r="L5" s="1133"/>
      <c r="M5" s="1134"/>
      <c r="N5" s="1134"/>
      <c r="O5" s="1134"/>
      <c r="P5" s="3213"/>
      <c r="Q5" s="3214"/>
      <c r="R5" s="3196"/>
      <c r="S5" s="3197"/>
      <c r="T5" s="3196"/>
      <c r="U5" s="3197"/>
      <c r="V5" s="3219"/>
      <c r="W5" s="3219"/>
      <c r="X5" s="1816"/>
      <c r="Y5" s="3196"/>
      <c r="Z5" s="3197"/>
      <c r="AA5" s="3190"/>
      <c r="AB5" s="3190"/>
      <c r="AC5" s="3190"/>
    </row>
    <row r="6" spans="1:29" ht="15.75" thickBot="1">
      <c r="A6" s="406"/>
      <c r="B6" s="407"/>
      <c r="C6" s="3202" t="s">
        <v>2543</v>
      </c>
      <c r="D6" s="3203"/>
      <c r="E6" s="3204" t="s">
        <v>2543</v>
      </c>
      <c r="F6" s="3205"/>
      <c r="G6" s="3202" t="s">
        <v>2543</v>
      </c>
      <c r="H6" s="3203"/>
      <c r="I6" s="3202" t="s">
        <v>2543</v>
      </c>
      <c r="J6" s="3203"/>
      <c r="K6" s="610" t="s">
        <v>2544</v>
      </c>
      <c r="L6" s="1133"/>
      <c r="M6" s="1134"/>
      <c r="N6" s="1134"/>
      <c r="O6" s="1134"/>
      <c r="P6" s="3215"/>
      <c r="Q6" s="3216"/>
      <c r="R6" s="3196"/>
      <c r="S6" s="3197"/>
      <c r="T6" s="3217"/>
      <c r="U6" s="3218"/>
      <c r="V6" s="3219"/>
      <c r="W6" s="3219"/>
      <c r="X6" s="1816"/>
      <c r="Y6" s="3217"/>
      <c r="Z6" s="3218"/>
      <c r="AA6" s="3191"/>
      <c r="AB6" s="3191"/>
      <c r="AC6" s="3191"/>
    </row>
    <row r="7" spans="1:29" s="117" customFormat="1" ht="15.75" thickBot="1">
      <c r="A7" s="408" t="s">
        <v>2545</v>
      </c>
      <c r="B7" s="409"/>
      <c r="C7" s="410">
        <f>'数据-取费表'!B2</f>
        <v>43536</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92" t="s">
        <v>2546</v>
      </c>
      <c r="Q7" s="3220"/>
      <c r="R7" s="770" t="s">
        <v>17</v>
      </c>
      <c r="S7" s="771">
        <f t="shared" ref="S7:S14" si="0">F7</f>
        <v>0</v>
      </c>
      <c r="T7" s="770" t="s">
        <v>17</v>
      </c>
      <c r="U7" s="771">
        <f t="shared" ref="U7:U14" si="1">H7</f>
        <v>0</v>
      </c>
      <c r="V7" s="770" t="s">
        <v>17</v>
      </c>
      <c r="W7" s="771">
        <f t="shared" ref="W7:W14" si="2">J7</f>
        <v>0</v>
      </c>
      <c r="X7" s="772"/>
      <c r="Y7" s="3192" t="s">
        <v>2546</v>
      </c>
      <c r="Z7" s="3193"/>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2" t="s">
        <v>2549</v>
      </c>
      <c r="Q8" s="3193"/>
      <c r="R8" s="770" t="s">
        <v>17</v>
      </c>
      <c r="S8" s="771">
        <f t="shared" si="0"/>
        <v>0</v>
      </c>
      <c r="T8" s="770" t="s">
        <v>17</v>
      </c>
      <c r="U8" s="771">
        <f t="shared" si="1"/>
        <v>0</v>
      </c>
      <c r="V8" s="770" t="s">
        <v>17</v>
      </c>
      <c r="W8" s="771">
        <f t="shared" si="2"/>
        <v>0</v>
      </c>
      <c r="X8" s="772"/>
      <c r="Y8" s="3192" t="s">
        <v>2549</v>
      </c>
      <c r="Z8" s="3193"/>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4" t="s">
        <v>2552</v>
      </c>
      <c r="Q9" s="1798" t="str">
        <f t="shared" ref="Q9:Q14" si="6">B9</f>
        <v>用途</v>
      </c>
      <c r="R9" s="770" t="s">
        <v>17</v>
      </c>
      <c r="S9" s="771">
        <f t="shared" si="0"/>
        <v>100</v>
      </c>
      <c r="T9" s="770" t="s">
        <v>17</v>
      </c>
      <c r="U9" s="771">
        <f t="shared" si="1"/>
        <v>100</v>
      </c>
      <c r="V9" s="770" t="s">
        <v>17</v>
      </c>
      <c r="W9" s="771">
        <f t="shared" si="2"/>
        <v>100</v>
      </c>
      <c r="X9" s="772"/>
      <c r="Y9" s="3039"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4"/>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4"/>
      <c r="Q11" s="1798">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4"/>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6" t="s">
        <v>2557</v>
      </c>
      <c r="Q14" s="1813" t="str">
        <f t="shared" si="6"/>
        <v>交通便捷度</v>
      </c>
      <c r="R14" s="774" t="s">
        <v>17</v>
      </c>
      <c r="S14" s="775">
        <f t="shared" si="0"/>
        <v>100</v>
      </c>
      <c r="T14" s="774" t="s">
        <v>17</v>
      </c>
      <c r="U14" s="775">
        <f t="shared" si="1"/>
        <v>100</v>
      </c>
      <c r="V14" s="774" t="s">
        <v>17</v>
      </c>
      <c r="W14" s="775">
        <f t="shared" si="2"/>
        <v>100</v>
      </c>
      <c r="X14" s="1816"/>
      <c r="Y14" s="3226"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7"/>
      <c r="Q15" s="1813"/>
      <c r="R15" s="774"/>
      <c r="S15" s="775"/>
      <c r="T15" s="774"/>
      <c r="U15" s="775"/>
      <c r="V15" s="774"/>
      <c r="W15" s="775"/>
      <c r="X15" s="1816"/>
      <c r="Y15" s="3227"/>
      <c r="Z15" s="1817"/>
      <c r="AA15" s="1814">
        <v>1</v>
      </c>
      <c r="AB15" s="1814">
        <v>1</v>
      </c>
      <c r="AC15" s="1814">
        <v>1</v>
      </c>
    </row>
    <row r="16" spans="1:29" ht="42.75">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7"/>
      <c r="Q16" s="1813" t="str">
        <f>B16</f>
        <v>公共配套设施</v>
      </c>
      <c r="R16" s="774" t="s">
        <v>17</v>
      </c>
      <c r="S16" s="775">
        <f>F16</f>
        <v>100</v>
      </c>
      <c r="T16" s="774" t="s">
        <v>17</v>
      </c>
      <c r="U16" s="775">
        <f>H16</f>
        <v>100</v>
      </c>
      <c r="V16" s="774" t="s">
        <v>17</v>
      </c>
      <c r="W16" s="775">
        <f>J16</f>
        <v>100</v>
      </c>
      <c r="X16" s="1816"/>
      <c r="Y16" s="3227"/>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27"/>
      <c r="Q17" s="1813"/>
      <c r="R17" s="774"/>
      <c r="S17" s="775"/>
      <c r="T17" s="774"/>
      <c r="U17" s="775"/>
      <c r="V17" s="774"/>
      <c r="W17" s="775"/>
      <c r="X17" s="1816"/>
      <c r="Y17" s="3227"/>
      <c r="Z17" s="1817"/>
      <c r="AA17" s="1814">
        <v>1</v>
      </c>
      <c r="AB17" s="1814">
        <v>1</v>
      </c>
      <c r="AC17" s="1814">
        <v>1</v>
      </c>
    </row>
    <row r="18" spans="1:29" ht="28.5">
      <c r="A18" s="428"/>
      <c r="B18" s="1387"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7"/>
      <c r="Q18" s="1813" t="str">
        <f>B18</f>
        <v>基础设施水平</v>
      </c>
      <c r="R18" s="774" t="s">
        <v>17</v>
      </c>
      <c r="S18" s="775">
        <f>F18</f>
        <v>100</v>
      </c>
      <c r="T18" s="774" t="s">
        <v>17</v>
      </c>
      <c r="U18" s="775">
        <f>H18</f>
        <v>100</v>
      </c>
      <c r="V18" s="774" t="s">
        <v>17</v>
      </c>
      <c r="W18" s="775">
        <f>J18</f>
        <v>100</v>
      </c>
      <c r="X18" s="1816"/>
      <c r="Y18" s="3227"/>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27"/>
      <c r="Q19" s="1813"/>
      <c r="R19" s="774"/>
      <c r="S19" s="775"/>
      <c r="T19" s="774"/>
      <c r="U19" s="775"/>
      <c r="V19" s="774"/>
      <c r="W19" s="775"/>
      <c r="X19" s="1816"/>
      <c r="Y19" s="3227"/>
      <c r="Z19" s="1817"/>
      <c r="AA19" s="1814">
        <v>1</v>
      </c>
      <c r="AB19" s="1814">
        <v>1</v>
      </c>
      <c r="AC19" s="1814">
        <v>1</v>
      </c>
    </row>
    <row r="20" spans="1:29" ht="57">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7"/>
      <c r="Q20" s="1813" t="str">
        <f>B20</f>
        <v>自然及人文环境</v>
      </c>
      <c r="R20" s="774" t="s">
        <v>17</v>
      </c>
      <c r="S20" s="775">
        <f>F20</f>
        <v>100</v>
      </c>
      <c r="T20" s="774" t="s">
        <v>17</v>
      </c>
      <c r="U20" s="775">
        <f>H20</f>
        <v>100</v>
      </c>
      <c r="V20" s="774" t="s">
        <v>17</v>
      </c>
      <c r="W20" s="775">
        <f>J20</f>
        <v>100</v>
      </c>
      <c r="X20" s="1816"/>
      <c r="Y20" s="322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7"/>
      <c r="Q21" s="1813"/>
      <c r="R21" s="774"/>
      <c r="S21" s="775"/>
      <c r="T21" s="774"/>
      <c r="U21" s="775"/>
      <c r="V21" s="774"/>
      <c r="W21" s="775"/>
      <c r="X21" s="1816"/>
      <c r="Y21" s="3227"/>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7"/>
      <c r="Q22" s="1813" t="str">
        <f>B22</f>
        <v>楼层</v>
      </c>
      <c r="R22" s="774" t="s">
        <v>17</v>
      </c>
      <c r="S22" s="775">
        <f>F22</f>
        <v>100</v>
      </c>
      <c r="T22" s="774" t="s">
        <v>17</v>
      </c>
      <c r="U22" s="775">
        <f>H22</f>
        <v>100</v>
      </c>
      <c r="V22" s="774" t="s">
        <v>17</v>
      </c>
      <c r="W22" s="775">
        <f>J22</f>
        <v>100</v>
      </c>
      <c r="X22" s="1816"/>
      <c r="Y22" s="3227"/>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7"/>
      <c r="Q23" s="1813">
        <f>B23</f>
        <v>111</v>
      </c>
      <c r="R23" s="774" t="s">
        <v>17</v>
      </c>
      <c r="S23" s="775">
        <f>F23</f>
        <v>100</v>
      </c>
      <c r="T23" s="774" t="s">
        <v>17</v>
      </c>
      <c r="U23" s="775">
        <f>H23</f>
        <v>100</v>
      </c>
      <c r="V23" s="774" t="s">
        <v>17</v>
      </c>
      <c r="W23" s="775">
        <f>J23</f>
        <v>100</v>
      </c>
      <c r="X23" s="1816"/>
      <c r="Y23" s="3227"/>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7"/>
      <c r="Q24" s="1813">
        <f t="shared" ref="Q24:Q34" si="11">B24</f>
        <v>111</v>
      </c>
      <c r="R24" s="774" t="s">
        <v>17</v>
      </c>
      <c r="S24" s="775">
        <f>F24</f>
        <v>100</v>
      </c>
      <c r="T24" s="774" t="s">
        <v>17</v>
      </c>
      <c r="U24" s="775">
        <f>H24</f>
        <v>100</v>
      </c>
      <c r="V24" s="774" t="s">
        <v>17</v>
      </c>
      <c r="W24" s="775">
        <f>J24</f>
        <v>100</v>
      </c>
      <c r="X24" s="1816"/>
      <c r="Y24" s="3227"/>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27"/>
      <c r="Q25" s="1798">
        <f t="shared" si="11"/>
        <v>111</v>
      </c>
      <c r="R25" s="770" t="s">
        <v>17</v>
      </c>
      <c r="S25" s="771">
        <f>F25</f>
        <v>100</v>
      </c>
      <c r="T25" s="770" t="s">
        <v>17</v>
      </c>
      <c r="U25" s="771">
        <f>H25</f>
        <v>100</v>
      </c>
      <c r="V25" s="770" t="s">
        <v>17</v>
      </c>
      <c r="W25" s="771">
        <f>J25</f>
        <v>100</v>
      </c>
      <c r="X25" s="772"/>
      <c r="Y25" s="3227"/>
      <c r="Z25" s="55">
        <f>Q25</f>
        <v>111</v>
      </c>
      <c r="AA25" s="1814">
        <f>D25/F25</f>
        <v>1</v>
      </c>
      <c r="AB25" s="1814">
        <f>D25/H25</f>
        <v>1</v>
      </c>
      <c r="AC25" s="1814">
        <f>D25/J25</f>
        <v>1</v>
      </c>
    </row>
    <row r="26" spans="1:29" ht="28.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52"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1"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1"/>
      <c r="Q27" s="776" t="str">
        <f t="shared" si="11"/>
        <v>成新率</v>
      </c>
      <c r="R27" s="777" t="s">
        <v>17</v>
      </c>
      <c r="S27" s="778" t="e">
        <f t="shared" si="12"/>
        <v>#N/A</v>
      </c>
      <c r="T27" s="777" t="s">
        <v>17</v>
      </c>
      <c r="U27" s="778" t="e">
        <f t="shared" si="13"/>
        <v>#N/A</v>
      </c>
      <c r="V27" s="777" t="s">
        <v>17</v>
      </c>
      <c r="W27" s="778" t="e">
        <f t="shared" si="14"/>
        <v>#N/A</v>
      </c>
      <c r="X27" s="779"/>
      <c r="Y27" s="3231"/>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1"/>
      <c r="Q28" s="1813" t="str">
        <f t="shared" si="11"/>
        <v>物业等级</v>
      </c>
      <c r="R28" s="774" t="s">
        <v>17</v>
      </c>
      <c r="S28" s="775">
        <f t="shared" si="12"/>
        <v>100</v>
      </c>
      <c r="T28" s="774" t="s">
        <v>17</v>
      </c>
      <c r="U28" s="775">
        <f t="shared" si="13"/>
        <v>100</v>
      </c>
      <c r="V28" s="774" t="s">
        <v>17</v>
      </c>
      <c r="W28" s="775">
        <f t="shared" si="14"/>
        <v>100</v>
      </c>
      <c r="X28" s="1816"/>
      <c r="Y28" s="3231"/>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1"/>
      <c r="Q29" s="1813" t="str">
        <f t="shared" si="11"/>
        <v>有无电梯</v>
      </c>
      <c r="R29" s="774" t="s">
        <v>17</v>
      </c>
      <c r="S29" s="775">
        <f t="shared" si="12"/>
        <v>100</v>
      </c>
      <c r="T29" s="774" t="s">
        <v>17</v>
      </c>
      <c r="U29" s="775">
        <f t="shared" si="13"/>
        <v>100</v>
      </c>
      <c r="V29" s="774" t="s">
        <v>17</v>
      </c>
      <c r="W29" s="775">
        <f t="shared" si="14"/>
        <v>100</v>
      </c>
      <c r="X29" s="1816"/>
      <c r="Y29" s="3231"/>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1"/>
      <c r="Q30" s="1813" t="str">
        <f t="shared" si="11"/>
        <v>建筑面积</v>
      </c>
      <c r="R30" s="774" t="s">
        <v>17</v>
      </c>
      <c r="S30" s="775" t="e">
        <f t="shared" si="12"/>
        <v>#N/A</v>
      </c>
      <c r="T30" s="774" t="s">
        <v>17</v>
      </c>
      <c r="U30" s="775" t="e">
        <f t="shared" si="13"/>
        <v>#N/A</v>
      </c>
      <c r="V30" s="774" t="s">
        <v>17</v>
      </c>
      <c r="W30" s="775" t="e">
        <f t="shared" si="14"/>
        <v>#N/A</v>
      </c>
      <c r="X30" s="1816"/>
      <c r="Y30" s="3231"/>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1"/>
      <c r="Q31" s="1798" t="str">
        <f t="shared" si="11"/>
        <v>是否封闭</v>
      </c>
      <c r="R31" s="770" t="s">
        <v>17</v>
      </c>
      <c r="S31" s="771">
        <f t="shared" si="12"/>
        <v>100</v>
      </c>
      <c r="T31" s="770" t="s">
        <v>17</v>
      </c>
      <c r="U31" s="771">
        <f t="shared" si="13"/>
        <v>100</v>
      </c>
      <c r="V31" s="770" t="s">
        <v>17</v>
      </c>
      <c r="W31" s="771">
        <f t="shared" si="14"/>
        <v>100</v>
      </c>
      <c r="X31" s="772"/>
      <c r="Y31" s="323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1" t="s">
        <v>2562</v>
      </c>
      <c r="Q32" s="1813">
        <f t="shared" si="11"/>
        <v>111</v>
      </c>
      <c r="R32" s="774" t="s">
        <v>17</v>
      </c>
      <c r="S32" s="775">
        <f t="shared" si="12"/>
        <v>100</v>
      </c>
      <c r="T32" s="774" t="s">
        <v>17</v>
      </c>
      <c r="U32" s="775">
        <f t="shared" si="13"/>
        <v>100</v>
      </c>
      <c r="V32" s="774" t="s">
        <v>17</v>
      </c>
      <c r="W32" s="775">
        <f t="shared" si="14"/>
        <v>100</v>
      </c>
      <c r="X32" s="1816"/>
      <c r="Y32" s="3231" t="s">
        <v>2562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1"/>
      <c r="Q33" s="1813">
        <f t="shared" si="11"/>
        <v>111</v>
      </c>
      <c r="R33" s="774" t="s">
        <v>17</v>
      </c>
      <c r="S33" s="775">
        <f t="shared" si="12"/>
        <v>100</v>
      </c>
      <c r="T33" s="774" t="s">
        <v>17</v>
      </c>
      <c r="U33" s="775">
        <f t="shared" si="13"/>
        <v>100</v>
      </c>
      <c r="V33" s="774" t="s">
        <v>17</v>
      </c>
      <c r="W33" s="775">
        <f t="shared" si="14"/>
        <v>100</v>
      </c>
      <c r="X33" s="1816"/>
      <c r="Y33" s="3231"/>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31"/>
      <c r="Q34" s="1813">
        <f t="shared" si="11"/>
        <v>111</v>
      </c>
      <c r="R34" s="774" t="s">
        <v>17</v>
      </c>
      <c r="S34" s="775">
        <f t="shared" si="12"/>
        <v>100</v>
      </c>
      <c r="T34" s="774" t="s">
        <v>17</v>
      </c>
      <c r="U34" s="775">
        <f t="shared" si="13"/>
        <v>100</v>
      </c>
      <c r="V34" s="774" t="s">
        <v>17</v>
      </c>
      <c r="W34" s="775">
        <f t="shared" si="14"/>
        <v>100</v>
      </c>
      <c r="X34" s="1816"/>
      <c r="Y34" s="3231"/>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24" t="str">
        <f>A35</f>
        <v>成交单价（元/平方米）</v>
      </c>
      <c r="Q35" s="3224"/>
      <c r="R35" s="3225">
        <f>E35</f>
        <v>0</v>
      </c>
      <c r="S35" s="3225"/>
      <c r="T35" s="3225">
        <f>G35</f>
        <v>0</v>
      </c>
      <c r="U35" s="3225"/>
      <c r="V35" s="3225">
        <f>I35</f>
        <v>0</v>
      </c>
      <c r="W35" s="3225"/>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24" t="str">
        <f>A36</f>
        <v>比较价值（元/平方米）</v>
      </c>
      <c r="Q36" s="322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21" t="str">
        <f>A37</f>
        <v>估价对象XX用房的比较价值（楼面单价，元/平方米）</v>
      </c>
      <c r="Q37" s="3222"/>
      <c r="R37" s="3223" t="e">
        <f>IF(F1="售价",ROUND(AVERAGE(R36:V36),0),ROUND(AVERAGE(R36:V36),1))</f>
        <v>#DIV/0!</v>
      </c>
      <c r="S37" s="3223"/>
      <c r="T37" s="3223"/>
      <c r="U37" s="3223"/>
      <c r="V37" s="3223"/>
      <c r="W37" s="322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07" t="s">
        <v>2643</v>
      </c>
      <c r="D4" s="3208"/>
      <c r="E4" s="3209" t="s">
        <v>2644</v>
      </c>
      <c r="F4" s="3210"/>
      <c r="G4" s="3207" t="s">
        <v>2645</v>
      </c>
      <c r="H4" s="3208"/>
      <c r="I4" s="3207" t="s">
        <v>2646</v>
      </c>
      <c r="J4" s="3208"/>
      <c r="K4" s="610" t="s">
        <v>2647</v>
      </c>
      <c r="L4" s="1133"/>
      <c r="M4" s="1134"/>
      <c r="N4" s="1134"/>
      <c r="O4" s="1134"/>
      <c r="P4" s="3211" t="s">
        <v>2648</v>
      </c>
      <c r="Q4" s="3212"/>
      <c r="R4" s="3194" t="s">
        <v>2644</v>
      </c>
      <c r="S4" s="3195"/>
      <c r="T4" s="3194" t="s">
        <v>2645</v>
      </c>
      <c r="U4" s="3195"/>
      <c r="V4" s="3219" t="s">
        <v>2646</v>
      </c>
      <c r="W4" s="3219"/>
      <c r="X4" s="1816"/>
      <c r="Y4" s="3194" t="s">
        <v>2648</v>
      </c>
      <c r="Z4" s="3195"/>
      <c r="AA4" s="3189" t="s">
        <v>2644</v>
      </c>
      <c r="AB4" s="3190" t="s">
        <v>2645</v>
      </c>
      <c r="AC4" s="3189" t="s">
        <v>2646</v>
      </c>
    </row>
    <row r="5" spans="1:30" ht="15">
      <c r="A5" s="404"/>
      <c r="B5" s="405"/>
      <c r="C5" s="3200" t="s">
        <v>2539</v>
      </c>
      <c r="D5" s="3201"/>
      <c r="E5" s="3198" t="s">
        <v>2540</v>
      </c>
      <c r="F5" s="3199"/>
      <c r="G5" s="3200" t="s">
        <v>2541</v>
      </c>
      <c r="H5" s="3201"/>
      <c r="I5" s="3200" t="s">
        <v>2542</v>
      </c>
      <c r="J5" s="3201"/>
      <c r="K5" s="610"/>
      <c r="L5" s="1133"/>
      <c r="M5" s="1134"/>
      <c r="N5" s="1134"/>
      <c r="O5" s="1134"/>
      <c r="P5" s="3213"/>
      <c r="Q5" s="3214"/>
      <c r="R5" s="3196"/>
      <c r="S5" s="3197"/>
      <c r="T5" s="3196"/>
      <c r="U5" s="3197"/>
      <c r="V5" s="3219"/>
      <c r="W5" s="3219"/>
      <c r="X5" s="1816"/>
      <c r="Y5" s="3196"/>
      <c r="Z5" s="3197"/>
      <c r="AA5" s="3190"/>
      <c r="AB5" s="3190"/>
      <c r="AC5" s="3190"/>
    </row>
    <row r="6" spans="1:30" ht="15.75" thickBot="1">
      <c r="A6" s="406"/>
      <c r="B6" s="407"/>
      <c r="C6" s="3202" t="s">
        <v>2543</v>
      </c>
      <c r="D6" s="3203"/>
      <c r="E6" s="3204" t="s">
        <v>2543</v>
      </c>
      <c r="F6" s="3205"/>
      <c r="G6" s="3202" t="s">
        <v>2543</v>
      </c>
      <c r="H6" s="3203"/>
      <c r="I6" s="3202" t="s">
        <v>2543</v>
      </c>
      <c r="J6" s="3203"/>
      <c r="K6" s="610" t="s">
        <v>2544</v>
      </c>
      <c r="L6" s="1133"/>
      <c r="M6" s="1134"/>
      <c r="N6" s="1134"/>
      <c r="O6" s="1134"/>
      <c r="P6" s="3215"/>
      <c r="Q6" s="3216"/>
      <c r="R6" s="3196"/>
      <c r="S6" s="3197"/>
      <c r="T6" s="3217"/>
      <c r="U6" s="3218"/>
      <c r="V6" s="3219"/>
      <c r="W6" s="3219"/>
      <c r="X6" s="1816"/>
      <c r="Y6" s="3217"/>
      <c r="Z6" s="3218"/>
      <c r="AA6" s="3191"/>
      <c r="AB6" s="3191"/>
      <c r="AC6" s="3191"/>
    </row>
    <row r="7" spans="1:30" s="117" customFormat="1" ht="15.75" thickBot="1">
      <c r="A7" s="408" t="s">
        <v>2545</v>
      </c>
      <c r="B7" s="409"/>
      <c r="C7" s="410">
        <f>'数据-取费表'!B2</f>
        <v>43536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92" t="s">
        <v>2546</v>
      </c>
      <c r="Q7" s="3220"/>
      <c r="R7" s="770" t="s">
        <v>17</v>
      </c>
      <c r="S7" s="771">
        <f t="shared" ref="S7:S15" si="0">F7</f>
        <v>0</v>
      </c>
      <c r="T7" s="770" t="s">
        <v>17</v>
      </c>
      <c r="U7" s="771">
        <f t="shared" ref="U7:U15" si="1">H7</f>
        <v>0</v>
      </c>
      <c r="V7" s="770" t="s">
        <v>17</v>
      </c>
      <c r="W7" s="771">
        <f t="shared" ref="W7:W15" si="2">J7</f>
        <v>0</v>
      </c>
      <c r="X7" s="772"/>
      <c r="Y7" s="3192" t="s">
        <v>2546</v>
      </c>
      <c r="Z7" s="3193"/>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2" t="s">
        <v>2549</v>
      </c>
      <c r="Q8" s="3193"/>
      <c r="R8" s="770" t="s">
        <v>17</v>
      </c>
      <c r="S8" s="771">
        <f t="shared" si="0"/>
        <v>0</v>
      </c>
      <c r="T8" s="770" t="s">
        <v>17</v>
      </c>
      <c r="U8" s="771">
        <f t="shared" si="1"/>
        <v>0</v>
      </c>
      <c r="V8" s="770" t="s">
        <v>17</v>
      </c>
      <c r="W8" s="771">
        <f t="shared" si="2"/>
        <v>0</v>
      </c>
      <c r="X8" s="772"/>
      <c r="Y8" s="3192" t="s">
        <v>2549</v>
      </c>
      <c r="Z8" s="3193"/>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24" t="s">
        <v>2552</v>
      </c>
      <c r="Q9" s="1798"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224"/>
      <c r="Q10" s="1798" t="str">
        <f t="shared" si="6"/>
        <v>土地使用年限（年）</v>
      </c>
      <c r="R10" s="770" t="s">
        <v>17</v>
      </c>
      <c r="S10" s="771">
        <f t="shared" si="0"/>
        <v>117</v>
      </c>
      <c r="T10" s="770" t="s">
        <v>17</v>
      </c>
      <c r="U10" s="771">
        <f t="shared" si="1"/>
        <v>117</v>
      </c>
      <c r="V10" s="770" t="s">
        <v>17</v>
      </c>
      <c r="W10" s="771">
        <f t="shared" si="2"/>
        <v>117</v>
      </c>
      <c r="X10" s="772"/>
      <c r="Y10" s="3039"/>
      <c r="Z10" s="55" t="str">
        <f t="shared" si="7"/>
        <v>土地使用年限（年）</v>
      </c>
      <c r="AA10" s="773">
        <f t="shared" si="3"/>
        <v>0.85470085470085466</v>
      </c>
      <c r="AB10" s="773">
        <f t="shared" si="4"/>
        <v>0.85470085470085466</v>
      </c>
      <c r="AC10" s="773">
        <f t="shared" si="5"/>
        <v>0.85470085470085466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4"/>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4"/>
      <c r="Q12" s="1798" t="str">
        <f t="shared" si="6"/>
        <v>配建</v>
      </c>
      <c r="R12" s="770" t="s">
        <v>17</v>
      </c>
      <c r="S12" s="771">
        <f t="shared" si="0"/>
        <v>100</v>
      </c>
      <c r="T12" s="770" t="s">
        <v>17</v>
      </c>
      <c r="U12" s="771">
        <f t="shared" si="1"/>
        <v>100</v>
      </c>
      <c r="V12" s="770" t="s">
        <v>17</v>
      </c>
      <c r="W12" s="771">
        <f t="shared" si="2"/>
        <v>100</v>
      </c>
      <c r="X12" s="772"/>
      <c r="Y12" s="303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39"/>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4"/>
      <c r="Q14" s="1798">
        <f t="shared" si="6"/>
        <v>111</v>
      </c>
      <c r="R14" s="770" t="s">
        <v>17</v>
      </c>
      <c r="S14" s="771">
        <f t="shared" si="0"/>
        <v>100</v>
      </c>
      <c r="T14" s="770" t="s">
        <v>17</v>
      </c>
      <c r="U14" s="771">
        <f t="shared" si="1"/>
        <v>100</v>
      </c>
      <c r="V14" s="770" t="s">
        <v>17</v>
      </c>
      <c r="W14" s="771">
        <f t="shared" si="2"/>
        <v>100</v>
      </c>
      <c r="X14" s="772"/>
      <c r="Y14" s="3039"/>
      <c r="Z14" s="55">
        <f t="shared" si="7"/>
        <v>111</v>
      </c>
      <c r="AA14" s="773">
        <f>D14/F14</f>
        <v>1</v>
      </c>
      <c r="AB14" s="773">
        <f>D14/H14</f>
        <v>1</v>
      </c>
      <c r="AC14" s="773">
        <f>D14/J14</f>
        <v>1</v>
      </c>
    </row>
    <row r="15" spans="1:30" ht="99.75">
      <c r="A15" s="440" t="s">
        <v>2556</v>
      </c>
      <c r="B15" s="69" t="s">
        <v>2082</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6" t="s">
        <v>2557</v>
      </c>
      <c r="Q15" s="1813" t="str">
        <f t="shared" si="6"/>
        <v>居住社区成熟度</v>
      </c>
      <c r="R15" s="774" t="s">
        <v>17</v>
      </c>
      <c r="S15" s="775">
        <f t="shared" si="0"/>
        <v>100</v>
      </c>
      <c r="T15" s="774" t="s">
        <v>17</v>
      </c>
      <c r="U15" s="775">
        <f t="shared" si="1"/>
        <v>100</v>
      </c>
      <c r="V15" s="774" t="s">
        <v>17</v>
      </c>
      <c r="W15" s="775">
        <f t="shared" si="2"/>
        <v>100</v>
      </c>
      <c r="X15" s="1816"/>
      <c r="Y15" s="3226" t="s">
        <v>2557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27"/>
      <c r="Q16" s="1813"/>
      <c r="R16" s="774"/>
      <c r="S16" s="775"/>
      <c r="T16" s="774"/>
      <c r="U16" s="775"/>
      <c r="V16" s="774"/>
      <c r="W16" s="775"/>
      <c r="X16" s="1816"/>
      <c r="Y16" s="3227"/>
      <c r="Z16" s="1817"/>
      <c r="AA16" s="1814">
        <v>1</v>
      </c>
      <c r="AB16" s="1814">
        <v>1</v>
      </c>
      <c r="AC16" s="1814">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7"/>
      <c r="Q17" s="1813" t="str">
        <f>B17</f>
        <v>商业繁华度</v>
      </c>
      <c r="R17" s="774" t="s">
        <v>17</v>
      </c>
      <c r="S17" s="775">
        <f>F17</f>
        <v>100</v>
      </c>
      <c r="T17" s="774" t="s">
        <v>17</v>
      </c>
      <c r="U17" s="775">
        <f>H17</f>
        <v>100</v>
      </c>
      <c r="V17" s="774" t="s">
        <v>17</v>
      </c>
      <c r="W17" s="775">
        <f>J17</f>
        <v>100</v>
      </c>
      <c r="X17" s="1816"/>
      <c r="Y17" s="3227"/>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27"/>
      <c r="Q18" s="1813"/>
      <c r="R18" s="774"/>
      <c r="S18" s="775"/>
      <c r="T18" s="774"/>
      <c r="U18" s="775"/>
      <c r="V18" s="774"/>
      <c r="W18" s="775"/>
      <c r="X18" s="1816"/>
      <c r="Y18" s="3227"/>
      <c r="Z18" s="1817"/>
      <c r="AA18" s="1814">
        <v>1</v>
      </c>
      <c r="AB18" s="1814">
        <v>1</v>
      </c>
      <c r="AC18" s="1814">
        <v>1</v>
      </c>
    </row>
    <row r="19" spans="1:29" ht="71.25">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7"/>
      <c r="Q19" s="1813" t="str">
        <f>B19</f>
        <v>办公集聚程度</v>
      </c>
      <c r="R19" s="774" t="s">
        <v>17</v>
      </c>
      <c r="S19" s="775">
        <f>F19</f>
        <v>100</v>
      </c>
      <c r="T19" s="774" t="s">
        <v>17</v>
      </c>
      <c r="U19" s="775">
        <f>H19</f>
        <v>100</v>
      </c>
      <c r="V19" s="774" t="s">
        <v>17</v>
      </c>
      <c r="W19" s="775">
        <f>J19</f>
        <v>100</v>
      </c>
      <c r="X19" s="1816"/>
      <c r="Y19" s="3227"/>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27"/>
      <c r="Q20" s="1813"/>
      <c r="R20" s="774"/>
      <c r="S20" s="775"/>
      <c r="T20" s="774"/>
      <c r="U20" s="775"/>
      <c r="V20" s="774"/>
      <c r="W20" s="775"/>
      <c r="X20" s="1816"/>
      <c r="Y20" s="3227"/>
      <c r="Z20" s="1817"/>
      <c r="AA20" s="1814">
        <v>1</v>
      </c>
      <c r="AB20" s="1814">
        <v>1</v>
      </c>
      <c r="AC20" s="1814">
        <v>1</v>
      </c>
    </row>
    <row r="21" spans="1:29" ht="85.5">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7"/>
      <c r="Q21" s="1813" t="str">
        <f>B21</f>
        <v>交通便捷度</v>
      </c>
      <c r="R21" s="774" t="s">
        <v>17</v>
      </c>
      <c r="S21" s="775">
        <f>F21</f>
        <v>100</v>
      </c>
      <c r="T21" s="774" t="s">
        <v>17</v>
      </c>
      <c r="U21" s="775">
        <f>H21</f>
        <v>100</v>
      </c>
      <c r="V21" s="774" t="s">
        <v>17</v>
      </c>
      <c r="W21" s="775">
        <f>J21</f>
        <v>100</v>
      </c>
      <c r="X21" s="1816"/>
      <c r="Y21" s="3227"/>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27"/>
      <c r="Q22" s="1813"/>
      <c r="R22" s="774"/>
      <c r="S22" s="775"/>
      <c r="T22" s="774"/>
      <c r="U22" s="775"/>
      <c r="V22" s="774"/>
      <c r="W22" s="775"/>
      <c r="X22" s="1816"/>
      <c r="Y22" s="3227"/>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7"/>
      <c r="Q23" s="1813" t="str">
        <f t="shared" ref="Q23:Q37" si="8">B23</f>
        <v>区域土地利用方向</v>
      </c>
      <c r="R23" s="774" t="s">
        <v>17</v>
      </c>
      <c r="S23" s="775">
        <f>F23</f>
        <v>100</v>
      </c>
      <c r="T23" s="774" t="s">
        <v>17</v>
      </c>
      <c r="U23" s="775">
        <f>H23</f>
        <v>100</v>
      </c>
      <c r="V23" s="774" t="s">
        <v>17</v>
      </c>
      <c r="W23" s="775">
        <f>J23</f>
        <v>100</v>
      </c>
      <c r="X23" s="1816"/>
      <c r="Y23" s="3227"/>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27"/>
      <c r="Q24" s="1813"/>
      <c r="R24" s="774"/>
      <c r="S24" s="775"/>
      <c r="T24" s="774"/>
      <c r="U24" s="775"/>
      <c r="V24" s="774"/>
      <c r="W24" s="775"/>
      <c r="X24" s="1816"/>
      <c r="Y24" s="3227"/>
      <c r="Z24" s="1817"/>
      <c r="AA24" s="1814"/>
      <c r="AB24" s="1814"/>
      <c r="AC24" s="1814"/>
    </row>
    <row r="25" spans="1:29" ht="57">
      <c r="A25" s="404"/>
      <c r="B25" s="1387"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7"/>
      <c r="Q25" s="1813" t="str">
        <f t="shared" si="8"/>
        <v>自然及人文环境状况</v>
      </c>
      <c r="R25" s="774" t="s">
        <v>17</v>
      </c>
      <c r="S25" s="775">
        <f>F25</f>
        <v>100</v>
      </c>
      <c r="T25" s="774" t="s">
        <v>17</v>
      </c>
      <c r="U25" s="775">
        <f>H25</f>
        <v>100</v>
      </c>
      <c r="V25" s="774" t="s">
        <v>17</v>
      </c>
      <c r="W25" s="775">
        <f>J25</f>
        <v>100</v>
      </c>
      <c r="X25" s="1816"/>
      <c r="Y25" s="3227"/>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27"/>
      <c r="Q26" s="1813"/>
      <c r="R26" s="774"/>
      <c r="S26" s="775"/>
      <c r="T26" s="774"/>
      <c r="U26" s="775"/>
      <c r="V26" s="774"/>
      <c r="W26" s="775"/>
      <c r="X26" s="1816"/>
      <c r="Y26" s="3227"/>
      <c r="Z26" s="1817"/>
      <c r="AA26" s="1814">
        <v>1</v>
      </c>
      <c r="AB26" s="1814">
        <v>1</v>
      </c>
      <c r="AC26" s="1814">
        <v>1</v>
      </c>
    </row>
    <row r="27" spans="1:29" s="117" customFormat="1" ht="42.75">
      <c r="A27" s="649"/>
      <c r="B27" s="1387"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7"/>
      <c r="Q27" s="1798" t="str">
        <f t="shared" si="8"/>
        <v>公共配套设施</v>
      </c>
      <c r="R27" s="770" t="s">
        <v>17</v>
      </c>
      <c r="S27" s="771">
        <f>F27</f>
        <v>100</v>
      </c>
      <c r="T27" s="770" t="s">
        <v>17</v>
      </c>
      <c r="U27" s="771">
        <f>H27</f>
        <v>100</v>
      </c>
      <c r="V27" s="770" t="s">
        <v>17</v>
      </c>
      <c r="W27" s="771">
        <f>J27</f>
        <v>100</v>
      </c>
      <c r="X27" s="772"/>
      <c r="Y27" s="3227"/>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27"/>
      <c r="Q28" s="1798"/>
      <c r="R28" s="770"/>
      <c r="S28" s="771"/>
      <c r="T28" s="770"/>
      <c r="U28" s="771"/>
      <c r="V28" s="770"/>
      <c r="W28" s="771"/>
      <c r="X28" s="772"/>
      <c r="Y28" s="3227"/>
      <c r="Z28" s="55"/>
      <c r="AA28" s="1814">
        <v>1</v>
      </c>
      <c r="AB28" s="1814">
        <v>1</v>
      </c>
      <c r="AC28" s="1814">
        <v>1</v>
      </c>
    </row>
    <row r="29" spans="1:29" s="117" customFormat="1" ht="28.5">
      <c r="A29" s="649"/>
      <c r="B29" s="1387"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7"/>
      <c r="Q29" s="1798" t="str">
        <f t="shared" ref="Q29" si="9">B29</f>
        <v>基础设施水平</v>
      </c>
      <c r="R29" s="770" t="s">
        <v>17</v>
      </c>
      <c r="S29" s="771">
        <f>F29</f>
        <v>100</v>
      </c>
      <c r="T29" s="770" t="s">
        <v>17</v>
      </c>
      <c r="U29" s="771">
        <f>H29</f>
        <v>100</v>
      </c>
      <c r="V29" s="770" t="s">
        <v>17</v>
      </c>
      <c r="W29" s="771">
        <f>J29</f>
        <v>100</v>
      </c>
      <c r="X29" s="772"/>
      <c r="Y29" s="3227"/>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27"/>
      <c r="Q30" s="1798"/>
      <c r="R30" s="770"/>
      <c r="S30" s="771"/>
      <c r="T30" s="770"/>
      <c r="U30" s="771"/>
      <c r="V30" s="770"/>
      <c r="W30" s="771"/>
      <c r="X30" s="772"/>
      <c r="Y30" s="3227"/>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7"/>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7"/>
      <c r="Q32" s="1813" t="str">
        <f t="shared" si="8"/>
        <v>毗邻道路的类型与等级</v>
      </c>
      <c r="R32" s="774" t="s">
        <v>17</v>
      </c>
      <c r="S32" s="775">
        <f t="shared" si="10"/>
        <v>100</v>
      </c>
      <c r="T32" s="774" t="s">
        <v>17</v>
      </c>
      <c r="U32" s="775">
        <f t="shared" si="11"/>
        <v>100</v>
      </c>
      <c r="V32" s="774" t="s">
        <v>17</v>
      </c>
      <c r="W32" s="775">
        <f t="shared" si="12"/>
        <v>100</v>
      </c>
      <c r="X32" s="1816"/>
      <c r="Y32" s="3227"/>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27"/>
      <c r="Q33" s="1813"/>
      <c r="R33" s="774"/>
      <c r="S33" s="775"/>
      <c r="T33" s="774"/>
      <c r="U33" s="775"/>
      <c r="V33" s="774"/>
      <c r="W33" s="775"/>
      <c r="X33" s="1816"/>
      <c r="Y33" s="3227"/>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7"/>
      <c r="Q34" s="1813" t="str">
        <f t="shared" si="8"/>
        <v>土地级别</v>
      </c>
      <c r="R34" s="774" t="s">
        <v>17</v>
      </c>
      <c r="S34" s="775">
        <f t="shared" si="10"/>
        <v>100</v>
      </c>
      <c r="T34" s="774" t="s">
        <v>17</v>
      </c>
      <c r="U34" s="775">
        <f t="shared" si="11"/>
        <v>100</v>
      </c>
      <c r="V34" s="774" t="s">
        <v>17</v>
      </c>
      <c r="W34" s="775">
        <f t="shared" si="12"/>
        <v>100</v>
      </c>
      <c r="X34" s="1816"/>
      <c r="Y34" s="322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7"/>
      <c r="Q35" s="1813">
        <f t="shared" si="8"/>
        <v>111</v>
      </c>
      <c r="R35" s="774" t="s">
        <v>17</v>
      </c>
      <c r="S35" s="775">
        <f t="shared" si="10"/>
        <v>100</v>
      </c>
      <c r="T35" s="774" t="s">
        <v>17</v>
      </c>
      <c r="U35" s="775">
        <f t="shared" si="11"/>
        <v>100</v>
      </c>
      <c r="V35" s="774" t="s">
        <v>17</v>
      </c>
      <c r="W35" s="775">
        <f t="shared" si="12"/>
        <v>100</v>
      </c>
      <c r="X35" s="1816"/>
      <c r="Y35" s="322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2" t="s">
        <v>2562</v>
      </c>
      <c r="Q36" s="1813">
        <f t="shared" si="8"/>
        <v>111</v>
      </c>
      <c r="R36" s="774" t="s">
        <v>17</v>
      </c>
      <c r="S36" s="775">
        <f t="shared" si="10"/>
        <v>100</v>
      </c>
      <c r="T36" s="774" t="s">
        <v>17</v>
      </c>
      <c r="U36" s="775">
        <f t="shared" si="11"/>
        <v>100</v>
      </c>
      <c r="V36" s="774" t="s">
        <v>17</v>
      </c>
      <c r="W36" s="775">
        <f t="shared" si="12"/>
        <v>100</v>
      </c>
      <c r="X36" s="1816"/>
      <c r="Y36" s="3231"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1"/>
      <c r="Q37" s="1813">
        <f t="shared" si="8"/>
        <v>111</v>
      </c>
      <c r="R37" s="777" t="s">
        <v>17</v>
      </c>
      <c r="S37" s="778">
        <f t="shared" si="10"/>
        <v>100</v>
      </c>
      <c r="T37" s="777" t="s">
        <v>17</v>
      </c>
      <c r="U37" s="778">
        <f t="shared" si="11"/>
        <v>100</v>
      </c>
      <c r="V37" s="777" t="s">
        <v>17</v>
      </c>
      <c r="W37" s="778">
        <f t="shared" si="12"/>
        <v>100</v>
      </c>
      <c r="X37" s="779"/>
      <c r="Y37" s="3231"/>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1"/>
      <c r="Q38" s="1813" t="str">
        <f>B38</f>
        <v>宗地面积</v>
      </c>
      <c r="R38" s="774" t="s">
        <v>17</v>
      </c>
      <c r="S38" s="775" t="e">
        <f t="shared" si="10"/>
        <v>#N/A</v>
      </c>
      <c r="T38" s="774" t="s">
        <v>17</v>
      </c>
      <c r="U38" s="775" t="e">
        <f t="shared" si="11"/>
        <v>#N/A</v>
      </c>
      <c r="V38" s="774" t="s">
        <v>17</v>
      </c>
      <c r="W38" s="775" t="e">
        <f t="shared" si="12"/>
        <v>#N/A</v>
      </c>
      <c r="X38" s="1816"/>
      <c r="Y38" s="3231"/>
      <c r="Z38" s="1817" t="str">
        <f t="shared" si="13"/>
        <v>宗地面积</v>
      </c>
      <c r="AA38" s="1814" t="e">
        <f t="shared" si="3"/>
        <v>#N/A</v>
      </c>
      <c r="AB38" s="1814" t="e">
        <f t="shared" si="4"/>
        <v>#N/A</v>
      </c>
      <c r="AC38" s="1814"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31"/>
      <c r="Q39" s="1813" t="str">
        <f t="shared" ref="Q39:Q45" si="14">B39</f>
        <v>宗地形状</v>
      </c>
      <c r="R39" s="774" t="s">
        <v>17</v>
      </c>
      <c r="S39" s="775">
        <f t="shared" si="10"/>
        <v>100</v>
      </c>
      <c r="T39" s="774" t="s">
        <v>17</v>
      </c>
      <c r="U39" s="775">
        <f t="shared" si="11"/>
        <v>100</v>
      </c>
      <c r="V39" s="774" t="s">
        <v>17</v>
      </c>
      <c r="W39" s="775">
        <f t="shared" si="12"/>
        <v>100</v>
      </c>
      <c r="X39" s="1816"/>
      <c r="Y39" s="3231"/>
      <c r="Z39" s="1817" t="str">
        <f t="shared" si="13"/>
        <v>宗地形状</v>
      </c>
      <c r="AA39" s="1814">
        <f t="shared" si="3"/>
        <v>1</v>
      </c>
      <c r="AB39" s="1814">
        <f t="shared" si="4"/>
        <v>1</v>
      </c>
      <c r="AC39" s="1814">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31"/>
      <c r="Q40" s="1813" t="str">
        <f t="shared" si="14"/>
        <v>临街宽度及深度</v>
      </c>
      <c r="R40" s="774" t="s">
        <v>17</v>
      </c>
      <c r="S40" s="775">
        <f t="shared" si="10"/>
        <v>100</v>
      </c>
      <c r="T40" s="774" t="s">
        <v>17</v>
      </c>
      <c r="U40" s="775">
        <f t="shared" si="11"/>
        <v>100</v>
      </c>
      <c r="V40" s="774" t="s">
        <v>17</v>
      </c>
      <c r="W40" s="775">
        <f t="shared" si="12"/>
        <v>100</v>
      </c>
      <c r="X40" s="1816"/>
      <c r="Y40" s="3231"/>
      <c r="Z40" s="1817" t="str">
        <f t="shared" si="13"/>
        <v>临街宽度及深度</v>
      </c>
      <c r="AA40" s="1814">
        <f t="shared" si="3"/>
        <v>1</v>
      </c>
      <c r="AB40" s="1814">
        <f t="shared" si="4"/>
        <v>1</v>
      </c>
      <c r="AC40" s="1814">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31"/>
      <c r="Q41" s="1813" t="str">
        <f t="shared" si="14"/>
        <v>宗地开发程度</v>
      </c>
      <c r="R41" s="770" t="s">
        <v>17</v>
      </c>
      <c r="S41" s="771">
        <f t="shared" si="10"/>
        <v>100</v>
      </c>
      <c r="T41" s="770" t="s">
        <v>17</v>
      </c>
      <c r="U41" s="771">
        <f t="shared" si="11"/>
        <v>100</v>
      </c>
      <c r="V41" s="770" t="s">
        <v>17</v>
      </c>
      <c r="W41" s="771">
        <f t="shared" si="12"/>
        <v>100</v>
      </c>
      <c r="X41" s="772"/>
      <c r="Y41" s="3231"/>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31" t="s">
        <v>2562</v>
      </c>
      <c r="Q42" s="1813" t="str">
        <f t="shared" si="14"/>
        <v>工程地质条件</v>
      </c>
      <c r="R42" s="774" t="s">
        <v>17</v>
      </c>
      <c r="S42" s="775">
        <f t="shared" si="10"/>
        <v>100</v>
      </c>
      <c r="T42" s="774" t="s">
        <v>17</v>
      </c>
      <c r="U42" s="775">
        <f t="shared" si="11"/>
        <v>100</v>
      </c>
      <c r="V42" s="774" t="s">
        <v>17</v>
      </c>
      <c r="W42" s="775">
        <f t="shared" si="12"/>
        <v>100</v>
      </c>
      <c r="X42" s="1816"/>
      <c r="Y42" s="3231"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1"/>
      <c r="Q43" s="1813">
        <f t="shared" si="14"/>
        <v>111</v>
      </c>
      <c r="R43" s="774" t="s">
        <v>17</v>
      </c>
      <c r="S43" s="775">
        <f t="shared" si="10"/>
        <v>100</v>
      </c>
      <c r="T43" s="774" t="s">
        <v>17</v>
      </c>
      <c r="U43" s="775">
        <f t="shared" si="11"/>
        <v>100</v>
      </c>
      <c r="V43" s="774" t="s">
        <v>17</v>
      </c>
      <c r="W43" s="775">
        <f t="shared" si="12"/>
        <v>100</v>
      </c>
      <c r="X43" s="1816"/>
      <c r="Y43" s="323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1"/>
      <c r="Q44" s="1813">
        <f t="shared" si="14"/>
        <v>111</v>
      </c>
      <c r="R44" s="774" t="s">
        <v>17</v>
      </c>
      <c r="S44" s="775">
        <f t="shared" si="10"/>
        <v>100</v>
      </c>
      <c r="T44" s="774" t="s">
        <v>17</v>
      </c>
      <c r="U44" s="775">
        <f t="shared" si="11"/>
        <v>100</v>
      </c>
      <c r="V44" s="774" t="s">
        <v>17</v>
      </c>
      <c r="W44" s="775">
        <f t="shared" si="12"/>
        <v>100</v>
      </c>
      <c r="X44" s="1816"/>
      <c r="Y44" s="3231"/>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1"/>
      <c r="Q45" s="1813">
        <f t="shared" si="14"/>
        <v>111</v>
      </c>
      <c r="R45" s="777" t="s">
        <v>17</v>
      </c>
      <c r="S45" s="778">
        <f t="shared" si="10"/>
        <v>100</v>
      </c>
      <c r="T45" s="777" t="s">
        <v>17</v>
      </c>
      <c r="U45" s="778">
        <f t="shared" si="11"/>
        <v>100</v>
      </c>
      <c r="V45" s="777" t="s">
        <v>17</v>
      </c>
      <c r="W45" s="778">
        <f t="shared" si="12"/>
        <v>100</v>
      </c>
      <c r="X45" s="779"/>
      <c r="Y45" s="3231"/>
      <c r="Z45" s="780">
        <f t="shared" si="13"/>
        <v>111</v>
      </c>
      <c r="AA45" s="1814">
        <f t="shared" si="3"/>
        <v>1</v>
      </c>
      <c r="AB45" s="1814">
        <f t="shared" si="4"/>
        <v>1</v>
      </c>
      <c r="AC45" s="1814">
        <f t="shared" si="5"/>
        <v>1</v>
      </c>
    </row>
    <row r="46" spans="1:29" ht="15">
      <c r="A46" s="479" t="s">
        <v>2717</v>
      </c>
      <c r="B46" s="2706" t="s">
        <v>2753</v>
      </c>
      <c r="C46" s="682" t="s">
        <v>1</v>
      </c>
      <c r="D46" s="481"/>
      <c r="E46" s="482"/>
      <c r="F46" s="483"/>
      <c r="G46" s="484"/>
      <c r="H46" s="485"/>
      <c r="I46" s="482"/>
      <c r="J46" s="485"/>
      <c r="K46" s="783"/>
      <c r="L46" s="1146"/>
      <c r="M46" s="1147"/>
      <c r="N46" s="1134"/>
      <c r="O46" s="1147"/>
      <c r="P46" s="3224" t="str">
        <f>A46</f>
        <v>成交单价</v>
      </c>
      <c r="Q46" s="3224"/>
      <c r="R46" s="3219">
        <f>E46</f>
        <v>0</v>
      </c>
      <c r="S46" s="3219"/>
      <c r="T46" s="3219">
        <f>G46</f>
        <v>0</v>
      </c>
      <c r="U46" s="3219"/>
      <c r="V46" s="3219">
        <f>I46</f>
        <v>0</v>
      </c>
      <c r="W46" s="3219"/>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24" t="str">
        <f>A47</f>
        <v>比较价值（元/平方米）</v>
      </c>
      <c r="Q47" s="3224"/>
      <c r="R47" s="3253" t="e">
        <f>ROUND(PRODUCT(R46,AA7:AA45),0)</f>
        <v>#DIV/0!</v>
      </c>
      <c r="S47" s="3253"/>
      <c r="T47" s="3253" t="e">
        <f>ROUND(PRODUCT(T46,AB7:AB45),0)</f>
        <v>#DIV/0!</v>
      </c>
      <c r="U47" s="3253"/>
      <c r="V47" s="3253" t="e">
        <f>ROUND(PRODUCT(V46,AC7:AC45),0)</f>
        <v>#DIV/0!</v>
      </c>
      <c r="W47" s="3253"/>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21" t="str">
        <f>A48</f>
        <v>估价对象XX用房的比较价值（楼面单价，元/平方米）</v>
      </c>
      <c r="Q48" s="3222"/>
      <c r="R48" s="3254" t="e">
        <f>ROUND(AVERAGE(R47:V47),0)</f>
        <v>#DIV/0!</v>
      </c>
      <c r="S48" s="3254"/>
      <c r="T48" s="3254"/>
      <c r="U48" s="3254"/>
      <c r="V48" s="3254"/>
      <c r="W48" s="325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207" t="s">
        <v>2761</v>
      </c>
      <c r="H55" s="3255"/>
      <c r="I55" s="144" t="s">
        <v>2762</v>
      </c>
      <c r="J55" s="2709" t="str">
        <f>项目基本情况!F35</f>
        <v>浙江省宁波市</v>
      </c>
      <c r="K55" s="2710" t="s">
        <v>2763</v>
      </c>
      <c r="L55" s="1109"/>
      <c r="M55" s="1147"/>
      <c r="N55" s="1147"/>
      <c r="O55" s="1147"/>
    </row>
    <row r="56" spans="1:15" s="692" customFormat="1">
      <c r="A56" s="688" t="s">
        <v>2764</v>
      </c>
      <c r="B56" s="689" t="e">
        <f>C48</f>
        <v>#DIV/0!</v>
      </c>
      <c r="C56" s="690">
        <v>1</v>
      </c>
      <c r="D56" s="1166">
        <v>1</v>
      </c>
      <c r="E56" s="690">
        <f>'数据-汇总表'!E8+'数据-汇总表'!E9</f>
        <v>71660.160000000003</v>
      </c>
      <c r="F56" s="1106" t="e">
        <f t="shared" ref="F56:F65" si="15">ROUND(B56*E56/10000,0)</f>
        <v>#DIV/0!</v>
      </c>
      <c r="G56" s="3206"/>
      <c r="H56" s="3224"/>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56"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56"/>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56"/>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56"/>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1"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1026</v>
      </c>
      <c r="E66" s="696">
        <f>IF(B46="楼面地价",SUM(E56:E65),'数据-汇总表'!D3)</f>
        <v>71660.160000000003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2780</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7" t="s">
        <v>2643</v>
      </c>
      <c r="D4" s="3208"/>
      <c r="E4" s="3209" t="s">
        <v>2644</v>
      </c>
      <c r="F4" s="3210"/>
      <c r="G4" s="3207" t="s">
        <v>2645</v>
      </c>
      <c r="H4" s="3208"/>
      <c r="I4" s="3207" t="s">
        <v>2646</v>
      </c>
      <c r="J4" s="3208"/>
      <c r="K4" s="610" t="s">
        <v>2647</v>
      </c>
      <c r="L4" s="1133"/>
      <c r="M4" s="1134"/>
      <c r="N4" s="1134"/>
      <c r="O4" s="1134"/>
      <c r="P4" s="3211" t="s">
        <v>2648</v>
      </c>
      <c r="Q4" s="3212"/>
      <c r="R4" s="3194" t="s">
        <v>2644</v>
      </c>
      <c r="S4" s="3195"/>
      <c r="T4" s="3194" t="s">
        <v>2645</v>
      </c>
      <c r="U4" s="3195"/>
      <c r="V4" s="3219" t="s">
        <v>2646</v>
      </c>
      <c r="W4" s="3219"/>
      <c r="X4" s="1816"/>
      <c r="Y4" s="3194" t="s">
        <v>2648</v>
      </c>
      <c r="Z4" s="3195"/>
      <c r="AA4" s="3189" t="s">
        <v>2644</v>
      </c>
      <c r="AB4" s="3190" t="s">
        <v>2645</v>
      </c>
      <c r="AC4" s="3189" t="s">
        <v>2646</v>
      </c>
    </row>
    <row r="5" spans="1:29" ht="15">
      <c r="A5" s="404"/>
      <c r="B5" s="405"/>
      <c r="C5" s="3200" t="s">
        <v>2539</v>
      </c>
      <c r="D5" s="3201"/>
      <c r="E5" s="3198" t="s">
        <v>2540</v>
      </c>
      <c r="F5" s="3199"/>
      <c r="G5" s="3200" t="s">
        <v>2541</v>
      </c>
      <c r="H5" s="3201"/>
      <c r="I5" s="3200" t="s">
        <v>2542</v>
      </c>
      <c r="J5" s="3201"/>
      <c r="K5" s="610"/>
      <c r="L5" s="1133"/>
      <c r="M5" s="1134"/>
      <c r="N5" s="1134"/>
      <c r="O5" s="1134"/>
      <c r="P5" s="3213"/>
      <c r="Q5" s="3214"/>
      <c r="R5" s="3196"/>
      <c r="S5" s="3197"/>
      <c r="T5" s="3196"/>
      <c r="U5" s="3197"/>
      <c r="V5" s="3219"/>
      <c r="W5" s="3219"/>
      <c r="X5" s="1816"/>
      <c r="Y5" s="3196"/>
      <c r="Z5" s="3197"/>
      <c r="AA5" s="3190"/>
      <c r="AB5" s="3190"/>
      <c r="AC5" s="3190"/>
    </row>
    <row r="6" spans="1:29" ht="15.75" thickBot="1">
      <c r="A6" s="406"/>
      <c r="B6" s="407"/>
      <c r="C6" s="3257" t="s">
        <v>2794</v>
      </c>
      <c r="D6" s="3258"/>
      <c r="E6" s="3259" t="s">
        <v>2794</v>
      </c>
      <c r="F6" s="3260"/>
      <c r="G6" s="3257" t="s">
        <v>2794</v>
      </c>
      <c r="H6" s="3258"/>
      <c r="I6" s="3257" t="s">
        <v>2794</v>
      </c>
      <c r="J6" s="3258"/>
      <c r="K6" s="610" t="s">
        <v>2544</v>
      </c>
      <c r="L6" s="1133"/>
      <c r="M6" s="1134"/>
      <c r="N6" s="1134"/>
      <c r="O6" s="1134"/>
      <c r="P6" s="3215"/>
      <c r="Q6" s="3216"/>
      <c r="R6" s="3196"/>
      <c r="S6" s="3197"/>
      <c r="T6" s="3217"/>
      <c r="U6" s="3218"/>
      <c r="V6" s="3219"/>
      <c r="W6" s="3219"/>
      <c r="X6" s="1816"/>
      <c r="Y6" s="3217"/>
      <c r="Z6" s="3218"/>
      <c r="AA6" s="3191"/>
      <c r="AB6" s="3191"/>
      <c r="AC6" s="3191"/>
    </row>
    <row r="7" spans="1:29" s="117" customFormat="1" ht="15.75" thickBot="1">
      <c r="A7" s="408" t="s">
        <v>2545</v>
      </c>
      <c r="B7" s="409"/>
      <c r="C7" s="410">
        <f>'数据-取费表'!B2</f>
        <v>43536</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92" t="s">
        <v>2546</v>
      </c>
      <c r="Q7" s="3220"/>
      <c r="R7" s="770" t="s">
        <v>17</v>
      </c>
      <c r="S7" s="771">
        <f t="shared" ref="S7:S15" si="0">F7</f>
        <v>0</v>
      </c>
      <c r="T7" s="770" t="s">
        <v>17</v>
      </c>
      <c r="U7" s="771">
        <f t="shared" ref="U7:U15" si="1">H7</f>
        <v>0</v>
      </c>
      <c r="V7" s="770" t="s">
        <v>17</v>
      </c>
      <c r="W7" s="771">
        <f t="shared" ref="W7:W15" si="2">J7</f>
        <v>0</v>
      </c>
      <c r="X7" s="772"/>
      <c r="Y7" s="3192" t="s">
        <v>2546</v>
      </c>
      <c r="Z7" s="3193"/>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2" t="s">
        <v>2549</v>
      </c>
      <c r="Q8" s="3193"/>
      <c r="R8" s="770" t="s">
        <v>17</v>
      </c>
      <c r="S8" s="771">
        <f t="shared" si="0"/>
        <v>0</v>
      </c>
      <c r="T8" s="770" t="s">
        <v>17</v>
      </c>
      <c r="U8" s="771">
        <f t="shared" si="1"/>
        <v>0</v>
      </c>
      <c r="V8" s="770" t="s">
        <v>17</v>
      </c>
      <c r="W8" s="771">
        <f t="shared" si="2"/>
        <v>0</v>
      </c>
      <c r="X8" s="772"/>
      <c r="Y8" s="3192" t="s">
        <v>2549</v>
      </c>
      <c r="Z8" s="3193"/>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24" t="s">
        <v>2552</v>
      </c>
      <c r="Q9" s="1798"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224"/>
      <c r="Q10" s="1798" t="str">
        <f t="shared" si="6"/>
        <v>土地使用年限（年）</v>
      </c>
      <c r="R10" s="770" t="s">
        <v>17</v>
      </c>
      <c r="S10" s="771">
        <f t="shared" si="0"/>
        <v>117</v>
      </c>
      <c r="T10" s="770" t="s">
        <v>17</v>
      </c>
      <c r="U10" s="771">
        <f t="shared" si="1"/>
        <v>117</v>
      </c>
      <c r="V10" s="770" t="s">
        <v>17</v>
      </c>
      <c r="W10" s="771">
        <f t="shared" si="2"/>
        <v>117</v>
      </c>
      <c r="X10" s="772"/>
      <c r="Y10" s="3039"/>
      <c r="Z10" s="55" t="str">
        <f t="shared" si="7"/>
        <v>土地使用年限（年）</v>
      </c>
      <c r="AA10" s="773">
        <f t="shared" si="3"/>
        <v>0.85470085470085466</v>
      </c>
      <c r="AB10" s="773">
        <f t="shared" si="4"/>
        <v>0.85470085470085466</v>
      </c>
      <c r="AC10" s="773">
        <f t="shared" si="5"/>
        <v>0.85470085470085466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4"/>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4"/>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4"/>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2556</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6" t="s">
        <v>2557</v>
      </c>
      <c r="Q15" s="1813" t="str">
        <f t="shared" si="6"/>
        <v>产业集聚程度</v>
      </c>
      <c r="R15" s="774" t="s">
        <v>17</v>
      </c>
      <c r="S15" s="775">
        <f t="shared" si="0"/>
        <v>100</v>
      </c>
      <c r="T15" s="774" t="s">
        <v>17</v>
      </c>
      <c r="U15" s="775">
        <f t="shared" si="1"/>
        <v>100</v>
      </c>
      <c r="V15" s="774" t="s">
        <v>17</v>
      </c>
      <c r="W15" s="775">
        <f t="shared" si="2"/>
        <v>100</v>
      </c>
      <c r="X15" s="1816"/>
      <c r="Y15" s="3226" t="s">
        <v>2557</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27"/>
      <c r="Q16" s="1813"/>
      <c r="R16" s="774"/>
      <c r="S16" s="775"/>
      <c r="T16" s="774"/>
      <c r="U16" s="775"/>
      <c r="V16" s="774"/>
      <c r="W16" s="775"/>
      <c r="X16" s="1816"/>
      <c r="Y16" s="3227"/>
      <c r="Z16" s="1817"/>
      <c r="AA16" s="1814">
        <v>1</v>
      </c>
      <c r="AB16" s="1814">
        <v>1</v>
      </c>
      <c r="AC16" s="1814">
        <v>1</v>
      </c>
    </row>
    <row r="17" spans="1:29" ht="85.5">
      <c r="A17" s="428"/>
      <c r="B17" s="631" t="s">
        <v>2706</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7"/>
      <c r="Q17" s="1813" t="str">
        <f>B17</f>
        <v>交通便捷度</v>
      </c>
      <c r="R17" s="774" t="s">
        <v>17</v>
      </c>
      <c r="S17" s="775">
        <f>F17</f>
        <v>100</v>
      </c>
      <c r="T17" s="774" t="s">
        <v>17</v>
      </c>
      <c r="U17" s="775">
        <f>H17</f>
        <v>100</v>
      </c>
      <c r="V17" s="774" t="s">
        <v>17</v>
      </c>
      <c r="W17" s="775">
        <f>J17</f>
        <v>100</v>
      </c>
      <c r="X17" s="1816"/>
      <c r="Y17" s="3227"/>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27"/>
      <c r="Q18" s="1813"/>
      <c r="R18" s="774"/>
      <c r="S18" s="775"/>
      <c r="T18" s="774"/>
      <c r="U18" s="775"/>
      <c r="V18" s="774"/>
      <c r="W18" s="775"/>
      <c r="X18" s="1816"/>
      <c r="Y18" s="3227"/>
      <c r="Z18" s="1817"/>
      <c r="AA18" s="1814">
        <v>1</v>
      </c>
      <c r="AB18" s="1814">
        <v>1</v>
      </c>
      <c r="AC18" s="1814">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7"/>
      <c r="Q19" s="1813" t="str">
        <f t="shared" ref="Q19:Q33" si="8">B19</f>
        <v>区域土地利用方向</v>
      </c>
      <c r="R19" s="774" t="s">
        <v>17</v>
      </c>
      <c r="S19" s="775">
        <f>F19</f>
        <v>100</v>
      </c>
      <c r="T19" s="774" t="s">
        <v>17</v>
      </c>
      <c r="U19" s="775">
        <f>H19</f>
        <v>100</v>
      </c>
      <c r="V19" s="774" t="s">
        <v>17</v>
      </c>
      <c r="W19" s="775">
        <f>J19</f>
        <v>100</v>
      </c>
      <c r="X19" s="1816"/>
      <c r="Y19" s="3227"/>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27"/>
      <c r="Q20" s="1813"/>
      <c r="R20" s="774"/>
      <c r="S20" s="775"/>
      <c r="T20" s="774"/>
      <c r="U20" s="775"/>
      <c r="V20" s="774"/>
      <c r="W20" s="775"/>
      <c r="X20" s="1816"/>
      <c r="Y20" s="3227"/>
      <c r="Z20" s="1817"/>
      <c r="AA20" s="1814"/>
      <c r="AB20" s="1814"/>
      <c r="AC20" s="1814"/>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7"/>
      <c r="Q21" s="1813" t="str">
        <f t="shared" si="8"/>
        <v>环境状况</v>
      </c>
      <c r="R21" s="774" t="s">
        <v>17</v>
      </c>
      <c r="S21" s="775">
        <f>F21</f>
        <v>100</v>
      </c>
      <c r="T21" s="774" t="s">
        <v>17</v>
      </c>
      <c r="U21" s="775">
        <f>H21</f>
        <v>100</v>
      </c>
      <c r="V21" s="774" t="s">
        <v>17</v>
      </c>
      <c r="W21" s="775">
        <f>J21</f>
        <v>100</v>
      </c>
      <c r="X21" s="1816"/>
      <c r="Y21" s="3227"/>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27"/>
      <c r="Q22" s="1813"/>
      <c r="R22" s="774"/>
      <c r="S22" s="775"/>
      <c r="T22" s="774"/>
      <c r="U22" s="775"/>
      <c r="V22" s="774"/>
      <c r="W22" s="775"/>
      <c r="X22" s="1816"/>
      <c r="Y22" s="3227"/>
      <c r="Z22" s="1817"/>
      <c r="AA22" s="1814">
        <v>1</v>
      </c>
      <c r="AB22" s="1814">
        <v>1</v>
      </c>
      <c r="AC22" s="1814">
        <v>1</v>
      </c>
    </row>
    <row r="23" spans="1:29" s="117" customFormat="1" ht="42.75">
      <c r="A23" s="649"/>
      <c r="B23" s="633" t="s">
        <v>2651</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7"/>
      <c r="Q23" s="1798" t="str">
        <f t="shared" si="8"/>
        <v>公共配套设施</v>
      </c>
      <c r="R23" s="770" t="s">
        <v>17</v>
      </c>
      <c r="S23" s="771">
        <f>F23</f>
        <v>100</v>
      </c>
      <c r="T23" s="770" t="s">
        <v>17</v>
      </c>
      <c r="U23" s="771">
        <f>H23</f>
        <v>100</v>
      </c>
      <c r="V23" s="770" t="s">
        <v>17</v>
      </c>
      <c r="W23" s="771">
        <f>J23</f>
        <v>100</v>
      </c>
      <c r="X23" s="772"/>
      <c r="Y23" s="3227"/>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27"/>
      <c r="Q24" s="1798"/>
      <c r="R24" s="770"/>
      <c r="S24" s="771"/>
      <c r="T24" s="770"/>
      <c r="U24" s="771"/>
      <c r="V24" s="770"/>
      <c r="W24" s="771"/>
      <c r="X24" s="772"/>
      <c r="Y24" s="3227"/>
      <c r="Z24" s="55"/>
      <c r="AA24" s="773">
        <v>1</v>
      </c>
      <c r="AB24" s="773">
        <v>1</v>
      </c>
      <c r="AC24" s="773">
        <v>1</v>
      </c>
    </row>
    <row r="25" spans="1:29" s="117" customFormat="1" ht="28.5">
      <c r="A25" s="649"/>
      <c r="B25" s="633" t="s">
        <v>2652</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7"/>
      <c r="Q25" s="1798" t="str">
        <f t="shared" ref="Q25" si="9">B25</f>
        <v>基础设施水平</v>
      </c>
      <c r="R25" s="770" t="s">
        <v>17</v>
      </c>
      <c r="S25" s="771">
        <f>F25</f>
        <v>100</v>
      </c>
      <c r="T25" s="770" t="s">
        <v>17</v>
      </c>
      <c r="U25" s="771">
        <f>H25</f>
        <v>100</v>
      </c>
      <c r="V25" s="770" t="s">
        <v>17</v>
      </c>
      <c r="W25" s="771">
        <f>J25</f>
        <v>100</v>
      </c>
      <c r="X25" s="772"/>
      <c r="Y25" s="3227"/>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27"/>
      <c r="Q26" s="1798"/>
      <c r="R26" s="770"/>
      <c r="S26" s="771"/>
      <c r="T26" s="770"/>
      <c r="U26" s="771"/>
      <c r="V26" s="770"/>
      <c r="W26" s="771"/>
      <c r="X26" s="772"/>
      <c r="Y26" s="3227"/>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7"/>
      <c r="Z27" s="1817" t="str">
        <f t="shared" ref="Z27:Z40" si="13">Q27</f>
        <v>临街状况</v>
      </c>
      <c r="AA27" s="1814">
        <f t="shared" si="3"/>
        <v>1</v>
      </c>
      <c r="AB27" s="1814">
        <f t="shared" si="4"/>
        <v>1</v>
      </c>
      <c r="AC27" s="1814">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7"/>
      <c r="Q28" s="1813" t="str">
        <f t="shared" si="8"/>
        <v>毗邻道路的类型与等级</v>
      </c>
      <c r="R28" s="774" t="s">
        <v>17</v>
      </c>
      <c r="S28" s="775">
        <f t="shared" si="10"/>
        <v>100</v>
      </c>
      <c r="T28" s="774" t="s">
        <v>17</v>
      </c>
      <c r="U28" s="775">
        <f t="shared" si="11"/>
        <v>100</v>
      </c>
      <c r="V28" s="774" t="s">
        <v>17</v>
      </c>
      <c r="W28" s="775">
        <f t="shared" si="12"/>
        <v>100</v>
      </c>
      <c r="X28" s="1816"/>
      <c r="Y28" s="3227"/>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27"/>
      <c r="Q29" s="1813"/>
      <c r="R29" s="774"/>
      <c r="S29" s="775"/>
      <c r="T29" s="774"/>
      <c r="U29" s="775"/>
      <c r="V29" s="774"/>
      <c r="W29" s="775"/>
      <c r="X29" s="1816"/>
      <c r="Y29" s="3227"/>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7"/>
      <c r="Q30" s="1813" t="str">
        <f t="shared" si="8"/>
        <v>土地级别</v>
      </c>
      <c r="R30" s="774" t="s">
        <v>17</v>
      </c>
      <c r="S30" s="775">
        <f t="shared" si="10"/>
        <v>100</v>
      </c>
      <c r="T30" s="774" t="s">
        <v>17</v>
      </c>
      <c r="U30" s="775">
        <f t="shared" si="11"/>
        <v>100</v>
      </c>
      <c r="V30" s="774" t="s">
        <v>17</v>
      </c>
      <c r="W30" s="775">
        <f t="shared" si="12"/>
        <v>100</v>
      </c>
      <c r="X30" s="1816"/>
      <c r="Y30" s="3227"/>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7"/>
      <c r="Q31" s="1813">
        <f t="shared" si="8"/>
        <v>111</v>
      </c>
      <c r="R31" s="774" t="s">
        <v>17</v>
      </c>
      <c r="S31" s="775">
        <f t="shared" si="10"/>
        <v>100</v>
      </c>
      <c r="T31" s="774" t="s">
        <v>17</v>
      </c>
      <c r="U31" s="775">
        <f t="shared" si="11"/>
        <v>100</v>
      </c>
      <c r="V31" s="774" t="s">
        <v>17</v>
      </c>
      <c r="W31" s="775">
        <f t="shared" si="12"/>
        <v>100</v>
      </c>
      <c r="X31" s="1816"/>
      <c r="Y31" s="3227"/>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2" t="s">
        <v>2562</v>
      </c>
      <c r="Q32" s="1813">
        <f t="shared" si="8"/>
        <v>111</v>
      </c>
      <c r="R32" s="774" t="s">
        <v>17</v>
      </c>
      <c r="S32" s="775">
        <f t="shared" si="10"/>
        <v>100</v>
      </c>
      <c r="T32" s="774" t="s">
        <v>17</v>
      </c>
      <c r="U32" s="775">
        <f t="shared" si="11"/>
        <v>100</v>
      </c>
      <c r="V32" s="774" t="s">
        <v>17</v>
      </c>
      <c r="W32" s="775">
        <f t="shared" si="12"/>
        <v>100</v>
      </c>
      <c r="X32" s="1816"/>
      <c r="Y32" s="3231" t="s">
        <v>2562</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1"/>
      <c r="Q33" s="1813">
        <f t="shared" si="8"/>
        <v>111</v>
      </c>
      <c r="R33" s="777" t="s">
        <v>17</v>
      </c>
      <c r="S33" s="778">
        <f t="shared" si="10"/>
        <v>100</v>
      </c>
      <c r="T33" s="777" t="s">
        <v>17</v>
      </c>
      <c r="U33" s="778">
        <f t="shared" si="11"/>
        <v>100</v>
      </c>
      <c r="V33" s="777" t="s">
        <v>17</v>
      </c>
      <c r="W33" s="778">
        <f t="shared" si="12"/>
        <v>100</v>
      </c>
      <c r="X33" s="779"/>
      <c r="Y33" s="3231"/>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1"/>
      <c r="Q34" s="1813" t="str">
        <f>B34</f>
        <v>宗地面积</v>
      </c>
      <c r="R34" s="774" t="s">
        <v>17</v>
      </c>
      <c r="S34" s="775" t="e">
        <f t="shared" si="10"/>
        <v>#N/A</v>
      </c>
      <c r="T34" s="774" t="s">
        <v>17</v>
      </c>
      <c r="U34" s="775" t="e">
        <f t="shared" si="11"/>
        <v>#N/A</v>
      </c>
      <c r="V34" s="774" t="s">
        <v>17</v>
      </c>
      <c r="W34" s="775" t="e">
        <f t="shared" si="12"/>
        <v>#N/A</v>
      </c>
      <c r="X34" s="1816"/>
      <c r="Y34" s="3231"/>
      <c r="Z34" s="1817" t="str">
        <f t="shared" si="13"/>
        <v>宗地面积</v>
      </c>
      <c r="AA34" s="1814" t="e">
        <f t="shared" si="3"/>
        <v>#N/A</v>
      </c>
      <c r="AB34" s="1814" t="e">
        <f t="shared" si="4"/>
        <v>#N/A</v>
      </c>
      <c r="AC34" s="1814"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31"/>
      <c r="Q35" s="1813" t="str">
        <f t="shared" ref="Q35:Q40" si="14">B35</f>
        <v>宗地形状</v>
      </c>
      <c r="R35" s="774" t="s">
        <v>17</v>
      </c>
      <c r="S35" s="775">
        <f t="shared" si="10"/>
        <v>100</v>
      </c>
      <c r="T35" s="774" t="s">
        <v>17</v>
      </c>
      <c r="U35" s="775">
        <f t="shared" si="11"/>
        <v>100</v>
      </c>
      <c r="V35" s="774" t="s">
        <v>17</v>
      </c>
      <c r="W35" s="775">
        <f t="shared" si="12"/>
        <v>100</v>
      </c>
      <c r="X35" s="1816"/>
      <c r="Y35" s="3231"/>
      <c r="Z35" s="1817" t="str">
        <f t="shared" si="13"/>
        <v>宗地形状</v>
      </c>
      <c r="AA35" s="1814">
        <f t="shared" si="3"/>
        <v>1</v>
      </c>
      <c r="AB35" s="1814">
        <f t="shared" si="4"/>
        <v>1</v>
      </c>
      <c r="AC35" s="1814">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31"/>
      <c r="Q36" s="1813" t="str">
        <f t="shared" si="14"/>
        <v>宗地开发程度</v>
      </c>
      <c r="R36" s="770" t="s">
        <v>17</v>
      </c>
      <c r="S36" s="771">
        <f t="shared" si="10"/>
        <v>100</v>
      </c>
      <c r="T36" s="770" t="s">
        <v>17</v>
      </c>
      <c r="U36" s="771">
        <f t="shared" si="11"/>
        <v>100</v>
      </c>
      <c r="V36" s="770" t="s">
        <v>17</v>
      </c>
      <c r="W36" s="771">
        <f t="shared" si="12"/>
        <v>100</v>
      </c>
      <c r="X36" s="772"/>
      <c r="Y36" s="3231"/>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31" t="s">
        <v>2562</v>
      </c>
      <c r="Q37" s="1813" t="str">
        <f t="shared" si="14"/>
        <v>工程地质条件</v>
      </c>
      <c r="R37" s="774" t="s">
        <v>17</v>
      </c>
      <c r="S37" s="775">
        <f t="shared" si="10"/>
        <v>100</v>
      </c>
      <c r="T37" s="774" t="s">
        <v>17</v>
      </c>
      <c r="U37" s="775">
        <f t="shared" si="11"/>
        <v>100</v>
      </c>
      <c r="V37" s="774" t="s">
        <v>17</v>
      </c>
      <c r="W37" s="775">
        <f t="shared" si="12"/>
        <v>100</v>
      </c>
      <c r="X37" s="1816"/>
      <c r="Y37" s="3231"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1"/>
      <c r="Q38" s="1813">
        <f t="shared" si="14"/>
        <v>111</v>
      </c>
      <c r="R38" s="774" t="s">
        <v>17</v>
      </c>
      <c r="S38" s="775">
        <f t="shared" si="10"/>
        <v>100</v>
      </c>
      <c r="T38" s="774" t="s">
        <v>17</v>
      </c>
      <c r="U38" s="775">
        <f t="shared" si="11"/>
        <v>100</v>
      </c>
      <c r="V38" s="774" t="s">
        <v>17</v>
      </c>
      <c r="W38" s="775">
        <f t="shared" si="12"/>
        <v>100</v>
      </c>
      <c r="X38" s="1816"/>
      <c r="Y38" s="323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1"/>
      <c r="Q39" s="1813">
        <f t="shared" si="14"/>
        <v>111</v>
      </c>
      <c r="R39" s="774" t="s">
        <v>17</v>
      </c>
      <c r="S39" s="775">
        <f t="shared" si="10"/>
        <v>100</v>
      </c>
      <c r="T39" s="774" t="s">
        <v>17</v>
      </c>
      <c r="U39" s="775">
        <f t="shared" si="11"/>
        <v>100</v>
      </c>
      <c r="V39" s="774" t="s">
        <v>17</v>
      </c>
      <c r="W39" s="775">
        <f t="shared" si="12"/>
        <v>100</v>
      </c>
      <c r="X39" s="1816"/>
      <c r="Y39" s="3231"/>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1"/>
      <c r="Q40" s="1813">
        <f t="shared" si="14"/>
        <v>111</v>
      </c>
      <c r="R40" s="777" t="s">
        <v>17</v>
      </c>
      <c r="S40" s="778">
        <f t="shared" si="10"/>
        <v>100</v>
      </c>
      <c r="T40" s="777" t="s">
        <v>17</v>
      </c>
      <c r="U40" s="778">
        <f t="shared" si="11"/>
        <v>100</v>
      </c>
      <c r="V40" s="777" t="s">
        <v>17</v>
      </c>
      <c r="W40" s="778">
        <f t="shared" si="12"/>
        <v>100</v>
      </c>
      <c r="X40" s="779"/>
      <c r="Y40" s="3231"/>
      <c r="Z40" s="780">
        <f t="shared" si="13"/>
        <v>111</v>
      </c>
      <c r="AA40" s="1814">
        <f t="shared" si="3"/>
        <v>1</v>
      </c>
      <c r="AB40" s="1814">
        <f t="shared" si="4"/>
        <v>1</v>
      </c>
      <c r="AC40" s="1814">
        <f t="shared" si="5"/>
        <v>1</v>
      </c>
    </row>
    <row r="41" spans="1:29" ht="15">
      <c r="A41" s="479" t="s">
        <v>2717</v>
      </c>
      <c r="B41" s="2706" t="s">
        <v>2797</v>
      </c>
      <c r="C41" s="682" t="s">
        <v>1</v>
      </c>
      <c r="D41" s="481"/>
      <c r="E41" s="482"/>
      <c r="F41" s="483"/>
      <c r="G41" s="484"/>
      <c r="H41" s="485"/>
      <c r="I41" s="482"/>
      <c r="J41" s="485"/>
      <c r="K41" s="783"/>
      <c r="L41" s="1146"/>
      <c r="M41" s="1134"/>
      <c r="N41" s="1134"/>
      <c r="O41" s="1147"/>
      <c r="P41" s="3224" t="str">
        <f>A41</f>
        <v>成交单价</v>
      </c>
      <c r="Q41" s="3224"/>
      <c r="R41" s="3219">
        <f>E41</f>
        <v>0</v>
      </c>
      <c r="S41" s="3219"/>
      <c r="T41" s="3219">
        <f>G41</f>
        <v>0</v>
      </c>
      <c r="U41" s="3219"/>
      <c r="V41" s="3219">
        <f>I41</f>
        <v>0</v>
      </c>
      <c r="W41" s="3219"/>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24" t="str">
        <f>A42</f>
        <v>比较价值（元/平方米）</v>
      </c>
      <c r="Q42" s="3224"/>
      <c r="R42" s="3253" t="e">
        <f>ROUND(PRODUCT(R41,AA7:AA40),0)</f>
        <v>#DIV/0!</v>
      </c>
      <c r="S42" s="3253"/>
      <c r="T42" s="3253" t="e">
        <f>ROUND(PRODUCT(T41,AB7:AB40),0)</f>
        <v>#DIV/0!</v>
      </c>
      <c r="U42" s="3253"/>
      <c r="V42" s="3253" t="e">
        <f>ROUND(PRODUCT(V41,AC7:AC40),0)</f>
        <v>#DIV/0!</v>
      </c>
      <c r="W42" s="3253"/>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21" t="str">
        <f>A43</f>
        <v>估价对象XX用房的比较价值（楼面单价，元/平方米）</v>
      </c>
      <c r="Q43" s="3222"/>
      <c r="R43" s="3254" t="e">
        <f>ROUND(AVERAGE(R42:V42),0)</f>
        <v>#DIV/0!</v>
      </c>
      <c r="S43" s="3254"/>
      <c r="T43" s="3254"/>
      <c r="U43" s="3254"/>
      <c r="V43" s="3254"/>
      <c r="W43" s="325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207" t="s">
        <v>2761</v>
      </c>
      <c r="H50" s="3255"/>
      <c r="I50" s="1817" t="s">
        <v>2798</v>
      </c>
      <c r="J50" s="1817" t="str">
        <f>项目基本情况!F35</f>
        <v>浙江省宁波市</v>
      </c>
      <c r="K50" s="2710" t="s">
        <v>2763</v>
      </c>
      <c r="L50" s="1109"/>
      <c r="M50" s="1147"/>
      <c r="N50" s="1147"/>
      <c r="O50" s="1147"/>
    </row>
    <row r="51" spans="1:17" s="692" customFormat="1">
      <c r="A51" s="688" t="s">
        <v>2764</v>
      </c>
      <c r="B51" s="689" t="e">
        <f>C43</f>
        <v>#DIV/0!</v>
      </c>
      <c r="C51" s="690">
        <v>1</v>
      </c>
      <c r="D51" s="1166">
        <v>1</v>
      </c>
      <c r="E51" s="690">
        <f>'数据-汇总表'!E8+'数据-汇总表'!E9</f>
        <v>71660.160000000003</v>
      </c>
      <c r="F51" s="691" t="e">
        <f t="shared" ref="F51:F60" si="15">ROUND(B51*E51/10000,0)</f>
        <v>#DIV/0!</v>
      </c>
      <c r="G51" s="3206"/>
      <c r="H51" s="3224"/>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56"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56"/>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56"/>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56"/>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1026</v>
      </c>
      <c r="E61" s="696">
        <f>IF(B41="楼面地价",SUM(E51:E60),'数据-汇总表'!D3)</f>
        <v>96248.76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E15" sqref="E15"/>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3" t="s">
        <v>2810</v>
      </c>
      <c r="D2" s="2724" t="s">
        <v>2811</v>
      </c>
      <c r="E2" s="2725"/>
      <c r="F2" s="2724" t="s">
        <v>2812</v>
      </c>
      <c r="G2" s="2726">
        <f>IF(E2="商业",项目基本情况!B37,IF(E2="办公",项目基本情况!C37,IF(E2="住宅",项目基本情况!D37,项目基本情况!E37)))</f>
        <v>0</v>
      </c>
      <c r="H2" s="2724" t="s">
        <v>2813</v>
      </c>
      <c r="I2" s="2726">
        <f>IF(E2="商业",项目基本情况!B38,IF(E2="办公",项目基本情况!C38,IF(E2="住宅",项目基本情况!D38,项目基本情况!E38)))</f>
        <v>0</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0.74</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5"/>
      <c r="B4" s="3276"/>
      <c r="C4" s="3276"/>
      <c r="D4" s="3277"/>
      <c r="E4" s="3277"/>
      <c r="F4" s="3277"/>
      <c r="G4" s="3277"/>
      <c r="H4" s="3277"/>
      <c r="I4" s="3277"/>
      <c r="J4" s="3278"/>
      <c r="K4" s="1373"/>
      <c r="L4" s="2728"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2823</v>
      </c>
      <c r="C5" s="917" t="e">
        <f>ROUND(IF(E2="商业",IF(F16="增加",C6*C7+C16,C6*C7-C16),IF(E2="住宅",IF(F16="增加",C6*C12+C16,C6*C12-C16),IF(F16="增加",C6+C16,C6-C16))),0)</f>
        <v>#DIV/0!</v>
      </c>
      <c r="D5" s="1790" t="e">
        <f>ROUND(IF(F16="增加",C6+C16,C6-C16),0)</f>
        <v>#DIV/0!</v>
      </c>
      <c r="E5" s="1790"/>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5"/>
      <c r="L6" s="2728"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61" t="str">
        <f>IF(E2="商业",IF(C8="不临58条商业街","",2),"")</f>
        <v/>
      </c>
      <c r="B7" s="2747" t="s">
        <v>2829</v>
      </c>
      <c r="C7" s="919" t="e">
        <f>IF(C8="不临58条商业街",1,ROUND(1+(1.6*E8+1.2*E9+0.8*E10+0.4*E11)*C9,4))</f>
        <v>#DIV/0!</v>
      </c>
      <c r="D7" s="2748" t="s">
        <v>2830</v>
      </c>
      <c r="E7" s="948"/>
      <c r="F7" s="2749"/>
      <c r="G7" s="2750"/>
      <c r="H7" s="2750"/>
      <c r="I7" s="2750"/>
      <c r="J7" s="2751"/>
      <c r="K7" s="1845"/>
      <c r="L7" s="2728"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2832</v>
      </c>
      <c r="X7" s="1607">
        <f>G2</f>
        <v>0</v>
      </c>
      <c r="Y7" s="1607" t="s">
        <v>2833</v>
      </c>
      <c r="Z7" s="1608">
        <f>G3</f>
        <v>0.74</v>
      </c>
      <c r="AA7" s="1609"/>
      <c r="AB7" s="1609"/>
      <c r="AC7" s="1610"/>
      <c r="AD7" s="1611"/>
      <c r="AE7" s="1611"/>
      <c r="AF7" s="1611"/>
      <c r="AG7" s="1611"/>
      <c r="AH7" s="1611"/>
      <c r="AI7" s="1611"/>
      <c r="AJ7" s="1612"/>
    </row>
    <row r="8" spans="1:36" ht="15">
      <c r="A8" s="3262"/>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2" t="s">
        <v>2837</v>
      </c>
      <c r="X8" s="3273"/>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62"/>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4"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2"/>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2"/>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4" t="s">
        <v>2861</v>
      </c>
      <c r="X11" s="1617" t="s">
        <v>2862</v>
      </c>
      <c r="Y11" s="1618">
        <f>$G$3</f>
        <v>0.74</v>
      </c>
      <c r="Z11" s="1618">
        <f t="shared" ref="Z11:AJ11" si="3">$G$3</f>
        <v>0.74</v>
      </c>
      <c r="AA11" s="1618">
        <f t="shared" si="3"/>
        <v>0.74</v>
      </c>
      <c r="AB11" s="1618">
        <f t="shared" si="3"/>
        <v>0.74</v>
      </c>
      <c r="AC11" s="1618">
        <f t="shared" si="3"/>
        <v>0.74</v>
      </c>
      <c r="AD11" s="1618">
        <f t="shared" si="3"/>
        <v>0.74</v>
      </c>
      <c r="AE11" s="1618">
        <f t="shared" si="3"/>
        <v>0.74</v>
      </c>
      <c r="AF11" s="1618">
        <f t="shared" si="3"/>
        <v>0.74</v>
      </c>
      <c r="AG11" s="1618">
        <f t="shared" si="3"/>
        <v>0.74</v>
      </c>
      <c r="AH11" s="1618">
        <f t="shared" si="3"/>
        <v>0.74</v>
      </c>
      <c r="AI11" s="1618">
        <f t="shared" si="3"/>
        <v>0.74</v>
      </c>
      <c r="AJ11" s="1618">
        <f t="shared" si="3"/>
        <v>0.74</v>
      </c>
    </row>
    <row r="12" spans="1:36" ht="25.5" thickBot="1">
      <c r="A12" s="3261"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4"/>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9"/>
      <c r="B13" s="2766" t="s">
        <v>2868</v>
      </c>
      <c r="C13" s="2767" t="s">
        <v>2869</v>
      </c>
      <c r="D13" s="1811" t="s">
        <v>2870</v>
      </c>
      <c r="E13" s="1811" t="s">
        <v>2871</v>
      </c>
      <c r="F13" s="30" t="s">
        <v>2872</v>
      </c>
      <c r="G13" s="2768" t="s">
        <v>2873</v>
      </c>
      <c r="H13" s="2768" t="s">
        <v>2873</v>
      </c>
      <c r="I13" s="2768" t="s">
        <v>2873</v>
      </c>
      <c r="J13" s="2769" t="s">
        <v>2873</v>
      </c>
      <c r="K13" s="1373"/>
      <c r="L13" s="1373"/>
      <c r="M13" s="1373"/>
      <c r="N13" s="1373"/>
      <c r="O13" s="1373"/>
      <c r="P13" s="1373"/>
      <c r="Q13" s="1373"/>
      <c r="R13" s="1605">
        <v>12</v>
      </c>
      <c r="S13" s="1606"/>
      <c r="T13" s="1605" t="e">
        <f t="shared" si="0"/>
        <v>#DIV/0!</v>
      </c>
      <c r="U13" s="1606"/>
      <c r="V13" s="1605" t="e">
        <f t="shared" si="1"/>
        <v>#DIV/0!</v>
      </c>
      <c r="W13" s="3274"/>
      <c r="X13" s="1619"/>
      <c r="Y13" s="1616">
        <f>(-0.163*(Y12^2)-0.59*Y12+7617)*(10^(-4))/Y11</f>
        <v>1.0293243243243244</v>
      </c>
      <c r="Z13" s="1616">
        <f t="shared" ref="Z13:AJ13" si="5">(-0.163*(Z12^2)-0.59*Z12+7617)*(10^(-4))/Z11</f>
        <v>1.0293243243243244</v>
      </c>
      <c r="AA13" s="1616">
        <f t="shared" si="5"/>
        <v>1.0293243243243244</v>
      </c>
      <c r="AB13" s="1616">
        <f t="shared" si="5"/>
        <v>1.0293243243243244</v>
      </c>
      <c r="AC13" s="1616">
        <f t="shared" si="5"/>
        <v>1.0293243243243244</v>
      </c>
      <c r="AD13" s="1616">
        <f t="shared" si="5"/>
        <v>1.0293243243243244</v>
      </c>
      <c r="AE13" s="1616">
        <f t="shared" si="5"/>
        <v>1.0293243243243244</v>
      </c>
      <c r="AF13" s="1616">
        <f t="shared" si="5"/>
        <v>1.0293243243243244</v>
      </c>
      <c r="AG13" s="1616">
        <f t="shared" si="5"/>
        <v>1.0293243243243244</v>
      </c>
      <c r="AH13" s="1616">
        <f t="shared" si="5"/>
        <v>1.0293243243243244</v>
      </c>
      <c r="AI13" s="1616">
        <f t="shared" si="5"/>
        <v>1.0293243243243244</v>
      </c>
      <c r="AJ13" s="1616">
        <f t="shared" si="5"/>
        <v>1.0293243243243244</v>
      </c>
    </row>
    <row r="14" spans="1:36" ht="15">
      <c r="A14" s="3279"/>
      <c r="B14" s="2770"/>
      <c r="C14" s="2771"/>
      <c r="D14" s="2772"/>
      <c r="E14" s="2772"/>
      <c r="F14" s="2773"/>
      <c r="G14" s="2774" t="s">
        <v>2874</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0"/>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2876</v>
      </c>
      <c r="N15" s="920" t="s">
        <v>2877</v>
      </c>
      <c r="O15" s="920" t="s">
        <v>2878</v>
      </c>
      <c r="P15" s="2780"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1" t="s">
        <v>2880</v>
      </c>
      <c r="B16" s="2747" t="s">
        <v>2881</v>
      </c>
      <c r="C16" s="1804" t="e">
        <f>ROUND(SUM(G17:J17)/C17,0)</f>
        <v>#DIV/0!</v>
      </c>
      <c r="D16" s="2781" t="s">
        <v>2882</v>
      </c>
      <c r="E16" s="2782"/>
      <c r="F16" s="2783"/>
      <c r="G16" s="2784"/>
      <c r="H16" s="2784"/>
      <c r="I16" s="2784"/>
      <c r="J16" s="2785"/>
      <c r="K16" s="1373"/>
      <c r="L16" s="2786"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2"/>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t="e">
        <f>ROUND(IF(H19="按公示增长率计算",SUMPRODUCT((地价!A3:A25=YEAR(G19)&amp;"-"&amp;ROUNDUP(MONTH(G19)/3,0))*(地价!X2:AB2=E2)*(地价!X3:AB25)),IF(H19="地价指数",M20/M19,(1+I19)^O19)),4)</f>
        <v>#DIV/0!</v>
      </c>
      <c r="D19" s="2799" t="s">
        <v>2890</v>
      </c>
      <c r="E19" s="928">
        <v>41640</v>
      </c>
      <c r="F19" s="2799" t="s">
        <v>2891</v>
      </c>
      <c r="G19" s="929">
        <f>'数据-取费表'!B2</f>
        <v>43536</v>
      </c>
      <c r="H19" s="2800" t="s">
        <v>2892</v>
      </c>
      <c r="I19" s="930" t="str">
        <f>IF(H19="季度增幅（自定义）",SUMIF(N21:N24,E2,O21:O24),"")</f>
        <v/>
      </c>
      <c r="J19" s="2797"/>
      <c r="K19" s="1380"/>
      <c r="L19" s="2801" t="s">
        <v>2893</v>
      </c>
      <c r="M19" s="1737">
        <f>ROUND(SUMIF(地价!B2:F2,E2,地价!B25:F25),0)</f>
        <v>0</v>
      </c>
      <c r="N19" s="2802" t="s">
        <v>2894</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1">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80"/>
      <c r="L20" s="2809" t="s">
        <v>2898</v>
      </c>
      <c r="M20" s="1738">
        <f>ROUND(SUMPRODUCT((地价!A4:A25=YEAR(G19)&amp;"-"&amp;ROUNDUP(MONTH(G19)/3,0))*(地价!B2:F2=E2)*(地价!B4:F25)),0)</f>
        <v>0</v>
      </c>
      <c r="N20" s="2810" t="s">
        <v>2899</v>
      </c>
      <c r="O20" s="2811" t="s">
        <v>2900</v>
      </c>
      <c r="P20" s="2812" t="s">
        <v>2901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2902</v>
      </c>
      <c r="C21" s="940">
        <f>IF(B21="容积率修正",IF(G3&lt;=10,D22,J22),C23)</f>
        <v>0</v>
      </c>
      <c r="D21" s="2815"/>
      <c r="E21" s="2815"/>
      <c r="F21" s="2815"/>
      <c r="G21" s="2815"/>
      <c r="H21" s="2815"/>
      <c r="I21" s="2815"/>
      <c r="J21" s="2816"/>
      <c r="K21" s="1380"/>
      <c r="N21" s="2817" t="s">
        <v>2903</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2904</v>
      </c>
      <c r="B22" s="2818" t="s">
        <v>2905</v>
      </c>
      <c r="C22" s="1813" t="s">
        <v>2906</v>
      </c>
      <c r="D22" s="1813">
        <f>IF(E22=G22,F22,IF(G3&lt;=10,ROUND(F22+(H22-F22)*(G3-E22)/(G22-E22),4),"——"))</f>
        <v>0</v>
      </c>
      <c r="E22" s="916">
        <f>ROUNDDOWN(G3,1)</f>
        <v>0.7</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0.79999999999999993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7" t="s">
        <v>2907</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2910</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2911</v>
      </c>
      <c r="C24" s="927">
        <f>SUMIF(A45:A88,E2,B45:B88)</f>
        <v>0</v>
      </c>
      <c r="D24" s="2795"/>
      <c r="E24" s="2825"/>
      <c r="F24" s="2825"/>
      <c r="G24" s="2825"/>
      <c r="H24" s="2825"/>
      <c r="I24" s="2825"/>
      <c r="J24" s="2826"/>
      <c r="K24" s="1380"/>
      <c r="N24" s="2827" t="s">
        <v>2912</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2913</v>
      </c>
      <c r="C25" s="933"/>
      <c r="D25" s="2750"/>
      <c r="E25" s="2750"/>
      <c r="F25" s="2829"/>
      <c r="G25" s="2750"/>
      <c r="H25" s="2750"/>
      <c r="I25" s="2750"/>
      <c r="J25" s="2751"/>
      <c r="K25" s="1373"/>
      <c r="N25" s="2830" t="s">
        <v>2914</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1"/>
      <c r="B26" s="2818" t="s">
        <v>2915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2917</v>
      </c>
      <c r="C28" s="2842" t="s">
        <v>2918</v>
      </c>
      <c r="D28" s="2842" t="s">
        <v>2919</v>
      </c>
      <c r="E28" s="2843" t="s">
        <v>2920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2921</v>
      </c>
      <c r="C29" s="206" t="e">
        <f>ROUND(C5*C18*C19*C20*C21*C24,0)</f>
        <v>#DIV/0!</v>
      </c>
      <c r="D29" s="2847"/>
      <c r="E29" s="945" t="e">
        <f>ROUND(C29*D29/10000,0)</f>
        <v>#DIV/0!</v>
      </c>
      <c r="F29" s="2848" t="s">
        <v>2922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9" t="s">
        <v>2929</v>
      </c>
      <c r="B33" s="2863" t="s">
        <v>2930</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0"/>
      <c r="B34" s="2767" t="s">
        <v>2931</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0"/>
      <c r="B35" s="2767" t="s">
        <v>2932</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71"/>
      <c r="B36" s="2767" t="s">
        <v>2933</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2934</v>
      </c>
      <c r="C37" s="200" t="e">
        <f>ROUND(D5*C19*C20*C24*F37,0)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2935</v>
      </c>
      <c r="M37" s="2867"/>
      <c r="N37" s="1373"/>
      <c r="O37" s="1373"/>
      <c r="P37" s="1373"/>
      <c r="Q37" s="1373"/>
      <c r="R37" s="1373"/>
      <c r="S37" s="1373"/>
      <c r="T37" s="1373"/>
      <c r="U37" s="1373"/>
      <c r="V37" s="1373"/>
      <c r="W37" s="1373"/>
      <c r="X37" s="1373"/>
      <c r="Y37" s="1373"/>
      <c r="Z37" s="1374"/>
    </row>
    <row r="38" spans="1:37">
      <c r="A38" s="2865"/>
      <c r="B38" s="2767" t="s">
        <v>2936</v>
      </c>
      <c r="C38" s="200" t="e">
        <f>ROUND(D5*C19*C41*C24*F38,0)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2937</v>
      </c>
      <c r="M38" s="2868">
        <v>0.25</v>
      </c>
      <c r="N38" s="1373"/>
      <c r="O38" s="1373"/>
      <c r="P38" s="1373"/>
      <c r="Q38" s="1373"/>
      <c r="R38" s="1373"/>
      <c r="S38" s="1373"/>
      <c r="T38" s="1373"/>
      <c r="U38" s="1373"/>
      <c r="V38" s="1373"/>
      <c r="W38" s="1373"/>
      <c r="X38" s="1373"/>
      <c r="Y38" s="1373"/>
      <c r="Z38" s="1374"/>
    </row>
    <row r="39" spans="1:37" ht="13.5" thickBot="1">
      <c r="A39" s="2851"/>
      <c r="B39" s="2869" t="s">
        <v>2938</v>
      </c>
      <c r="C39" s="229" t="e">
        <f>ROUND(D5*C19*C41*C24*F39,0)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0" t="s">
        <v>3047</v>
      </c>
      <c r="C41" s="388" t="e">
        <f>ROUND(POWER(1+E41,H41-G41)*(POWER(1+E41,G41)-1)/(POWER(1+E41,H41)-1),4)</f>
        <v>#DIV/0!</v>
      </c>
      <c r="D41" s="200" t="s">
        <v>2887</v>
      </c>
      <c r="E41" s="2939">
        <f>G20</f>
        <v>0</v>
      </c>
      <c r="F41" s="200" t="s">
        <v>2897</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2941</v>
      </c>
      <c r="B47" s="1812" t="s">
        <v>2942</v>
      </c>
      <c r="C47" s="1812" t="s">
        <v>2943</v>
      </c>
      <c r="D47" s="1812" t="s">
        <v>2944</v>
      </c>
      <c r="E47" s="819" t="s">
        <v>2945</v>
      </c>
      <c r="F47" s="2881" t="s">
        <v>2946</v>
      </c>
      <c r="G47" s="1812" t="s">
        <v>754</v>
      </c>
      <c r="H47" s="2882" t="s">
        <v>2947</v>
      </c>
      <c r="I47" s="1812" t="s">
        <v>2948</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0" t="s">
        <v>2949</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2950</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2951</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2952</v>
      </c>
      <c r="B51" s="2885" t="s">
        <v>2953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2954</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2955</v>
      </c>
      <c r="B53" s="2886" t="s">
        <v>2956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2957</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2958</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2959</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2941</v>
      </c>
      <c r="B58" s="1812"/>
      <c r="C58" s="1812" t="s">
        <v>2943</v>
      </c>
      <c r="D58" s="1812" t="s">
        <v>2944</v>
      </c>
      <c r="E58" s="819" t="s">
        <v>2945</v>
      </c>
      <c r="F58" s="2881" t="s">
        <v>2961</v>
      </c>
      <c r="G58" s="1812" t="s">
        <v>754</v>
      </c>
      <c r="H58" s="2882" t="s">
        <v>2947</v>
      </c>
      <c r="I58" s="1812" t="s">
        <v>2948</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0" t="s">
        <v>2962</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2950</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2951</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2952</v>
      </c>
      <c r="B62" s="2885" t="s">
        <v>2953</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2954</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2955</v>
      </c>
      <c r="B64" s="2886" t="s">
        <v>2956</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2957</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2958</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2959</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2941</v>
      </c>
      <c r="B69" s="1812"/>
      <c r="C69" s="1812" t="s">
        <v>2943</v>
      </c>
      <c r="D69" s="1812" t="s">
        <v>2944</v>
      </c>
      <c r="E69" s="819" t="s">
        <v>2945</v>
      </c>
      <c r="F69" s="2881" t="s">
        <v>2961</v>
      </c>
      <c r="G69" s="1812" t="s">
        <v>754</v>
      </c>
      <c r="H69" s="2882" t="s">
        <v>2947</v>
      </c>
      <c r="I69" s="1812" t="s">
        <v>2948</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0" t="s">
        <v>2964</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2950</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2951</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2965</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2957</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2958</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2955</v>
      </c>
      <c r="B76" s="2886" t="s">
        <v>2956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2959</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2967</v>
      </c>
      <c r="B79" s="2877">
        <f>1+E81</f>
        <v>1</v>
      </c>
      <c r="C79" s="814"/>
      <c r="D79" s="814"/>
      <c r="E79" s="815"/>
      <c r="F79" s="2879"/>
      <c r="G79" s="6"/>
      <c r="H79" s="6"/>
      <c r="I79" s="6"/>
      <c r="J79" s="7"/>
      <c r="K79" s="7"/>
      <c r="L79" s="7"/>
      <c r="M79" s="7"/>
      <c r="N79" s="7"/>
      <c r="Z79" s="2722"/>
      <c r="AA79" s="2798"/>
      <c r="AG79" s="1375"/>
      <c r="AK79" s="2798"/>
    </row>
    <row r="80" spans="1:37" ht="24.75">
      <c r="A80" s="2880" t="s">
        <v>2941</v>
      </c>
      <c r="B80" s="1812"/>
      <c r="C80" s="1812" t="s">
        <v>2943</v>
      </c>
      <c r="D80" s="1812" t="s">
        <v>2944</v>
      </c>
      <c r="E80" s="819" t="s">
        <v>2945</v>
      </c>
      <c r="F80" s="2881" t="s">
        <v>2961</v>
      </c>
      <c r="G80" s="1812" t="s">
        <v>754</v>
      </c>
      <c r="H80" s="2882" t="s">
        <v>2947</v>
      </c>
      <c r="I80" s="1812" t="s">
        <v>2948</v>
      </c>
      <c r="J80" s="603" t="s">
        <v>2594</v>
      </c>
      <c r="K80" s="603" t="s">
        <v>2595</v>
      </c>
      <c r="L80" s="603" t="s">
        <v>2596</v>
      </c>
      <c r="M80" s="603" t="s">
        <v>2597</v>
      </c>
      <c r="N80" s="603" t="s">
        <v>2598</v>
      </c>
      <c r="Z80" s="2722"/>
      <c r="AA80" s="2798"/>
      <c r="AG80" s="1375"/>
      <c r="AK80" s="2798"/>
    </row>
    <row r="81" spans="1:37" ht="38.25">
      <c r="A81" s="2880" t="s">
        <v>2968</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2950</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2951</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2957</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2958</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2955</v>
      </c>
      <c r="B87" s="2886" t="s">
        <v>2969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2970</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63" t="s">
        <v>2971</v>
      </c>
      <c r="B90" s="3263"/>
      <c r="C90" s="3263"/>
      <c r="D90" s="3263"/>
      <c r="E90" s="3263"/>
      <c r="F90" s="3263"/>
      <c r="G90" s="3263"/>
      <c r="H90" s="3263"/>
      <c r="I90" s="3263"/>
      <c r="J90" s="3263"/>
      <c r="K90" s="2894"/>
      <c r="L90" s="2894"/>
      <c r="M90" s="2894"/>
      <c r="N90" s="2894"/>
    </row>
    <row r="91" spans="1:37">
      <c r="A91" s="3265" t="s">
        <v>2972</v>
      </c>
      <c r="B91" s="3265" t="s">
        <v>2973</v>
      </c>
      <c r="C91" s="2848" t="s">
        <v>2974</v>
      </c>
      <c r="D91" s="2849"/>
      <c r="E91" s="2849"/>
      <c r="F91" s="2849"/>
      <c r="G91" s="2849"/>
      <c r="H91" s="2849"/>
      <c r="I91" s="2849"/>
      <c r="J91" s="2895"/>
      <c r="K91" s="2896"/>
      <c r="L91" s="2896"/>
      <c r="M91" s="2896"/>
      <c r="N91" s="2896"/>
    </row>
    <row r="92" spans="1:37">
      <c r="A92" s="3265"/>
      <c r="B92" s="3265"/>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66"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7"/>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6" t="s">
        <v>2976</v>
      </c>
      <c r="B101" s="2901" t="s">
        <v>2977</v>
      </c>
      <c r="C101" s="2902">
        <f>$G$3</f>
        <v>0.74</v>
      </c>
      <c r="D101" s="2902">
        <f t="shared" ref="D101:N101" si="31">$G$3</f>
        <v>0.74</v>
      </c>
      <c r="E101" s="2902">
        <f t="shared" si="31"/>
        <v>0.74</v>
      </c>
      <c r="F101" s="2902">
        <f t="shared" si="31"/>
        <v>0.74</v>
      </c>
      <c r="G101" s="2902">
        <f t="shared" si="31"/>
        <v>0.74</v>
      </c>
      <c r="H101" s="2902">
        <f t="shared" si="31"/>
        <v>0.74</v>
      </c>
      <c r="I101" s="2902">
        <f t="shared" si="31"/>
        <v>0.74</v>
      </c>
      <c r="J101" s="2902">
        <f t="shared" si="31"/>
        <v>0.74</v>
      </c>
      <c r="K101" s="2902">
        <f t="shared" si="31"/>
        <v>0.74</v>
      </c>
      <c r="L101" s="2902">
        <f t="shared" si="31"/>
        <v>0.74</v>
      </c>
      <c r="M101" s="2902">
        <f t="shared" si="31"/>
        <v>0.74</v>
      </c>
      <c r="N101" s="2902">
        <f t="shared" si="31"/>
        <v>0.74</v>
      </c>
    </row>
    <row r="102" spans="1:14">
      <c r="A102" s="3267"/>
      <c r="B102" s="2897">
        <v>1</v>
      </c>
      <c r="C102" s="2898">
        <f>1.9362/C101</f>
        <v>2.6164864864864863</v>
      </c>
      <c r="D102" s="2898">
        <f>1.9362/D101</f>
        <v>2.6164864864864863</v>
      </c>
      <c r="E102" s="2898">
        <f>1.8629/E101</f>
        <v>2.5174324324324324</v>
      </c>
      <c r="F102" s="2898">
        <f>1.8629/F101</f>
        <v>2.5174324324324324</v>
      </c>
      <c r="G102" s="2898">
        <f>1.8629/G101</f>
        <v>2.5174324324324324</v>
      </c>
      <c r="H102" s="2898">
        <f>1.8629/H101</f>
        <v>2.5174324324324324</v>
      </c>
      <c r="I102" s="2898">
        <f>1.8629/I101</f>
        <v>2.5174324324324324</v>
      </c>
      <c r="J102" s="2898">
        <f>1.942/J101</f>
        <v>2.6243243243243244</v>
      </c>
      <c r="K102" s="2898">
        <f>1.942/K101</f>
        <v>2.6243243243243244</v>
      </c>
      <c r="L102" s="2898">
        <f>1.942/L101</f>
        <v>2.6243243243243244</v>
      </c>
      <c r="M102" s="2898">
        <f>1.942/M101</f>
        <v>2.6243243243243244</v>
      </c>
      <c r="N102" s="2898">
        <f>1.942/N101</f>
        <v>2.6243243243243244</v>
      </c>
    </row>
    <row r="103" spans="1:14">
      <c r="A103" s="3267"/>
      <c r="B103" s="2897">
        <v>2</v>
      </c>
      <c r="C103" s="2898">
        <f>1.4198/C101</f>
        <v>1.9186486486486487</v>
      </c>
      <c r="D103" s="2898">
        <f>1.4198/D101</f>
        <v>1.9186486486486487</v>
      </c>
      <c r="E103" s="2898">
        <f>1.3372/E101</f>
        <v>1.807027027027027</v>
      </c>
      <c r="F103" s="2898">
        <f>1.3372/F101</f>
        <v>1.807027027027027</v>
      </c>
      <c r="G103" s="2898">
        <f>1.3372/G101</f>
        <v>1.807027027027027</v>
      </c>
      <c r="H103" s="2898">
        <f>1.3372/H101</f>
        <v>1.807027027027027</v>
      </c>
      <c r="I103" s="2898">
        <f>1.3372/I101</f>
        <v>1.807027027027027</v>
      </c>
      <c r="J103" s="2898">
        <f>1.2799/J101</f>
        <v>1.7295945945945947</v>
      </c>
      <c r="K103" s="2898">
        <f>1.2799/K101</f>
        <v>1.7295945945945947</v>
      </c>
      <c r="L103" s="2898">
        <f>1.2799/L101</f>
        <v>1.7295945945945947</v>
      </c>
      <c r="M103" s="2898">
        <f>1.2799/M101</f>
        <v>1.7295945945945947</v>
      </c>
      <c r="N103" s="2898">
        <f>1.2799/N101</f>
        <v>1.7295945945945947</v>
      </c>
    </row>
    <row r="104" spans="1:14">
      <c r="A104" s="3267"/>
      <c r="B104" s="2897">
        <v>3</v>
      </c>
      <c r="C104" s="2898">
        <f>1.1594/C101</f>
        <v>1.5667567567567569</v>
      </c>
      <c r="D104" s="2898">
        <f>1.1594/D101</f>
        <v>1.5667567567567569</v>
      </c>
      <c r="E104" s="2898">
        <f>1.0788/E101</f>
        <v>1.4578378378378378</v>
      </c>
      <c r="F104" s="2898">
        <f>1.0788/F101</f>
        <v>1.4578378378378378</v>
      </c>
      <c r="G104" s="2898">
        <f>1.0788/G101</f>
        <v>1.4578378378378378</v>
      </c>
      <c r="H104" s="2898">
        <f>1.0788/H101</f>
        <v>1.4578378378378378</v>
      </c>
      <c r="I104" s="2898">
        <f>1.0788/I101</f>
        <v>1.4578378378378378</v>
      </c>
      <c r="J104" s="2898">
        <f>1.0072/J101</f>
        <v>1.3610810810810812</v>
      </c>
      <c r="K104" s="2898">
        <f>1.0072/K101</f>
        <v>1.3610810810810812</v>
      </c>
      <c r="L104" s="2898">
        <f>1.0072/L101</f>
        <v>1.3610810810810812</v>
      </c>
      <c r="M104" s="2898">
        <f>1.0072/M101</f>
        <v>1.3610810810810812</v>
      </c>
      <c r="N104" s="2898">
        <f>1.0072/N101</f>
        <v>1.3610810810810812</v>
      </c>
    </row>
    <row r="105" spans="1:14">
      <c r="A105" s="3267"/>
      <c r="B105" s="2897">
        <v>4</v>
      </c>
      <c r="C105" s="2898">
        <f>0.9622/C101</f>
        <v>1.3002702702702704</v>
      </c>
      <c r="D105" s="2898">
        <f>0.9622/D101</f>
        <v>1.3002702702702704</v>
      </c>
      <c r="E105" s="2898">
        <f>0.8656/E101</f>
        <v>1.1697297297297298</v>
      </c>
      <c r="F105" s="2898">
        <f>0.8656/F101</f>
        <v>1.1697297297297298</v>
      </c>
      <c r="G105" s="2898">
        <f>0.8656/G101</f>
        <v>1.1697297297297298</v>
      </c>
      <c r="H105" s="2898">
        <f>0.8656/H101</f>
        <v>1.1697297297297298</v>
      </c>
      <c r="I105" s="2898">
        <f>0.8656/I101</f>
        <v>1.1697297297297298</v>
      </c>
      <c r="J105" s="2898">
        <f>0.7525/J101</f>
        <v>1.0168918918918919</v>
      </c>
      <c r="K105" s="2898">
        <f>0.7525/K101</f>
        <v>1.0168918918918919</v>
      </c>
      <c r="L105" s="2898">
        <f>0.7525/L101</f>
        <v>1.0168918918918919</v>
      </c>
      <c r="M105" s="2898">
        <f>0.7525/M101</f>
        <v>1.0168918918918919</v>
      </c>
      <c r="N105" s="2898">
        <f>0.7525/N101</f>
        <v>1.0168918918918919</v>
      </c>
    </row>
    <row r="106" spans="1:14">
      <c r="A106" s="3267"/>
      <c r="B106" s="2897">
        <v>5</v>
      </c>
      <c r="C106" s="2898">
        <f>0.8417/C101</f>
        <v>1.1374324324324325</v>
      </c>
      <c r="D106" s="2898">
        <f>0.8417/D101</f>
        <v>1.1374324324324325</v>
      </c>
      <c r="E106" s="2898">
        <f>0.7371/E101</f>
        <v>0.99608108108108107</v>
      </c>
      <c r="F106" s="2898">
        <f>0.7371/F101</f>
        <v>0.99608108108108107</v>
      </c>
      <c r="G106" s="2898">
        <f>0.7371/G101</f>
        <v>0.99608108108108107</v>
      </c>
      <c r="H106" s="2898">
        <f>0.7371/H101</f>
        <v>0.99608108108108107</v>
      </c>
      <c r="I106" s="2898">
        <f>0.7371/I101</f>
        <v>0.99608108108108107</v>
      </c>
      <c r="J106" s="2898">
        <f>0.5659/J101</f>
        <v>0.76472972972972963</v>
      </c>
      <c r="K106" s="2898">
        <f>0.5659/K101</f>
        <v>0.76472972972972963</v>
      </c>
      <c r="L106" s="2898">
        <f>0.5659/L101</f>
        <v>0.76472972972972963</v>
      </c>
      <c r="M106" s="2898">
        <f>0.5659/M101</f>
        <v>0.76472972972972963</v>
      </c>
      <c r="N106" s="2898">
        <f>0.5659/N101</f>
        <v>0.76472972972972963</v>
      </c>
    </row>
    <row r="107" spans="1:14">
      <c r="A107" s="3267"/>
      <c r="B107" s="2897">
        <v>6</v>
      </c>
      <c r="C107" s="2898">
        <f>0.7608/C101</f>
        <v>1.0281081081081083</v>
      </c>
      <c r="D107" s="2898">
        <f>0.7608/D101</f>
        <v>1.0281081081081083</v>
      </c>
      <c r="E107" s="2898">
        <f>0.6482/E101</f>
        <v>0.87594594594594599</v>
      </c>
      <c r="F107" s="2898">
        <f>0.6482/F101</f>
        <v>0.87594594594594599</v>
      </c>
      <c r="G107" s="2898">
        <f>0.6482/G101</f>
        <v>0.87594594594594599</v>
      </c>
      <c r="H107" s="2898">
        <f>0.6482/H101</f>
        <v>0.87594594594594599</v>
      </c>
      <c r="I107" s="2898">
        <f>0.6482/I101</f>
        <v>0.87594594594594599</v>
      </c>
      <c r="J107" s="2898">
        <f>0.4525/J101</f>
        <v>0.61148648648648651</v>
      </c>
      <c r="K107" s="2898">
        <f>0.4525/K101</f>
        <v>0.61148648648648651</v>
      </c>
      <c r="L107" s="2898">
        <f>0.4525/L101</f>
        <v>0.61148648648648651</v>
      </c>
      <c r="M107" s="2898">
        <f>0.4525/M101</f>
        <v>0.61148648648648651</v>
      </c>
      <c r="N107" s="2898">
        <f>0.4525/N101</f>
        <v>0.61148648648648651</v>
      </c>
    </row>
    <row r="108" spans="1:14">
      <c r="A108" s="3267"/>
      <c r="B108" s="3093" t="s">
        <v>2978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8"/>
      <c r="B109" s="3094"/>
      <c r="C109" s="2900">
        <f>(-0.163*(C108^2)-0.59*C108+7617)*(10^(-4))/C101</f>
        <v>1.0293243243243244</v>
      </c>
      <c r="D109" s="2900">
        <f>(-0.163*(D108^2)-0.59*D108+7617)*(10^(-4))/D101</f>
        <v>1.0293243243243244</v>
      </c>
      <c r="E109" s="2900">
        <f>(-0.161*(E108^2)-7.509*E108+6533)*(10^(-4))/E101</f>
        <v>0.88283783783783787</v>
      </c>
      <c r="F109" s="2900">
        <f>(-0.161*(F108^2)-7.509*F108+6533)*(10^(-4))/F101</f>
        <v>0.88283783783783787</v>
      </c>
      <c r="G109" s="2900">
        <f>(-0.161*(G108^2)-7.509*G108+6533)*(10^(-4))/G101</f>
        <v>0.88283783783783787</v>
      </c>
      <c r="H109" s="2900">
        <f>(-0.161*(H108^2)-7.509*H108+6533)*(10^(-4))/H101</f>
        <v>0.88283783783783787</v>
      </c>
      <c r="I109" s="2900">
        <f>(-0.161*(I108^2)-7.509*I108+6533)*(10^(-4))/I101</f>
        <v>0.88283783783783787</v>
      </c>
      <c r="J109" s="2900">
        <f>(-0.214*(J108^2)-21.991*J108+4665)*(10^(-4))/J101</f>
        <v>0.63040540540540546</v>
      </c>
      <c r="K109" s="2900">
        <f>(-0.214*(K108^2)-21.991*K108+4665)*(10^(-4))/K101</f>
        <v>0.63040540540540546</v>
      </c>
      <c r="L109" s="2900">
        <f>(-0.214*(L108^2)-21.991*L108+4665)*(10^(-4))/L101</f>
        <v>0.63040540540540546</v>
      </c>
      <c r="M109" s="2900">
        <f>(-0.214*(M108^2)-21.991*M108+4665)*(10^(-4))/M101</f>
        <v>0.63040540540540546</v>
      </c>
      <c r="N109" s="2900">
        <f>(-0.214*(N108^2)-21.991*N108+4665)*(10^(-4))/N101</f>
        <v>0.63040540540540546</v>
      </c>
    </row>
    <row r="110" spans="1:14">
      <c r="A110" s="3264" t="s">
        <v>2979</v>
      </c>
      <c r="B110" s="3264"/>
      <c r="C110" s="3264"/>
      <c r="D110" s="3264"/>
      <c r="E110" s="3264"/>
      <c r="F110" s="3264"/>
      <c r="G110" s="3264"/>
      <c r="H110" s="3264"/>
      <c r="I110" s="3264"/>
      <c r="J110" s="3264"/>
      <c r="K110" s="2903"/>
      <c r="L110" s="2903"/>
      <c r="M110" s="2903"/>
      <c r="N110" s="2903"/>
    </row>
    <row r="112" spans="1:14" ht="13.5" thickBot="1"/>
    <row r="113" spans="1:13" ht="25.5" thickBot="1">
      <c r="A113" s="903" t="s">
        <v>2980</v>
      </c>
      <c r="B113" s="1290">
        <f>G3</f>
        <v>0.74</v>
      </c>
      <c r="C113" s="904" t="s">
        <v>2981</v>
      </c>
      <c r="D113" s="905">
        <f>SUMPRODUCT((A115:A118=F113)*(B114:M114=H113)*B115:M118)</f>
        <v>0</v>
      </c>
      <c r="E113" s="2726" t="s">
        <v>2811</v>
      </c>
      <c r="F113" s="2905">
        <f>E2</f>
        <v>0</v>
      </c>
      <c r="G113" s="2726" t="s">
        <v>2812</v>
      </c>
      <c r="H113" s="2905">
        <f>G2</f>
        <v>0</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0.92649999999999999</v>
      </c>
      <c r="C115" s="910">
        <f>B115</f>
        <v>0.92649999999999999</v>
      </c>
      <c r="D115" s="910">
        <f>ROUND(0.8331-0.0109*B113,4)</f>
        <v>0.82499999999999996</v>
      </c>
      <c r="E115" s="910">
        <f>D115</f>
        <v>0.82499999999999996</v>
      </c>
      <c r="F115" s="910">
        <f>E115</f>
        <v>0.82499999999999996</v>
      </c>
      <c r="G115" s="910">
        <f>F115</f>
        <v>0.82499999999999996</v>
      </c>
      <c r="H115" s="910">
        <f>G115</f>
        <v>0.82499999999999996</v>
      </c>
      <c r="I115" s="910">
        <f>ROUND(0.689-0.0155*B113,4)</f>
        <v>0.67749999999999999</v>
      </c>
      <c r="J115" s="910">
        <f t="shared" ref="J115:M118" si="33">I115</f>
        <v>0.67749999999999999</v>
      </c>
      <c r="K115" s="910">
        <f t="shared" si="33"/>
        <v>0.67749999999999999</v>
      </c>
      <c r="L115" s="910">
        <f t="shared" si="33"/>
        <v>0.67749999999999999</v>
      </c>
      <c r="M115" s="911">
        <f t="shared" si="33"/>
        <v>0.67749999999999999</v>
      </c>
    </row>
    <row r="116" spans="1:13">
      <c r="A116" s="909" t="s">
        <v>2877</v>
      </c>
      <c r="B116" s="910">
        <f>ROUND(0.949-0.012*B113,4)</f>
        <v>0.94010000000000005</v>
      </c>
      <c r="C116" s="910">
        <f>B116</f>
        <v>0.94010000000000005</v>
      </c>
      <c r="D116" s="910">
        <f>ROUND(0.8567-0.013*B113,4)</f>
        <v>0.84709999999999996</v>
      </c>
      <c r="E116" s="910">
        <f t="shared" ref="E116:H117" si="34">D116</f>
        <v>0.84709999999999996</v>
      </c>
      <c r="F116" s="910">
        <f t="shared" si="34"/>
        <v>0.84709999999999996</v>
      </c>
      <c r="G116" s="910">
        <f t="shared" si="34"/>
        <v>0.84709999999999996</v>
      </c>
      <c r="H116" s="910">
        <f t="shared" si="34"/>
        <v>0.84709999999999996</v>
      </c>
      <c r="I116" s="910">
        <f>ROUND(0.7694-0.014*B113,4)</f>
        <v>0.75900000000000001</v>
      </c>
      <c r="J116" s="910">
        <f t="shared" si="33"/>
        <v>0.75900000000000001</v>
      </c>
      <c r="K116" s="910">
        <f t="shared" si="33"/>
        <v>0.75900000000000001</v>
      </c>
      <c r="L116" s="910">
        <f t="shared" si="33"/>
        <v>0.75900000000000001</v>
      </c>
      <c r="M116" s="911">
        <f t="shared" si="33"/>
        <v>0.75900000000000001</v>
      </c>
    </row>
    <row r="117" spans="1:13">
      <c r="A117" s="909" t="s">
        <v>2878</v>
      </c>
      <c r="B117" s="910">
        <f>ROUND(0.8808-0.006*B113,4)</f>
        <v>0.87639999999999996</v>
      </c>
      <c r="C117" s="910">
        <f>B117</f>
        <v>0.87639999999999996</v>
      </c>
      <c r="D117" s="910">
        <f>ROUND(0.8748-0.008*B113,4)</f>
        <v>0.86890000000000001</v>
      </c>
      <c r="E117" s="910">
        <f t="shared" si="34"/>
        <v>0.86890000000000001</v>
      </c>
      <c r="F117" s="910">
        <f t="shared" si="34"/>
        <v>0.86890000000000001</v>
      </c>
      <c r="G117" s="910">
        <f t="shared" si="34"/>
        <v>0.86890000000000001</v>
      </c>
      <c r="H117" s="910">
        <f t="shared" si="34"/>
        <v>0.86890000000000001</v>
      </c>
      <c r="I117" s="910">
        <f>ROUND(0.7412-0.0095*B113,4)</f>
        <v>0.73419999999999996</v>
      </c>
      <c r="J117" s="910">
        <f t="shared" si="33"/>
        <v>0.73419999999999996</v>
      </c>
      <c r="K117" s="910">
        <f t="shared" si="33"/>
        <v>0.73419999999999996</v>
      </c>
      <c r="L117" s="910">
        <f t="shared" si="33"/>
        <v>0.73419999999999996</v>
      </c>
      <c r="M117" s="911">
        <f t="shared" si="33"/>
        <v>0.73419999999999996</v>
      </c>
    </row>
    <row r="118" spans="1:13" ht="13.5" thickBot="1">
      <c r="A118" s="714" t="s">
        <v>2879</v>
      </c>
      <c r="B118" s="912">
        <f>ROUND(0.7275-0.01*B113,4)</f>
        <v>0.72009999999999996</v>
      </c>
      <c r="C118" s="912">
        <f>B118</f>
        <v>0.72009999999999996</v>
      </c>
      <c r="D118" s="912">
        <f>ROUND(0.7043-0.012*B113,4)</f>
        <v>0.69540000000000002</v>
      </c>
      <c r="E118" s="912">
        <f>D118</f>
        <v>0.69540000000000002</v>
      </c>
      <c r="F118" s="912">
        <f>E118</f>
        <v>0.69540000000000002</v>
      </c>
      <c r="G118" s="912">
        <f>ROUND(0.6299-0.0122*B113,4)</f>
        <v>0.62090000000000001</v>
      </c>
      <c r="H118" s="912">
        <f>G118</f>
        <v>0.62090000000000001</v>
      </c>
      <c r="I118" s="912">
        <f>ROUND(0.5667-0.0136*B113,4)</f>
        <v>0.55659999999999998</v>
      </c>
      <c r="J118" s="912">
        <f t="shared" si="33"/>
        <v>0.55659999999999998</v>
      </c>
      <c r="K118" s="912">
        <f t="shared" si="33"/>
        <v>0.55659999999999998</v>
      </c>
      <c r="L118" s="912">
        <f t="shared" si="33"/>
        <v>0.55659999999999998</v>
      </c>
      <c r="M118" s="913">
        <f t="shared" si="33"/>
        <v>0.55659999999999998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5" sqref="E15"/>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3002</v>
      </c>
    </row>
    <row r="2" spans="1:5" ht="15.75">
      <c r="A2" s="2912" t="s">
        <v>2994</v>
      </c>
      <c r="B2" s="2913" t="e">
        <f ca="1">SUMIF(B6:B13,"&lt;&gt;#ref!",B6:B13)</f>
        <v>#DIV/0!</v>
      </c>
      <c r="C2" s="2912" t="s">
        <v>2995</v>
      </c>
      <c r="D2" s="2912" t="s">
        <v>2996</v>
      </c>
      <c r="E2" s="2913">
        <f ca="1">SUMIF(E6:E13,"&lt;&gt;#ref!",E6:E13)</f>
        <v>0</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E15" sqref="E1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7" t="s">
        <v>1146</v>
      </c>
      <c r="C1" s="3287"/>
      <c r="D1" s="3287"/>
      <c r="E1" s="3287"/>
      <c r="F1" s="3287"/>
      <c r="G1" s="3283" t="s">
        <v>1147</v>
      </c>
      <c r="H1" s="3283"/>
      <c r="I1" s="3283"/>
      <c r="J1" s="3283"/>
      <c r="K1" s="3283"/>
      <c r="L1" s="3283"/>
      <c r="N1" s="3283" t="s">
        <v>1148</v>
      </c>
      <c r="O1" s="3283"/>
      <c r="P1" s="3283"/>
      <c r="Q1" s="3283"/>
      <c r="R1" s="1449"/>
      <c r="S1" s="3283" t="s">
        <v>1149</v>
      </c>
      <c r="T1" s="3283"/>
      <c r="U1" s="3283"/>
      <c r="V1" s="3283"/>
      <c r="X1" s="3282" t="s">
        <v>1150</v>
      </c>
      <c r="Y1" s="3283"/>
      <c r="Z1" s="3283"/>
      <c r="AA1" s="3283"/>
      <c r="AB1" s="3283"/>
      <c r="AD1" s="3282" t="s">
        <v>1151</v>
      </c>
      <c r="AE1" s="3283"/>
      <c r="AF1" s="3283"/>
      <c r="AG1" s="3283"/>
      <c r="AH1" s="3283"/>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8" customFormat="1" ht="14.25">
      <c r="A3" s="2937" t="s">
        <v>3035</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3048</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1">
        <v>2019</v>
      </c>
      <c r="H5" s="1733">
        <v>1</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7" t="s">
        <v>3036</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3049</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5">
        <v>2018</v>
      </c>
      <c r="H6" s="1467">
        <v>4</v>
      </c>
      <c r="I6" s="2942">
        <v>0.96</v>
      </c>
      <c r="J6" s="2942">
        <v>1.03</v>
      </c>
      <c r="K6" s="2942">
        <v>0.92</v>
      </c>
      <c r="L6" s="2943">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3042</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5"/>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3041</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5"/>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3034</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9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3031</v>
      </c>
      <c r="B10" s="1472">
        <v>439</v>
      </c>
      <c r="C10" s="1472">
        <v>327</v>
      </c>
      <c r="D10" s="1472">
        <f>C10</f>
        <v>327</v>
      </c>
      <c r="E10" s="1472">
        <v>627</v>
      </c>
      <c r="F10" s="1473">
        <v>283</v>
      </c>
      <c r="G10" s="328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3032</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5"/>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85"/>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9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5"/>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5"/>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6"/>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84">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5"/>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5"/>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6"/>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84">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5"/>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5"/>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6"/>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9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9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9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84">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85"/>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85"/>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86"/>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84">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5">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85">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86">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84">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5">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85">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86">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84">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5">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85">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86">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84">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5">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85">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86">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84">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5">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85">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86">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84">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5">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85">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86">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84">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5">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85">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86">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84">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5">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85">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86">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84">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85">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85">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86">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84">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85">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85">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86">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5" sqref="E15"/>
      <selection pane="bottomLeft" activeCell="F14" sqref="F14"/>
    </sheetView>
  </sheetViews>
  <sheetFormatPr defaultColWidth="9" defaultRowHeight="12.75"/>
  <cols>
    <col min="1" max="1" width="11.5" style="139" customWidth="1"/>
    <col min="2" max="2" width="9.25" style="27" customWidth="1"/>
    <col min="3" max="3" width="5" style="27" customWidth="1"/>
    <col min="4" max="4" width="9" style="27"/>
    <col min="5" max="5" width="13" style="27" customWidth="1"/>
    <col min="6" max="6" width="9" style="27"/>
    <col min="7" max="7" width="5" style="27" customWidth="1"/>
    <col min="8" max="8" width="9" style="27"/>
    <col min="9" max="9" width="6.375" style="27" customWidth="1"/>
    <col min="10" max="10" width="9" style="27"/>
    <col min="11" max="11" width="8.37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94" t="s">
        <v>3005</v>
      </c>
      <c r="D1" s="3295"/>
      <c r="E1" s="3295"/>
      <c r="F1" s="3295"/>
      <c r="G1" s="3295"/>
      <c r="H1" s="3295"/>
      <c r="I1" s="3295"/>
      <c r="J1" s="3295"/>
      <c r="K1" s="3295"/>
      <c r="L1" s="3295"/>
      <c r="M1" s="3295"/>
      <c r="N1" s="3295"/>
      <c r="O1" s="3295"/>
      <c r="P1" s="3295"/>
      <c r="Q1" s="3295"/>
      <c r="R1" s="3295"/>
      <c r="S1" s="3296"/>
      <c r="T1" s="1207" t="s">
        <v>3006</v>
      </c>
    </row>
    <row r="2" spans="1:45" s="707" customFormat="1" ht="38.25">
      <c r="A2" s="1208"/>
      <c r="B2" s="703" t="s">
        <v>3007</v>
      </c>
      <c r="C2" s="704" t="str">
        <f t="shared" ref="C2:L2" si="0">C3&amp;"(含)"&amp;"-"&amp;D3</f>
        <v>0(含)-100</v>
      </c>
      <c r="D2" s="705" t="str">
        <f t="shared" si="0"/>
        <v>100(含)-500</v>
      </c>
      <c r="E2" s="705" t="str">
        <f t="shared" si="0"/>
        <v>500(含)-1000</v>
      </c>
      <c r="F2" s="705" t="str">
        <f t="shared" si="0"/>
        <v>1000(含)-2000</v>
      </c>
      <c r="G2" s="705" t="str">
        <f t="shared" si="0"/>
        <v>2000(含)-5000</v>
      </c>
      <c r="H2" s="705" t="str">
        <f t="shared" si="0"/>
        <v>5000(含)-10000</v>
      </c>
      <c r="I2" s="705" t="str">
        <f t="shared" si="0"/>
        <v>10000(含)-20000</v>
      </c>
      <c r="J2" s="705" t="str">
        <f t="shared" si="0"/>
        <v>20000(含)-50000</v>
      </c>
      <c r="K2" s="705" t="str">
        <f t="shared" si="0"/>
        <v>50000(含)-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10">
        <v>500</v>
      </c>
      <c r="F3" s="1707">
        <v>1000</v>
      </c>
      <c r="G3" s="1707">
        <v>2000</v>
      </c>
      <c r="H3" s="1707">
        <v>5000</v>
      </c>
      <c r="I3" s="1707">
        <v>10000</v>
      </c>
      <c r="J3" s="1707">
        <v>20000</v>
      </c>
      <c r="K3" s="1707">
        <v>50000</v>
      </c>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98</v>
      </c>
      <c r="D4" s="1214">
        <v>99</v>
      </c>
      <c r="E4" s="1214">
        <v>100</v>
      </c>
      <c r="F4" s="1711">
        <v>99</v>
      </c>
      <c r="G4" s="1711">
        <v>98</v>
      </c>
      <c r="H4" s="1711">
        <v>97</v>
      </c>
      <c r="I4" s="1711">
        <v>96</v>
      </c>
      <c r="J4" s="1711">
        <v>95</v>
      </c>
      <c r="K4" s="1711">
        <v>94</v>
      </c>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70" t="s">
        <v>3138</v>
      </c>
      <c r="C5" s="1219">
        <v>13</v>
      </c>
      <c r="D5" s="1220">
        <v>3</v>
      </c>
      <c r="E5" s="2972" t="s">
        <v>3140</v>
      </c>
      <c r="F5" s="1714"/>
      <c r="G5" s="1714"/>
      <c r="H5" s="1714"/>
      <c r="I5" s="1714"/>
      <c r="J5" s="1714"/>
      <c r="K5" s="1714"/>
      <c r="L5" s="1715"/>
      <c r="M5" s="1716"/>
      <c r="N5" s="1716"/>
      <c r="O5" s="1714"/>
      <c r="P5" s="1714"/>
      <c r="Q5" s="1714"/>
      <c r="R5" s="1714"/>
      <c r="S5" s="1717"/>
      <c r="T5" s="1222">
        <v>1</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99</v>
      </c>
      <c r="E6" s="1122">
        <f t="shared" ref="E6:S6" si="7">D6-$T5</f>
        <v>98</v>
      </c>
      <c r="F6" s="1718">
        <f t="shared" si="7"/>
        <v>97</v>
      </c>
      <c r="G6" s="1718">
        <f t="shared" si="7"/>
        <v>96</v>
      </c>
      <c r="H6" s="1718">
        <f t="shared" si="7"/>
        <v>95</v>
      </c>
      <c r="I6" s="1718">
        <f t="shared" si="7"/>
        <v>94</v>
      </c>
      <c r="J6" s="1718">
        <f t="shared" si="7"/>
        <v>93</v>
      </c>
      <c r="K6" s="1718">
        <f t="shared" si="7"/>
        <v>92</v>
      </c>
      <c r="L6" s="1718">
        <f t="shared" si="7"/>
        <v>91</v>
      </c>
      <c r="M6" s="1718">
        <f t="shared" si="7"/>
        <v>90</v>
      </c>
      <c r="N6" s="1718">
        <f t="shared" si="7"/>
        <v>89</v>
      </c>
      <c r="O6" s="1718">
        <f t="shared" si="7"/>
        <v>88</v>
      </c>
      <c r="P6" s="1718">
        <f t="shared" si="7"/>
        <v>87</v>
      </c>
      <c r="Q6" s="1718">
        <f t="shared" si="7"/>
        <v>86</v>
      </c>
      <c r="R6" s="1718">
        <f t="shared" si="7"/>
        <v>85</v>
      </c>
      <c r="S6" s="1718">
        <f t="shared" si="7"/>
        <v>84</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3013</v>
      </c>
      <c r="B17" s="2919"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3015</v>
      </c>
      <c r="E19" s="1795"/>
      <c r="F19" s="1795"/>
      <c r="G19" s="1795"/>
      <c r="H19" s="1283"/>
      <c r="I19" s="168"/>
      <c r="J19" s="168"/>
      <c r="K19" s="168"/>
      <c r="L19" s="168"/>
      <c r="M19" s="168"/>
      <c r="N19" s="168"/>
      <c r="O19" s="168"/>
      <c r="P19" s="168"/>
      <c r="Q19" s="168"/>
      <c r="R19" s="788"/>
      <c r="S19" s="138"/>
    </row>
    <row r="20" spans="1:45" ht="16.5" thickBot="1">
      <c r="A20" s="715" t="s">
        <v>3016</v>
      </c>
      <c r="B20" s="338">
        <f>IF(D20="——",S22,S22-F20)</f>
        <v>79086</v>
      </c>
      <c r="C20" s="168"/>
      <c r="D20" s="2921" t="s">
        <v>70</v>
      </c>
      <c r="E20" s="1796"/>
      <c r="F20" s="1207" t="e">
        <f ca="1">SUMIF(INDIRECT("'"&amp;H20&amp;"'"&amp;"!A:A"),"承租人权益价值",INDIRECT("'"&amp;H20&amp;"'"&amp;"!c:c"))</f>
        <v>#REF!</v>
      </c>
      <c r="G20" s="1207" t="s">
        <v>3017</v>
      </c>
      <c r="H20" s="2922"/>
      <c r="I20" s="168"/>
      <c r="J20" s="168"/>
      <c r="K20" s="168"/>
      <c r="L20" s="168"/>
      <c r="M20" s="168"/>
      <c r="N20" s="168"/>
      <c r="O20" s="168"/>
      <c r="P20" s="168"/>
      <c r="Q20" s="168"/>
      <c r="R20" s="788"/>
      <c r="S20" s="138"/>
    </row>
    <row r="21" spans="1:45" ht="15.75">
      <c r="A21" s="715" t="s">
        <v>3018</v>
      </c>
      <c r="B21" s="338">
        <f>R22</f>
        <v>11036</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71660.160000000003</v>
      </c>
      <c r="C22" s="3074" t="s">
        <v>33</v>
      </c>
      <c r="D22" s="3075"/>
      <c r="E22" s="3075"/>
      <c r="F22" s="3075"/>
      <c r="G22" s="3075"/>
      <c r="H22" s="3075"/>
      <c r="I22" s="3075"/>
      <c r="J22" s="3075"/>
      <c r="K22" s="3075"/>
      <c r="L22" s="3075"/>
      <c r="M22" s="3075"/>
      <c r="N22" s="3075"/>
      <c r="O22" s="3075"/>
      <c r="P22" s="3075"/>
      <c r="Q22" s="3293"/>
      <c r="R22" s="716">
        <f>ROUND(S22*10000/B22,0)</f>
        <v>11036</v>
      </c>
      <c r="S22" s="24">
        <f>SUM(S24:S10000)</f>
        <v>79086</v>
      </c>
    </row>
    <row r="23" spans="1:45" s="12" customFormat="1" ht="24">
      <c r="A23" s="11" t="s">
        <v>3020</v>
      </c>
      <c r="B23" s="11" t="s">
        <v>3021</v>
      </c>
      <c r="C23" s="11" t="s">
        <v>3022</v>
      </c>
      <c r="D23" s="11" t="str">
        <f>B5</f>
        <v>总楼层</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13431</v>
      </c>
      <c r="C24" s="719">
        <v>1</v>
      </c>
      <c r="D24" s="720">
        <v>3</v>
      </c>
      <c r="E24" s="719">
        <v>1</v>
      </c>
      <c r="F24" s="720"/>
      <c r="G24" s="719">
        <v>1</v>
      </c>
      <c r="H24" s="720"/>
      <c r="I24" s="719">
        <v>1</v>
      </c>
      <c r="J24" s="720"/>
      <c r="K24" s="719">
        <v>1</v>
      </c>
      <c r="L24" s="720"/>
      <c r="M24" s="719">
        <v>1</v>
      </c>
      <c r="N24" s="720"/>
      <c r="O24" s="719">
        <v>1</v>
      </c>
      <c r="P24" s="720"/>
      <c r="Q24" s="719">
        <v>1</v>
      </c>
      <c r="R24" s="721">
        <f>'比较法-办公'!C50</f>
        <v>11037</v>
      </c>
      <c r="S24" s="719">
        <f t="shared" ref="S24:S54" si="11">ROUND(R24*B24/10000,0)</f>
        <v>14824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3130</v>
      </c>
      <c r="B25" s="59">
        <v>25728.7</v>
      </c>
      <c r="C25" s="24">
        <f>IF(B25="",1,(LOOKUP(B25,$3:$3,$4:$4)-LOOKUP($B$24,$3:$3,$4:$4)+100)/100)</f>
        <v>0.99</v>
      </c>
      <c r="D25" s="720">
        <v>13</v>
      </c>
      <c r="E25" s="2971">
        <f>(SUMIF($5:$5,D25,$6:$6)-SUMIF($5:$5,$D$24,$6:$6)+100)/100</f>
        <v>1.01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11036</v>
      </c>
      <c r="S25" s="361">
        <f t="shared" si="11"/>
        <v>28394</v>
      </c>
    </row>
    <row r="26" spans="1:45">
      <c r="A26" s="159" t="s">
        <v>3131</v>
      </c>
      <c r="B26" s="59">
        <v>32500.46</v>
      </c>
      <c r="C26" s="24">
        <f t="shared" ref="C26:C89" si="12">IF(B26="",1,(LOOKUP(B26,$3:$3,$4:$4)-LOOKUP($B$24,$3:$3,$4:$4)+100)/100)</f>
        <v>0.99</v>
      </c>
      <c r="D26" s="720">
        <v>13</v>
      </c>
      <c r="E26" s="2971">
        <f t="shared" ref="E26:E89" si="13">(SUMIF($5:$5,D26,$6:$6)-SUMIF($5:$5,$D$24,$6:$6)+100)/100</f>
        <v>1.01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11036</v>
      </c>
      <c r="S26" s="361">
        <f t="shared" si="11"/>
        <v>35868</v>
      </c>
    </row>
    <row r="27" spans="1:45">
      <c r="A27" s="159"/>
      <c r="B27" s="59"/>
      <c r="C27" s="24">
        <f t="shared" si="12"/>
        <v>1</v>
      </c>
      <c r="D27" s="720"/>
      <c r="E27" s="24">
        <f t="shared" si="13"/>
        <v>0.01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0.01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0.01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0.01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0.01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0.01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0.01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0.01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0.01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0.01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0.01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0.01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0.01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0.01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0.01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0.01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0.01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0.01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0.01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0.01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0.01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4"/>
      <c r="B4" s="2977" t="s">
        <v>1626</v>
      </c>
      <c r="C4" s="2977"/>
      <c r="D4" s="2977"/>
      <c r="E4" s="1964"/>
    </row>
    <row r="5" spans="1:5" ht="16.5" thickTop="1">
      <c r="A5" s="1962"/>
      <c r="B5" s="2975" t="s">
        <v>1618</v>
      </c>
      <c r="C5" s="1965" t="s">
        <v>1619</v>
      </c>
      <c r="D5" s="1043">
        <f ca="1">结果表!H101</f>
        <v>80073</v>
      </c>
      <c r="E5" s="1962"/>
    </row>
    <row r="6" spans="1:5" ht="15.75">
      <c r="A6" s="1962"/>
      <c r="B6" s="2975"/>
      <c r="C6" s="1965" t="s">
        <v>1620</v>
      </c>
      <c r="D6" s="1043" t="str">
        <f ca="1">NUMBERSTRING(INT(D5*10000),2)&amp;"元整"</f>
        <v>捌亿零柒拾叁万元整</v>
      </c>
      <c r="E6" s="1962"/>
    </row>
    <row r="7" spans="1:5" ht="15.75">
      <c r="A7" s="1962"/>
      <c r="B7" s="2980"/>
      <c r="C7" s="1966" t="s">
        <v>1621</v>
      </c>
      <c r="D7" s="1044">
        <f ca="1">结果表!H102</f>
        <v>11174</v>
      </c>
      <c r="E7" s="1962"/>
    </row>
    <row r="8" spans="1:5" ht="15.75">
      <c r="A8" s="1962"/>
      <c r="B8" s="2981" t="str">
        <f>结果表!E103</f>
        <v>2.估价师知悉的法定优先受偿款</v>
      </c>
      <c r="C8" s="1967" t="s">
        <v>1622</v>
      </c>
      <c r="D8" s="1044">
        <f>结果表!H103</f>
        <v>0</v>
      </c>
      <c r="E8" s="1962"/>
    </row>
    <row r="9" spans="1:5" ht="15.75">
      <c r="A9" s="1962"/>
      <c r="B9" s="298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74" t="str">
        <f>结果表!E107</f>
        <v>3.房地产抵押价值</v>
      </c>
      <c r="C13" s="1970" t="s">
        <v>1619</v>
      </c>
      <c r="D13" s="1046">
        <f ca="1">结果表!H107</f>
        <v>80073</v>
      </c>
      <c r="E13" s="1962"/>
    </row>
    <row r="14" spans="1:5" ht="15.75">
      <c r="A14" s="1962"/>
      <c r="B14" s="2975"/>
      <c r="C14" s="1965" t="s">
        <v>1620</v>
      </c>
      <c r="D14" s="1043" t="str">
        <f ca="1">NUMBERSTRING(INT(D13*10000),2)&amp;"元整"</f>
        <v>捌亿零柒拾叁万元整</v>
      </c>
      <c r="E14" s="1962"/>
    </row>
    <row r="15" spans="1:5" ht="15">
      <c r="A15" s="1962"/>
      <c r="B15" s="2980"/>
      <c r="C15" s="1966" t="s">
        <v>1630</v>
      </c>
      <c r="D15" s="1055">
        <f ca="1">结果表!H108</f>
        <v>11174</v>
      </c>
      <c r="E15" s="1962"/>
    </row>
    <row r="16" spans="1:5" ht="15">
      <c r="A16" s="1962"/>
      <c r="B16" s="2981" t="str">
        <f>结果表!E109</f>
        <v>——</v>
      </c>
      <c r="C16" s="1970" t="s">
        <v>1631</v>
      </c>
      <c r="D16" s="1971" t="str">
        <f>结果表!H109</f>
        <v>——</v>
      </c>
      <c r="E16" s="1962"/>
    </row>
    <row r="17" spans="1:5" ht="15.75">
      <c r="A17" s="1962"/>
      <c r="B17" s="2982"/>
      <c r="C17" s="1965" t="s">
        <v>1632</v>
      </c>
      <c r="D17" s="1043" t="e">
        <f>NUMBERSTRING(INT(D16*10000),2)&amp;"元整"</f>
        <v>#VALUE!</v>
      </c>
      <c r="E17" s="1962"/>
    </row>
    <row r="18" spans="1:5" ht="15">
      <c r="A18" s="1962"/>
      <c r="B18" s="2983"/>
      <c r="C18" s="1966" t="s">
        <v>1621</v>
      </c>
      <c r="D18" s="1055" t="str">
        <f>结果表!H110</f>
        <v>——</v>
      </c>
      <c r="E18" s="1962"/>
    </row>
    <row r="19" spans="1:5" ht="15.75">
      <c r="A19" s="1962"/>
      <c r="B19" s="2974" t="str">
        <f>结果表!E111</f>
        <v>——</v>
      </c>
      <c r="C19" s="1970" t="s">
        <v>1619</v>
      </c>
      <c r="D19" s="1044" t="str">
        <f>结果表!H111</f>
        <v>——</v>
      </c>
      <c r="E19" s="1962"/>
    </row>
    <row r="20" spans="1:5" ht="15.75">
      <c r="A20" s="1962"/>
      <c r="B20" s="2975"/>
      <c r="C20" s="1965" t="s">
        <v>1632</v>
      </c>
      <c r="D20" s="1043" t="e">
        <f>NUMBERSTRING(INT(D19*10000),2)&amp;"元整"</f>
        <v>#VALUE!</v>
      </c>
      <c r="E20" s="1962"/>
    </row>
    <row r="21" spans="1:5" ht="15.75" thickBot="1">
      <c r="A21" s="1962"/>
      <c r="B21" s="297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70650</v>
      </c>
      <c r="C2" s="2" t="s">
        <v>133</v>
      </c>
      <c r="D2" s="243"/>
      <c r="E2" s="243"/>
      <c r="F2" s="243"/>
      <c r="G2" s="243"/>
    </row>
    <row r="3" spans="1:7" s="244" customFormat="1" ht="18" customHeight="1" thickBot="1">
      <c r="A3" s="247" t="s">
        <v>85</v>
      </c>
      <c r="B3" s="248">
        <f ca="1">ROUND(B2*10000/'数据-汇总表'!E3,0)</f>
        <v>7287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20605</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605</v>
      </c>
      <c r="D7" s="264"/>
      <c r="E7" s="262"/>
      <c r="F7" s="265">
        <f>'数据-取费表'!B48+'数据-取费表'!B49</f>
        <v>3.0249999999999999E-2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873</v>
      </c>
      <c r="D10" s="1035">
        <f>'数据-汇总表'!E6</f>
        <v>96955.040000000008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1939</v>
      </c>
      <c r="D19" s="1039">
        <f>'数据-汇总表'!E3</f>
        <v>96955.040000000008</v>
      </c>
      <c r="E19" s="255">
        <f>'数据-取费表'!B31</f>
        <v>200</v>
      </c>
      <c r="F19" s="275"/>
      <c r="G19" s="1" t="s">
        <v>1071</v>
      </c>
    </row>
    <row r="20" spans="1:7" s="258" customFormat="1" ht="13.5" customHeight="1">
      <c r="A20" s="951" t="s">
        <v>1054</v>
      </c>
      <c r="B20" s="254" t="s">
        <v>104</v>
      </c>
      <c r="C20" s="276">
        <f>ROUND((C5+C19)*F20,0)</f>
        <v>451</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2214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189</v>
      </c>
      <c r="D24" s="282"/>
      <c r="E24" s="282"/>
      <c r="F24" s="283"/>
      <c r="G24" s="284" t="s">
        <v>109</v>
      </c>
    </row>
    <row r="25" spans="1:7" s="258" customFormat="1" ht="24">
      <c r="A25" s="954" t="s">
        <v>793</v>
      </c>
      <c r="B25" s="259" t="s">
        <v>1055</v>
      </c>
      <c r="C25" s="1358">
        <f ca="1">ROUND(IF('数据-取费表'!B22&lt;=1,C20*F22*'数据-取费表'!B23/2,C20*(POWER((1+F22),'数据-取费表'!B23/2)-1)),0)</f>
        <v>21</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3449</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3449</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31028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32113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28875</v>
      </c>
      <c r="D34" s="261"/>
      <c r="E34" s="264"/>
      <c r="F34" s="301">
        <f>IF('数据-取费表'!B24=0,1,'数据-取费表'!N16)</f>
        <v>1</v>
      </c>
      <c r="G34" s="263" t="s">
        <v>116</v>
      </c>
    </row>
    <row r="35" spans="1:7" ht="13.5" customHeight="1">
      <c r="A35" s="954" t="s">
        <v>796</v>
      </c>
      <c r="B35" s="259" t="s">
        <v>60</v>
      </c>
      <c r="C35" s="264">
        <f>ROUND(C34*F35,0)</f>
        <v>866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1939</v>
      </c>
      <c r="D37" s="261">
        <f>'数据-汇总表'!E3</f>
        <v>96955.040000000008</v>
      </c>
      <c r="E37" s="293">
        <f>'数据-取费表'!B35</f>
        <v>200</v>
      </c>
      <c r="F37" s="303"/>
      <c r="G37" s="305" t="s">
        <v>119</v>
      </c>
    </row>
    <row r="38" spans="1:7" ht="13.5" customHeight="1">
      <c r="A38" s="954" t="s">
        <v>799</v>
      </c>
      <c r="B38" s="259" t="s">
        <v>63</v>
      </c>
      <c r="C38" s="264">
        <f>ROUND(C34*F38,0)</f>
        <v>433</v>
      </c>
      <c r="D38" s="264"/>
      <c r="E38" s="264"/>
      <c r="F38" s="303">
        <f>'数据-取费表'!B36</f>
        <v>1.4999999999999999E-2</v>
      </c>
      <c r="G38" s="263" t="s">
        <v>117</v>
      </c>
    </row>
    <row r="39" spans="1:7" s="258" customFormat="1" ht="13.5" customHeight="1">
      <c r="A39" s="951" t="s">
        <v>783</v>
      </c>
      <c r="B39" s="254" t="s">
        <v>104</v>
      </c>
      <c r="C39" s="276">
        <f>ROUND(C33*F20,0)</f>
        <v>642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1555</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1525</v>
      </c>
      <c r="D42" s="282"/>
      <c r="E42" s="282"/>
      <c r="F42" s="283"/>
      <c r="G42" s="3159" t="s">
        <v>121</v>
      </c>
    </row>
    <row r="43" spans="1:7" ht="13.5" customHeight="1">
      <c r="A43" s="954" t="s">
        <v>792</v>
      </c>
      <c r="B43" s="259" t="s">
        <v>1061</v>
      </c>
      <c r="C43" s="282">
        <f ca="1">ROUND(IF('数据-取费表'!B22&lt;=1,C39*F22*'数据-取费表'!B21/2,C39*(POWER((1+F22),'数据-取费表'!B21/2)-1)),0)</f>
        <v>30</v>
      </c>
      <c r="D43" s="282"/>
      <c r="E43" s="282"/>
      <c r="F43" s="283"/>
      <c r="G43" s="3160"/>
    </row>
    <row r="44" spans="1:7" ht="13.5" customHeight="1">
      <c r="A44" s="954" t="s">
        <v>793</v>
      </c>
      <c r="B44" s="259" t="s">
        <v>1063</v>
      </c>
      <c r="C44" s="282">
        <f ca="1">ROUND(IF('数据-取费表'!B22&lt;=1,C40*F22*'数据-取费表'!B21/2,C40*(POWER((1+F22),'数据-取费表'!B21/2)-1)),4)</f>
        <v>1E-3</v>
      </c>
      <c r="D44" s="282"/>
      <c r="E44" s="282"/>
      <c r="F44" s="283"/>
      <c r="G44" s="3161"/>
    </row>
    <row r="45" spans="1:7" s="258" customFormat="1" ht="13.5" customHeight="1">
      <c r="A45" s="951" t="s">
        <v>786</v>
      </c>
      <c r="B45" s="288" t="s">
        <v>112</v>
      </c>
      <c r="C45" s="289">
        <f>C46</f>
        <v>4913</v>
      </c>
      <c r="D45" s="279">
        <f>C47</f>
        <v>3.0000000000000001E-3</v>
      </c>
      <c r="E45" s="280" t="s">
        <v>129</v>
      </c>
      <c r="F45" s="290"/>
      <c r="G45" s="291" t="s">
        <v>1069</v>
      </c>
    </row>
    <row r="46" spans="1:7" s="258" customFormat="1" ht="13.5" customHeight="1">
      <c r="A46" s="954" t="s">
        <v>794</v>
      </c>
      <c r="B46" s="292" t="s">
        <v>1062</v>
      </c>
      <c r="C46" s="293">
        <f>ROUND((C33+C39)*F27,0)</f>
        <v>4913</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42467</v>
      </c>
      <c r="D49" s="276"/>
      <c r="E49" s="276"/>
      <c r="F49" s="308"/>
      <c r="G49" s="278" t="s">
        <v>1070</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39622</v>
      </c>
      <c r="D51" s="276"/>
      <c r="E51" s="276"/>
      <c r="F51" s="308"/>
      <c r="G51" s="278" t="s">
        <v>64</v>
      </c>
    </row>
    <row r="52" spans="1:7" s="252" customFormat="1" ht="16.5" thickBot="1">
      <c r="A52" s="309" t="s">
        <v>65</v>
      </c>
      <c r="B52" s="310"/>
      <c r="C52" s="311">
        <f ca="1">C31+C51</f>
        <v>70650</v>
      </c>
      <c r="D52" s="310"/>
      <c r="E52" s="310"/>
      <c r="F52" s="310"/>
      <c r="G52" s="312"/>
    </row>
    <row r="55" spans="1:7" ht="15">
      <c r="B55" s="314" t="s">
        <v>66</v>
      </c>
      <c r="C55" s="315"/>
    </row>
    <row r="56" spans="1:7">
      <c r="B56" s="317" t="s">
        <v>67</v>
      </c>
      <c r="C56" s="318">
        <f ca="1">ROUND(C51/C52,3)</f>
        <v>0.56100000000000005</v>
      </c>
    </row>
    <row r="57" spans="1:7">
      <c r="B57" s="317" t="s">
        <v>68</v>
      </c>
      <c r="C57" s="319">
        <f ca="1">1-C56</f>
        <v>0.43899999999999995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868</v>
      </c>
      <c r="B1" s="329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43536</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B45" sqref="B4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1637</v>
      </c>
      <c r="B2" s="2985" t="s">
        <v>1638</v>
      </c>
      <c r="C2" s="2985" t="s">
        <v>1639</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86"/>
      <c r="B3" s="2986"/>
      <c r="C3" s="2986"/>
      <c r="D3" s="1047" t="s">
        <v>1634</v>
      </c>
      <c r="E3" s="1047" t="s">
        <v>1640</v>
      </c>
      <c r="F3" s="1047" t="s">
        <v>1634</v>
      </c>
      <c r="G3" s="1047" t="s">
        <v>1635</v>
      </c>
      <c r="H3" s="1047" t="s">
        <v>1634</v>
      </c>
      <c r="I3" s="1047" t="s">
        <v>1635</v>
      </c>
    </row>
    <row r="4" spans="1:9" ht="30">
      <c r="A4" s="1976" t="str">
        <f>项目基本情况!S2</f>
        <v>浙江省宁波市象山县丹东街道天安路999号房地产</v>
      </c>
      <c r="B4" s="1047">
        <f>项目基本情况!C17</f>
        <v>96955.040000000008</v>
      </c>
      <c r="C4" s="1047">
        <f>项目基本情况!C18</f>
        <v>96248.76</v>
      </c>
      <c r="D4" s="1047" t="e">
        <f ca="1">结果表!D118</f>
        <v>#REF!</v>
      </c>
      <c r="E4" s="1047" t="e">
        <f ca="1">结果表!E118</f>
        <v>#REF!</v>
      </c>
      <c r="F4" s="1047" t="e">
        <f ca="1">结果表!F118</f>
        <v>#REF!</v>
      </c>
      <c r="G4" s="1047" t="e">
        <f ca="1">结果表!G118</f>
        <v>#REF!</v>
      </c>
      <c r="H4" s="1047">
        <f ca="1">结果表!H118</f>
        <v>80073</v>
      </c>
      <c r="I4" s="1047">
        <f ca="1">结果表!I118</f>
        <v>11174</v>
      </c>
    </row>
    <row r="5" spans="1:9" ht="30" customHeight="1">
      <c r="A5" s="2986" t="s">
        <v>1636</v>
      </c>
      <c r="B5" s="2986"/>
      <c r="C5" s="2986"/>
      <c r="D5" s="2987" t="e">
        <f ca="1">结果表!D119</f>
        <v>#REF!</v>
      </c>
      <c r="E5" s="2987"/>
      <c r="F5" s="2987" t="e">
        <f ca="1">结果表!F119</f>
        <v>#REF!</v>
      </c>
      <c r="G5" s="2987"/>
      <c r="H5" s="2987" t="str">
        <f ca="1">结果表!H119</f>
        <v>捌亿零柒拾叁万元整</v>
      </c>
      <c r="I5" s="2987"/>
    </row>
    <row r="6" spans="1:9" ht="15.75">
      <c r="A6" s="2988" t="str">
        <f>结果表!A120</f>
        <v>估价师知悉的法定优先受偿款</v>
      </c>
      <c r="B6" s="2988"/>
      <c r="C6" s="2988"/>
      <c r="D6" s="2988">
        <f>结果表!D120</f>
        <v>0</v>
      </c>
      <c r="E6" s="2988"/>
      <c r="F6" s="2988"/>
      <c r="G6" s="2988"/>
      <c r="H6" s="2988"/>
      <c r="I6" s="2988"/>
    </row>
    <row r="7" spans="1:9" ht="15">
      <c r="A7" s="2986" t="s">
        <v>1636</v>
      </c>
      <c r="B7" s="2986"/>
      <c r="C7" s="2986"/>
      <c r="D7" s="2989" t="str">
        <f>结果表!D121</f>
        <v>零元整</v>
      </c>
      <c r="E7" s="2990"/>
      <c r="F7" s="2990"/>
      <c r="G7" s="2990"/>
      <c r="H7" s="2990"/>
      <c r="I7" s="2991"/>
    </row>
    <row r="8" spans="1:9" ht="15.75">
      <c r="A8" s="2988" t="str">
        <f>结果表!A122</f>
        <v>房地产抵押价值</v>
      </c>
      <c r="B8" s="2988"/>
      <c r="C8" s="2988"/>
      <c r="D8" s="2988">
        <f ca="1">结果表!D122</f>
        <v>80073</v>
      </c>
      <c r="E8" s="2988"/>
      <c r="F8" s="2988"/>
      <c r="G8" s="2988"/>
      <c r="H8" s="2988"/>
      <c r="I8" s="2988"/>
    </row>
    <row r="9" spans="1:9" ht="15">
      <c r="A9" s="2986" t="s">
        <v>1636</v>
      </c>
      <c r="B9" s="2986"/>
      <c r="C9" s="2986"/>
      <c r="D9" s="2987" t="str">
        <f ca="1">结果表!D123</f>
        <v>捌亿零柒拾叁万元整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1636</v>
      </c>
      <c r="B11" s="2986"/>
      <c r="C11" s="2986"/>
      <c r="D11" s="2987" t="e">
        <f>结果表!D125</f>
        <v>#VALUE!</v>
      </c>
      <c r="E11" s="2987"/>
      <c r="F11" s="2987"/>
      <c r="G11" s="2987"/>
      <c r="H11" s="2987"/>
      <c r="I11" s="2987"/>
    </row>
    <row r="12" spans="1:9" ht="15.75">
      <c r="A12" s="2988" t="str">
        <f>结果表!A126</f>
        <v/>
      </c>
      <c r="B12" s="2988"/>
      <c r="C12" s="2988"/>
      <c r="D12" s="2988" t="str">
        <f>结果表!D126</f>
        <v>——</v>
      </c>
      <c r="E12" s="2988"/>
      <c r="F12" s="2988"/>
      <c r="G12" s="2988"/>
      <c r="H12" s="2988"/>
      <c r="I12" s="2988"/>
    </row>
    <row r="13" spans="1:9" ht="15.75" thickBot="1">
      <c r="A13" s="2992" t="s">
        <v>1636</v>
      </c>
      <c r="B13" s="2992"/>
      <c r="C13" s="2992"/>
      <c r="D13" s="2993" t="e">
        <f>结果表!D127</f>
        <v>#VALUE!</v>
      </c>
      <c r="E13" s="2993"/>
      <c r="F13" s="2993"/>
      <c r="G13" s="2993"/>
      <c r="H13" s="2993"/>
      <c r="I13" s="2993"/>
    </row>
    <row r="14" spans="1:9" ht="15" thickTop="1">
      <c r="A14" s="2994" t="s">
        <v>1641</v>
      </c>
      <c r="B14" s="2994"/>
      <c r="C14" s="2994"/>
      <c r="D14" s="2994"/>
      <c r="E14" s="2994"/>
      <c r="F14" s="2994"/>
      <c r="G14" s="2994"/>
      <c r="H14" s="2994"/>
      <c r="I14" s="2994"/>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5" t="s">
        <v>1658</v>
      </c>
      <c r="B1" s="2995"/>
      <c r="C1" s="2995"/>
      <c r="D1" s="2995"/>
    </row>
    <row r="2" spans="1:4" ht="18">
      <c r="A2" s="2996" t="s">
        <v>1642</v>
      </c>
      <c r="B2" s="2996"/>
      <c r="C2" s="2996"/>
      <c r="D2" s="2996"/>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2996" t="s">
        <v>1648</v>
      </c>
      <c r="B6" s="2996"/>
      <c r="C6" s="2996"/>
      <c r="D6" s="2996"/>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7" t="s">
        <v>1651</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8" t="str">
        <f>IF(项目基本情况!B8="抵押","4.本次评估估价师所知悉的法定优先受偿款情况说明如下：","——")</f>
        <v>4.本次评估估价师所知悉的法定优先受偿款情况说明如下：</v>
      </c>
      <c r="B14" s="2999"/>
      <c r="C14" s="2999"/>
      <c r="D14" s="2999"/>
    </row>
    <row r="15" spans="1:4" ht="42" customHeight="1">
      <c r="A15" s="2998" t="str">
        <f>IF(项目基本情况!B8="抵押","（1）"&amp;CONCATENATE(项目基本情况!L20,项目基本情况!L21,项目基本情况!L22),"——")</f>
        <v>（1）根据估价对象《房屋所有权证》原件、《国有土地使用权》复印件，截至价值时点，估价对象抵押权未见登记。</v>
      </c>
      <c r="B15" s="2998"/>
      <c r="C15" s="2998"/>
      <c r="D15" s="2998"/>
    </row>
    <row r="16" spans="1:4" ht="30" customHeight="1">
      <c r="A16" s="3001" t="s">
        <v>1652</v>
      </c>
      <c r="B16" s="3001"/>
      <c r="C16" s="3001"/>
      <c r="D16" s="3001"/>
    </row>
    <row r="17" spans="1:4" ht="144" customHeight="1">
      <c r="A17" s="3001" t="s">
        <v>1653</v>
      </c>
      <c r="B17" s="3001"/>
      <c r="C17" s="3001"/>
      <c r="D17" s="3001"/>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1654</v>
      </c>
      <c r="B22" s="3003"/>
      <c r="C22" s="3003"/>
      <c r="D22" s="3003"/>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00">
        <v>42551</v>
      </c>
      <c r="D31" s="30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9" t="s">
        <v>1665</v>
      </c>
      <c r="B15" s="3004" t="s">
        <v>136</v>
      </c>
      <c r="C15" s="3005"/>
    </row>
    <row r="16" spans="1:7" ht="13.5">
      <c r="A16" s="3010"/>
      <c r="B16" s="3004" t="s">
        <v>69</v>
      </c>
      <c r="C16" s="3005"/>
    </row>
    <row r="17" spans="1:3" ht="13.5">
      <c r="A17" s="3010"/>
      <c r="B17" s="3007" t="s">
        <v>1666</v>
      </c>
      <c r="C17" s="2003" t="s">
        <v>1665</v>
      </c>
    </row>
    <row r="18" spans="1:3" ht="13.5">
      <c r="A18" s="3010"/>
      <c r="B18" s="3007"/>
      <c r="C18" s="2003" t="s">
        <v>1667</v>
      </c>
    </row>
    <row r="19" spans="1:3" ht="13.5">
      <c r="A19" s="3010"/>
      <c r="B19" s="3007"/>
      <c r="C19" s="2003" t="s">
        <v>1668</v>
      </c>
    </row>
    <row r="20" spans="1:3" ht="13.5">
      <c r="A20" s="3011"/>
      <c r="B20" s="3006" t="s">
        <v>1669</v>
      </c>
      <c r="C20" s="3005"/>
    </row>
    <row r="21" spans="1:3" ht="13.5">
      <c r="A21" s="2004" t="s">
        <v>1670</v>
      </c>
      <c r="B21" s="2005"/>
      <c r="C21" s="2006"/>
    </row>
    <row r="22" spans="1:3" ht="13.5">
      <c r="A22" s="3008" t="s">
        <v>1671</v>
      </c>
      <c r="B22" s="3006" t="s">
        <v>1672</v>
      </c>
      <c r="C22" s="3005"/>
    </row>
    <row r="23" spans="1:3" ht="13.5">
      <c r="A23" s="3008"/>
      <c r="B23" s="3006" t="s">
        <v>1673</v>
      </c>
      <c r="C23" s="3005"/>
    </row>
    <row r="24" spans="1:3" ht="13.5">
      <c r="A24" s="3008"/>
      <c r="B24" s="3006" t="s">
        <v>1674</v>
      </c>
      <c r="C24" s="3005"/>
    </row>
    <row r="25" spans="1:3" ht="13.5">
      <c r="A25" s="3008"/>
      <c r="B25" s="3007" t="s">
        <v>1675</v>
      </c>
      <c r="C25" s="2003" t="s">
        <v>1676</v>
      </c>
    </row>
    <row r="26" spans="1:3" ht="13.5">
      <c r="A26" s="3008"/>
      <c r="B26" s="3007"/>
      <c r="C26" s="2003" t="s">
        <v>1677</v>
      </c>
    </row>
    <row r="27" spans="1:3" ht="13.5">
      <c r="A27" s="3008"/>
      <c r="B27" s="3007"/>
      <c r="C27" s="2003" t="s">
        <v>1678</v>
      </c>
    </row>
    <row r="28" spans="1:3" ht="13.5">
      <c r="A28" s="3008"/>
      <c r="B28" s="3007"/>
      <c r="C28" s="2003" t="s">
        <v>1679</v>
      </c>
    </row>
    <row r="29" spans="1:3" ht="13.5">
      <c r="A29" s="3008"/>
      <c r="B29" s="3007"/>
      <c r="C29" s="2003" t="s">
        <v>1680</v>
      </c>
    </row>
    <row r="30" spans="1:3" ht="13.5">
      <c r="A30" s="3008"/>
      <c r="B30" s="3007"/>
      <c r="C30" s="2003" t="s">
        <v>1681</v>
      </c>
    </row>
    <row r="31" spans="1:3" ht="13.5">
      <c r="A31" s="3008"/>
      <c r="B31" s="3007"/>
      <c r="C31" s="2003" t="s">
        <v>1682</v>
      </c>
    </row>
    <row r="32" spans="1:3" ht="13.5">
      <c r="A32" s="3008"/>
      <c r="B32" s="3007"/>
      <c r="C32" s="2003" t="s">
        <v>1683</v>
      </c>
    </row>
    <row r="33" spans="1:3" ht="13.5">
      <c r="A33" s="3008"/>
      <c r="B33" s="300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43559</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t="str">
        <f ca="1">IF(C10&lt;B2,"已过期",1120060040)</f>
        <v>已过期</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938"/>
      <c r="D12" s="1705"/>
      <c r="E12" s="1025"/>
      <c r="F12" s="1033"/>
    </row>
    <row r="13" spans="1:6" ht="24" customHeight="1">
      <c r="A13" s="1705" t="s">
        <v>840</v>
      </c>
      <c r="B13" s="1025">
        <f ca="1">IF(C13&lt;B2,"已过期",1120070131)</f>
        <v>1120070131</v>
      </c>
      <c r="C13" s="2347">
        <v>43814</v>
      </c>
      <c r="D13" s="2350" t="s">
        <v>840</v>
      </c>
      <c r="E13" s="1025">
        <f ca="1">IF(F13&lt;B2,"已过期",2014110011)</f>
        <v>2014110011</v>
      </c>
      <c r="F13" s="1033">
        <v>49302</v>
      </c>
    </row>
    <row r="14" spans="1:6" ht="24" customHeight="1">
      <c r="A14" s="1705" t="s">
        <v>3043</v>
      </c>
      <c r="B14" s="1025">
        <f ca="1">IF(C14&lt;B2,"已过期",1120040230)</f>
        <v>1120040230</v>
      </c>
      <c r="C14" s="2347">
        <v>43835</v>
      </c>
      <c r="D14" s="2350" t="s">
        <v>3043</v>
      </c>
      <c r="E14" s="1025">
        <f ca="1">IF(F14&lt;B2,"已过期",98030020)</f>
        <v>98030020</v>
      </c>
      <c r="F14" s="1033">
        <v>47118</v>
      </c>
    </row>
    <row r="15" spans="1:6" ht="24" customHeight="1">
      <c r="A15" s="1706" t="s">
        <v>3044</v>
      </c>
      <c r="B15" s="1025">
        <f ca="1">IF(C15&lt;B2,"已过期",1120070085)</f>
        <v>1120070085</v>
      </c>
      <c r="C15" s="2347">
        <v>43814</v>
      </c>
      <c r="D15" s="2351" t="s">
        <v>3044</v>
      </c>
      <c r="E15" s="1025">
        <f ca="1">IF(F15&lt;B2,"已过期",2004110128)</f>
        <v>2004110128</v>
      </c>
      <c r="F15" s="1026">
        <v>47118</v>
      </c>
    </row>
    <row r="16" spans="1:6" ht="24" customHeight="1">
      <c r="A16" s="1705" t="s">
        <v>3045</v>
      </c>
      <c r="B16" s="1025">
        <f ca="1">IF(C16&lt;B2,"已过期",1120140022)</f>
        <v>1120140022</v>
      </c>
      <c r="C16" s="2938">
        <v>44029</v>
      </c>
      <c r="D16" s="2350" t="s">
        <v>3045</v>
      </c>
      <c r="E16" s="1025">
        <f ca="1">IF(F16&lt;B2,"已过期",2008110059)</f>
        <v>2008110059</v>
      </c>
      <c r="F16" s="1033">
        <v>47177</v>
      </c>
    </row>
    <row r="17" spans="1:7" ht="24" customHeight="1">
      <c r="A17" s="1705"/>
      <c r="B17" s="1025"/>
      <c r="C17" s="2347"/>
      <c r="D17" s="2350" t="s">
        <v>3046</v>
      </c>
      <c r="E17" s="1025">
        <f ca="1">IF(F17&lt;B2,"已过期",2014110076)</f>
        <v>2014110076</v>
      </c>
      <c r="F17" s="1033">
        <v>49302</v>
      </c>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841</v>
      </c>
      <c r="E21" s="1025">
        <f ca="1">IF(F21&lt;B2,"已过期",2011110090)</f>
        <v>2011110090</v>
      </c>
      <c r="F21" s="1033">
        <v>48302</v>
      </c>
    </row>
    <row r="22" spans="1:7" ht="24" customHeight="1">
      <c r="A22" s="1705" t="s">
        <v>842</v>
      </c>
      <c r="B22" s="1025">
        <f ca="1">IF(C22&lt;B2,"已过期",1120020033)</f>
        <v>1120020033</v>
      </c>
      <c r="C22" s="2938">
        <v>44339</v>
      </c>
      <c r="D22" s="2350" t="s">
        <v>842</v>
      </c>
      <c r="E22" s="1025">
        <f ca="1">IF(F22&lt;B2,"已过期",2000110137)</f>
        <v>2000110137</v>
      </c>
      <c r="F22" s="1033">
        <v>46387</v>
      </c>
    </row>
    <row r="23" spans="1:7" ht="24" customHeight="1">
      <c r="A23" s="1705"/>
      <c r="B23" s="1025"/>
      <c r="C23" s="2347"/>
      <c r="D23" s="2350"/>
      <c r="E23" s="1025"/>
      <c r="F23" s="1025"/>
    </row>
    <row r="24" spans="1:7" s="1027" customFormat="1" ht="24" customHeight="1">
      <c r="A24" s="1706" t="s">
        <v>1329</v>
      </c>
      <c r="B24" s="1706" t="s">
        <v>1329</v>
      </c>
      <c r="C24" s="2348" t="s">
        <v>1329</v>
      </c>
      <c r="D24" s="2351" t="s">
        <v>1329</v>
      </c>
      <c r="E24" s="1706" t="s">
        <v>1329</v>
      </c>
      <c r="F24" s="1706" t="s">
        <v>1329</v>
      </c>
    </row>
    <row r="25" spans="1:7" ht="24" customHeight="1">
      <c r="A25" s="3012" t="s">
        <v>843</v>
      </c>
      <c r="B25" s="3012"/>
      <c r="C25" s="3012"/>
      <c r="D25" s="3012"/>
      <c r="E25" s="3012"/>
      <c r="F25" s="3012"/>
      <c r="G25" s="3012"/>
    </row>
    <row r="26" spans="1:7" s="1028" customFormat="1" ht="24" customHeight="1">
      <c r="A26" s="3013" t="s">
        <v>844</v>
      </c>
      <c r="B26" s="3013"/>
      <c r="C26" s="3014"/>
      <c r="D26" s="3015" t="s">
        <v>845</v>
      </c>
      <c r="E26" s="3013"/>
      <c r="F26" s="3013"/>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比较烦案例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2019-04-04T07:46:26Z</dcterms:modified>
</cp:coreProperties>
</file>