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U6" i="1"/>
  <c r="Q6" i="1"/>
  <c r="N6" i="1"/>
  <c r="B21" i="1"/>
  <c r="G1" i="68"/>
  <c r="D10" i="68"/>
  <c r="C10" i="68"/>
  <c r="B29" i="1"/>
  <c r="Y6" i="1"/>
  <c r="B59" i="1"/>
  <c r="G19" i="6"/>
  <c r="F19" i="6"/>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D9" i="68"/>
  <c r="C9" i="68"/>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M22" i="67"/>
  <c r="L47" i="67"/>
  <c r="M26" i="15"/>
  <c r="AO9" i="1"/>
  <c r="M28" i="15"/>
  <c r="C19" i="68"/>
  <c r="C20" i="68"/>
  <c r="D5" i="73"/>
  <c r="D6" i="73"/>
  <c r="K1"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C76" i="15"/>
  <c r="F6" i="15"/>
  <c r="M23" i="15"/>
  <c r="J15" i="15"/>
  <c r="B3" i="68"/>
  <c r="C20" i="9"/>
  <c r="M24" i="15"/>
  <c r="F4" i="73"/>
  <c r="F26" i="67"/>
  <c r="F36" i="15"/>
  <c r="F8" i="67"/>
  <c r="F36" i="67"/>
  <c r="D2" i="21"/>
  <c r="F8" i="15"/>
  <c r="F7" i="15"/>
  <c r="F9" i="15"/>
  <c r="C6" i="15"/>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L47" i="15"/>
  <c r="D34" i="9"/>
  <c r="F9" i="67"/>
  <c r="F43" i="67"/>
  <c r="F7" i="67"/>
  <c r="D35" i="9"/>
  <c r="F42" i="67"/>
  <c r="AO12" i="1"/>
  <c r="F6" i="73"/>
  <c r="E7" i="76"/>
  <c r="B8" i="76"/>
  <c r="F3" i="73"/>
  <c r="M8" i="67"/>
  <c r="E13" i="76"/>
  <c r="M21" i="67"/>
  <c r="F38" i="67"/>
  <c r="F37" i="67"/>
  <c r="M26" i="67"/>
  <c r="M27" i="67"/>
  <c r="D2" i="35"/>
  <c r="B3" i="15"/>
  <c r="D20" i="9"/>
  <c r="D2" i="37"/>
  <c r="M22" i="15"/>
  <c r="D7" i="73"/>
  <c r="M6" i="67"/>
  <c r="F20" i="31"/>
  <c r="E2" i="68"/>
  <c r="F40" i="67"/>
  <c r="M27" i="15"/>
  <c r="F6" i="67"/>
  <c r="F41" i="67"/>
  <c r="D4" i="73"/>
  <c r="E10" i="76"/>
  <c r="AO10" i="1"/>
  <c r="B7" i="76"/>
  <c r="AO8" i="1"/>
  <c r="M24" i="67"/>
  <c r="J57" i="15"/>
  <c r="J55" i="15"/>
  <c r="J58" i="15"/>
  <c r="J59" i="15"/>
  <c r="L51" i="15"/>
  <c r="L57" i="15"/>
  <c r="L58" i="15"/>
  <c r="L59" i="15"/>
  <c r="L60" i="15"/>
  <c r="AO6" i="1"/>
  <c r="M28" i="67"/>
  <c r="E12" i="76"/>
  <c r="B12" i="76"/>
  <c r="B10" i="76"/>
  <c r="E2" i="69"/>
  <c r="L48" i="67"/>
  <c r="E11" i="76"/>
  <c r="M21" i="15"/>
  <c r="E8" i="76"/>
  <c r="C76" i="67"/>
  <c r="B13" i="76"/>
  <c r="F16" i="67"/>
  <c r="J15" i="67"/>
  <c r="D2" i="36"/>
  <c r="F35" i="67"/>
  <c r="E9" i="76"/>
  <c r="AO7" i="1"/>
  <c r="F7" i="73"/>
  <c r="B11" i="76"/>
  <c r="D3" i="73"/>
  <c r="F5" i="73"/>
  <c r="M9" i="67"/>
  <c r="D2" i="33"/>
  <c r="B9" i="76"/>
  <c r="M23" i="67"/>
  <c r="M29" i="15"/>
  <c r="M29" i="67"/>
  <c r="AO13" i="1"/>
  <c r="F13" i="67"/>
  <c r="AO11" i="1"/>
  <c r="D2" i="34"/>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T12" i="43"/>
  <c r="V12" i="43"/>
  <c r="Y13" i="71"/>
  <c r="Z13" i="71"/>
  <c r="Y12" i="71"/>
  <c r="AA13" i="71"/>
  <c r="AB3" i="71"/>
  <c r="C35" i="43"/>
  <c r="E35" i="43"/>
  <c r="C36" i="43"/>
  <c r="E36" i="43"/>
  <c r="T9" i="43"/>
  <c r="V9" i="43"/>
  <c r="C39" i="43"/>
  <c r="C29" i="69"/>
  <c r="D27" i="69"/>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18" i="12"/>
  <c r="C38" i="69"/>
  <c r="C34" i="43"/>
  <c r="T10" i="43"/>
  <c r="V10" i="43"/>
  <c r="C33" i="43"/>
  <c r="T13" i="43"/>
  <c r="V13"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T8" i="43"/>
  <c r="V8" i="43"/>
  <c r="T16" i="43"/>
  <c r="V16" i="43"/>
  <c r="T7" i="43"/>
  <c r="V7" i="43"/>
  <c r="C29" i="43"/>
  <c r="T15" i="43"/>
  <c r="V15" i="43"/>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D7" i="71"/>
  <c r="C6" i="71"/>
  <c r="C5" i="71"/>
  <c r="D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6" i="71"/>
  <c r="M20" i="43"/>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F118" i="9"/>
  <c r="G118" i="9"/>
  <c r="G4" i="52"/>
  <c r="B52" i="72"/>
  <c r="D45" i="9"/>
  <c r="C72" i="9"/>
  <c r="C78" i="9"/>
  <c r="C73" i="9"/>
  <c r="C79" i="9"/>
  <c r="C80" i="9"/>
  <c r="E80" i="9"/>
  <c r="E81" i="9"/>
  <c r="C64" i="9"/>
  <c r="C63" i="9"/>
  <c r="C67" i="9"/>
  <c r="D59" i="9"/>
  <c r="M55" i="9"/>
  <c r="C68" i="9"/>
  <c r="D54" i="9"/>
  <c r="D118" i="9"/>
  <c r="D119" i="9"/>
  <c r="D5" i="52"/>
  <c r="B49" i="72"/>
  <c r="D5" i="53"/>
  <c r="B20" i="72"/>
  <c r="D122" i="9"/>
  <c r="D123" i="9"/>
  <c r="D9" i="52"/>
  <c r="D13" i="53"/>
  <c r="D14" i="53"/>
  <c r="B32" i="72"/>
  <c r="I118" i="9"/>
  <c r="H102" i="9"/>
  <c r="D7" i="53"/>
  <c r="B21" i="72"/>
  <c r="D4" i="52"/>
  <c r="B47" i="72"/>
  <c r="E118" i="9"/>
  <c r="E4" i="52"/>
  <c r="B48" i="72"/>
  <c r="F4" i="52"/>
  <c r="B51" i="72"/>
  <c r="C93" i="9"/>
  <c r="C86" i="9"/>
  <c r="F119" i="9"/>
  <c r="F5" i="52"/>
  <c r="B53" i="72"/>
  <c r="C85" i="9"/>
  <c r="C95" i="9"/>
  <c r="C96" i="9"/>
  <c r="C97" i="9"/>
  <c r="D58" i="9"/>
  <c r="D56" i="9"/>
  <c r="M54" i="9"/>
  <c r="D6" i="53"/>
  <c r="B22" i="72"/>
  <c r="C81" i="9"/>
  <c r="B30" i="72"/>
  <c r="H119" i="9"/>
  <c r="H5" i="52"/>
  <c r="E96" i="9"/>
  <c r="E97" i="9"/>
  <c r="H108" i="9"/>
  <c r="D15" i="53"/>
  <c r="B31" i="72"/>
  <c r="D14" i="74"/>
  <c r="B5" i="74"/>
  <c r="D5" i="74"/>
  <c r="C5" i="74"/>
  <c r="M48" i="9"/>
  <c r="D8" i="52"/>
  <c r="E14" i="74"/>
  <c r="F14" i="74"/>
  <c r="I4" i="52"/>
  <c r="C105" i="9"/>
  <c r="D55" i="9"/>
  <c r="M53" i="9"/>
  <c r="N57" i="9"/>
  <c r="N58" i="9"/>
  <c r="P57" i="9"/>
  <c r="D52" i="9"/>
  <c r="D53" i="9"/>
  <c r="C104" i="9"/>
  <c r="H4" i="52"/>
  <c r="N59" i="9"/>
  <c r="N60" i="9"/>
  <c r="N61" i="9"/>
  <c r="G14" i="74"/>
  <c r="B6"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<sst xmlns="http://schemas.openxmlformats.org/spreadsheetml/2006/main" count="7412" uniqueCount="3171">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</sst>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18" fillId="5" borderId="5"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24037;&#19994;M4&#22522;&#20934;&#22320;&#20215;&#31995;&#25968;&#20462;&#27491;-&#37026;&#36722;20220324-1208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8259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57147</v>
      </c>
    </row>
    <row r="21" spans="1:2" s="1337" customFormat="1">
      <c r="A21" s="1335" t="s">
        <v>1143</v>
      </c>
      <c r="B21" s="1336">
        <f ca="1">'预评函-2'!D7</f>
        <v>7596</v>
      </c>
    </row>
    <row r="22" spans="1:2" s="1337" customFormat="1">
      <c r="A22" s="1335" t="s">
        <v>1144</v>
      </c>
      <c r="B22" s="1336" t="str">
        <f ca="1">'预评函-2'!D6</f>
        <v>伍亿柒仟壹佰肆拾柒万元整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57147</v>
      </c>
    </row>
    <row r="31" spans="1:2" s="1337" customFormat="1">
      <c r="A31" s="1335" t="s">
        <v>1182</v>
      </c>
      <c r="B31" s="1336">
        <f ca="1">'预评函-2'!D15</f>
        <v>7596</v>
      </c>
    </row>
    <row r="32" spans="1:2" s="1337" customFormat="1">
      <c r="A32" s="1335" t="s">
        <v>1149</v>
      </c>
      <c r="B32" s="1336" t="str">
        <f ca="1">'预评函-2'!D14</f>
        <v>伍亿柒仟壹佰肆拾柒万元整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c r="A42" s="1335" t="s">
        <v>1196</v>
      </c>
      <c r="B42" s="1336" t="str">
        <f>'预评函-3'!B2</f>
        <v>建筑面积</v>
      </c>
    </row>
    <row r="43" spans="1:2" s="1337" customFormat="1">
      <c r="A43" s="1335" t="s">
        <v>1197</v>
      </c>
      <c r="B43" s="1336">
        <f>'预评函-3'!B4</f>
        <v>75230.36</v>
      </c>
    </row>
    <row r="44" spans="1:2" s="1337" customFormat="1">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9" t="s">
        <v>832</v>
      </c>
      <c r="C54" s="1706" t="s">
        <v>1189</v>
      </c>
    </row>
    <row r="55" spans="1:4">
      <c r="A55" s="3251"/>
      <c r="B55" s="1709" t="s">
        <v>833</v>
      </c>
      <c r="C55" s="1706" t="s">
        <v>1190</v>
      </c>
    </row>
    <row r="56" spans="1:4">
      <c r="A56" s="3251"/>
      <c r="B56" s="1709" t="s">
        <v>834</v>
      </c>
      <c r="C56" s="1706" t="s">
        <v>1194</v>
      </c>
    </row>
    <row r="57" spans="1:4">
      <c r="A57" s="325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0" t="str">
        <f>IF(B10="北京市","北京市",C10)&amp;F10&amp;IF(结果表!G1="在建","出让国有建设用地使用权及在建建筑物",IF(结果表!G1="土地","出让国有建设用地使用权",))&amp;B9&amp;"预评估"</f>
        <v>北京市通州区种业园东路1号院房地产抵押价值预评估</v>
      </c>
      <c r="C1" s="3261"/>
      <c r="D1" s="3261"/>
      <c r="E1" s="3261"/>
      <c r="F1" s="3261"/>
      <c r="G1" s="3261"/>
      <c r="H1" s="3261"/>
      <c r="I1" s="3262"/>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2857</v>
      </c>
      <c r="B3" s="2567">
        <v>44641</v>
      </c>
      <c r="C3" s="2568" t="s">
        <v>2858</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t="s">
        <v>3129</v>
      </c>
      <c r="C4" s="2570">
        <f ca="1">SUMIF(注册房地产估价师,B4,估价师及机构信息!B3:B24)</f>
        <v>1120100036</v>
      </c>
      <c r="D4" s="2569" t="s">
        <v>3130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5" t="s">
        <v>3131</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3132</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2863</v>
      </c>
      <c r="B8" s="2581" t="s">
        <v>3133</v>
      </c>
      <c r="C8" s="2582"/>
      <c r="D8" s="3263" t="s">
        <v>2864</v>
      </c>
      <c r="E8" s="2583" t="s">
        <v>3134</v>
      </c>
      <c r="F8" s="2584"/>
      <c r="G8" s="2858"/>
      <c r="H8" s="2858"/>
      <c r="I8" s="2858"/>
      <c r="J8" s="2633"/>
      <c r="K8" s="2808"/>
      <c r="L8" s="2807"/>
      <c r="M8" s="2807"/>
      <c r="N8" s="2633"/>
      <c r="O8" s="2644"/>
      <c r="P8" s="2633"/>
      <c r="Q8" s="2633"/>
      <c r="R8" s="2633"/>
    </row>
    <row r="9" spans="1:28" ht="13.5" thickBot="1">
      <c r="A9" s="2585" t="s">
        <v>2865</v>
      </c>
      <c r="B9" s="2586" t="s">
        <v>3134</v>
      </c>
      <c r="C9" s="2587"/>
      <c r="D9" s="3264"/>
      <c r="E9" s="2586" t="s">
        <v>70</v>
      </c>
      <c r="F9" s="2588"/>
      <c r="G9" s="2860"/>
      <c r="H9" s="2860"/>
      <c r="I9" s="2860"/>
      <c r="J9" s="2633"/>
      <c r="K9" s="2810"/>
      <c r="L9" s="2807"/>
      <c r="M9" s="2807"/>
      <c r="N9" s="2633"/>
      <c r="O9" s="2644"/>
      <c r="P9" s="2633"/>
      <c r="Q9" s="2633"/>
      <c r="R9" s="2633"/>
    </row>
    <row r="10" spans="1:28" ht="13.5" thickTop="1">
      <c r="A10" s="2589" t="s">
        <v>2866</v>
      </c>
      <c r="B10" s="2590" t="s">
        <v>3135</v>
      </c>
      <c r="C10" s="2591"/>
      <c r="D10" s="2575"/>
      <c r="E10" s="2592" t="s">
        <v>2867</v>
      </c>
      <c r="F10" s="2861" t="s">
        <v>3136</v>
      </c>
      <c r="G10" s="2862"/>
      <c r="H10" s="2863"/>
      <c r="I10" s="2864"/>
      <c r="J10" s="2633"/>
      <c r="K10" s="2810"/>
      <c r="L10" s="2807"/>
      <c r="M10" s="2807"/>
      <c r="N10" s="2633"/>
      <c r="O10" s="2644"/>
      <c r="P10" s="2633"/>
      <c r="Q10" s="2633"/>
      <c r="R10" s="2633"/>
    </row>
    <row r="11" spans="1:28" ht="38.25">
      <c r="A11" s="2593" t="s">
        <v>2868</v>
      </c>
      <c r="B11" s="2594" t="s">
        <v>3137</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2869</v>
      </c>
      <c r="B12" s="2594" t="s">
        <v>3138</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2878</v>
      </c>
      <c r="D14" s="2601"/>
      <c r="E14" s="2601"/>
      <c r="F14" s="2601">
        <v>50</v>
      </c>
      <c r="G14" s="2601">
        <v>50</v>
      </c>
      <c r="H14" s="2601"/>
      <c r="I14" s="2601"/>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70"/>
      <c r="C16" s="3271"/>
      <c r="D16" s="3272"/>
      <c r="E16" s="2607" t="s">
        <v>2881</v>
      </c>
      <c r="F16" s="3273"/>
      <c r="G16" s="3274"/>
      <c r="H16" s="3274"/>
      <c r="I16" s="3275"/>
      <c r="J16" s="2633"/>
      <c r="K16" s="2812"/>
      <c r="L16" s="2645"/>
      <c r="M16" s="2645"/>
      <c r="N16" s="2703"/>
      <c r="O16" s="2645"/>
      <c r="P16" s="2703"/>
      <c r="Q16" s="2633"/>
      <c r="R16" s="2633"/>
    </row>
    <row r="17" spans="1:28">
      <c r="A17" s="319" t="s">
        <v>2882</v>
      </c>
      <c r="B17" s="308" t="s">
        <v>2883</v>
      </c>
      <c r="C17" s="11">
        <f>'数据-汇总表'!E3</f>
        <v>75230.36</v>
      </c>
      <c r="D17" s="2515" t="s">
        <v>2884</v>
      </c>
      <c r="E17" s="3276" t="s">
        <v>2885</v>
      </c>
      <c r="F17" s="3277"/>
      <c r="G17" s="3277"/>
      <c r="H17" s="3277"/>
      <c r="I17" s="3278"/>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17669.82</v>
      </c>
      <c r="D18" s="1224" t="s">
        <v>2888</v>
      </c>
      <c r="E18" s="3279" t="s">
        <v>2889</v>
      </c>
      <c r="F18" s="3280"/>
      <c r="G18" s="3280"/>
      <c r="H18" s="3280"/>
      <c r="I18" s="3281"/>
      <c r="J18" s="2633"/>
      <c r="K18" s="2813"/>
      <c r="L18" s="2645"/>
      <c r="M18" s="2645"/>
      <c r="N18" s="2703"/>
      <c r="O18" s="2645"/>
      <c r="P18" s="2703"/>
      <c r="Q18" s="2633"/>
      <c r="R18" s="2633"/>
      <c r="S18" s="2633"/>
      <c r="T18" s="2633"/>
      <c r="U18" s="2633"/>
      <c r="V18" s="2633"/>
    </row>
    <row r="19" spans="1:28" ht="37.5" thickTop="1" thickBot="1">
      <c r="A19" s="333" t="s">
        <v>1681</v>
      </c>
      <c r="B19" s="313" t="s">
        <v>2890</v>
      </c>
      <c r="C19" s="1718" t="s">
        <v>3139</v>
      </c>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66" t="s">
        <v>2893</v>
      </c>
      <c r="C20" s="3267"/>
      <c r="D20" s="3268" t="s">
        <v>2894</v>
      </c>
      <c r="E20" s="3269"/>
      <c r="F20" s="2842" t="s">
        <v>1682</v>
      </c>
      <c r="G20" s="2859"/>
      <c r="H20" s="2859"/>
      <c r="I20" s="2859"/>
      <c r="J20" s="2633"/>
      <c r="K20" s="3265"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3"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3"/>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3"/>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4"/>
      <c r="B30" s="308" t="s">
        <v>2905</v>
      </c>
      <c r="C30" s="3255"/>
      <c r="D30" s="3256"/>
      <c r="E30" s="2859"/>
      <c r="F30" s="2859"/>
      <c r="G30" s="2859"/>
      <c r="H30" s="2859"/>
      <c r="I30" s="2859"/>
      <c r="J30" s="2633"/>
      <c r="K30" s="2810"/>
      <c r="L30" s="2807"/>
      <c r="M30" s="2807"/>
      <c r="N30" s="2633"/>
      <c r="O30" s="2644"/>
      <c r="P30" s="2633"/>
      <c r="Q30" s="2633"/>
      <c r="R30" s="2633"/>
      <c r="S30" s="2633"/>
      <c r="T30" s="2633"/>
      <c r="U30" s="2633"/>
      <c r="V30" s="2633"/>
    </row>
    <row r="31" spans="1:28">
      <c r="A31" s="3257"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58"/>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58"/>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3140</v>
      </c>
      <c r="C34" s="2184" t="s">
        <v>3141</v>
      </c>
      <c r="D34" s="2184" t="s">
        <v>3142</v>
      </c>
      <c r="E34" s="2184" t="s">
        <v>3143</v>
      </c>
      <c r="F34" s="2184" t="s">
        <v>3144</v>
      </c>
      <c r="G34" s="2184" t="s">
        <v>70</v>
      </c>
      <c r="H34" s="2184" t="s">
        <v>70</v>
      </c>
      <c r="I34" s="2859"/>
      <c r="J34" s="2633"/>
      <c r="K34" s="2621">
        <f>COUNTIF(B34:H34,"——")</f>
        <v>2</v>
      </c>
      <c r="L34" s="329" t="s">
        <v>2908</v>
      </c>
      <c r="M34" s="329" t="s">
        <v>2909</v>
      </c>
      <c r="N34" s="329" t="s">
        <v>2910</v>
      </c>
      <c r="O34" s="329" t="s">
        <v>2911</v>
      </c>
      <c r="P34" s="329" t="s">
        <v>2912</v>
      </c>
      <c r="Q34" s="329" t="s">
        <v>2913</v>
      </c>
      <c r="R34" s="329" t="s">
        <v>2914</v>
      </c>
      <c r="S34" s="3252" t="s">
        <v>2915</v>
      </c>
      <c r="T34" s="2622" t="str">
        <f>NUMBERSTRING(7-K34,1)&amp;"通"</f>
        <v>五通</v>
      </c>
      <c r="U34" s="2633"/>
      <c r="V34" s="2633"/>
    </row>
    <row r="35" spans="1:30">
      <c r="A35" s="2623"/>
      <c r="B35" s="3259" t="s">
        <v>2916</v>
      </c>
      <c r="C35" s="3259"/>
      <c r="D35" s="3259"/>
      <c r="E35" s="3259"/>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52"/>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t="s">
        <v>3169</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2" width="9.5" style="1728" customWidth="1"/>
    <col min="13"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75230.36</v>
      </c>
      <c r="H5" s="16">
        <f t="shared" ref="H5:AT5" si="0">SUM(H13:H656)</f>
        <v>75230.36</v>
      </c>
      <c r="I5" s="16">
        <f t="shared" si="0"/>
        <v>59201.78</v>
      </c>
      <c r="J5" s="16">
        <f t="shared" si="0"/>
        <v>0</v>
      </c>
      <c r="K5" s="16">
        <f t="shared" si="0"/>
        <v>16028.58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59201.78</v>
      </c>
      <c r="BC5" s="18">
        <f t="shared" si="1"/>
        <v>16028.58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17669.82</v>
      </c>
      <c r="F6" s="16" t="s">
        <v>1</v>
      </c>
      <c r="G6" s="16" t="s">
        <v>2</v>
      </c>
      <c r="H6" s="20">
        <f>SUMIF(I$12:AB$12,"总值",I6:AB6)</f>
        <v>17669.82</v>
      </c>
      <c r="I6" s="16">
        <f t="shared" ref="I6:AB6" si="2">ROUND($A$3*I5/$B$3,2)</f>
        <v>13905.09</v>
      </c>
      <c r="J6" s="16">
        <f t="shared" si="2"/>
        <v>0</v>
      </c>
      <c r="K6" s="16">
        <f t="shared" si="2"/>
        <v>3764.73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13905.09</v>
      </c>
      <c r="BC6" s="16">
        <f t="shared" ref="BC6:BH6" si="4">ROUND($AY$6*BC5/$AZ$5,2)</f>
        <v>3764.73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3146</v>
      </c>
      <c r="J9" s="918"/>
      <c r="K9" s="1758" t="s">
        <v>3151</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3152</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3145</v>
      </c>
      <c r="D13" s="1780" t="s">
        <v>3139</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3147</v>
      </c>
      <c r="D14" s="1780" t="s">
        <v>3139</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3148</v>
      </c>
      <c r="D15" s="1780" t="s">
        <v>3139</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t="s">
        <v>3149</v>
      </c>
      <c r="D16" s="1780" t="s">
        <v>3139</v>
      </c>
      <c r="E16" s="16">
        <f>IF($C$3="是",ROUND($A$3*G16/$B$3,2),ROUND($A$3*(G16-AT16)/$B$3,2))</f>
        <v>2140.7600000000002</v>
      </c>
      <c r="F16" s="32"/>
      <c r="G16" s="33">
        <f>H16+AC16+AT16</f>
        <v>9114.44</v>
      </c>
      <c r="H16" s="20">
        <f>SUMIF(I$12:AB$12,"总值",I16:AB16)</f>
        <v>9114.44</v>
      </c>
      <c r="I16" s="1781">
        <v>9114.44</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9114.44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7" t="s">
        <v>3150</v>
      </c>
      <c r="D17" s="1780" t="s">
        <v>3139</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3" t="s">
        <v>1757</v>
      </c>
      <c r="B2" s="3293"/>
      <c r="C2" s="3293"/>
      <c r="D2" s="904" t="s">
        <v>1733</v>
      </c>
      <c r="E2" s="1794" t="s">
        <v>1734</v>
      </c>
      <c r="F2" s="2854"/>
      <c r="G2" s="2845"/>
      <c r="H2" s="2846"/>
      <c r="I2" s="2518" t="s">
        <v>1758</v>
      </c>
      <c r="J2" s="2854"/>
      <c r="K2" s="2854"/>
      <c r="L2" s="2854"/>
      <c r="M2" s="2854"/>
      <c r="N2" s="2856"/>
      <c r="O2" s="2854"/>
      <c r="P2" s="2854"/>
    </row>
    <row r="3" spans="1:16" ht="15.75" thickBot="1">
      <c r="A3" s="3294" t="s">
        <v>1731</v>
      </c>
      <c r="B3" s="3294"/>
      <c r="C3" s="3294"/>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5">
      <c r="A4" s="3295"/>
      <c r="B4" s="3296"/>
      <c r="C4" s="3297"/>
      <c r="D4" s="1796" t="s">
        <v>1733</v>
      </c>
      <c r="E4" s="1797" t="s">
        <v>1734</v>
      </c>
      <c r="F4" s="2854"/>
      <c r="G4" s="2847" t="s">
        <v>1759</v>
      </c>
      <c r="H4" s="1157" t="s">
        <v>1739</v>
      </c>
      <c r="I4" s="964">
        <f>ROUND(SUMIF('数据-基础表'!I9:AS9,"地上",'数据-基础表'!I5:AS5)/'数据-基础表'!A3,2)</f>
        <v>3.35</v>
      </c>
      <c r="J4" s="2854"/>
      <c r="K4" s="2854"/>
      <c r="L4" s="2854"/>
      <c r="M4" s="2854"/>
      <c r="N4" s="2856"/>
      <c r="O4" s="2854"/>
      <c r="P4" s="2854"/>
    </row>
    <row r="5" spans="1:16">
      <c r="A5" s="47" t="s">
        <v>1735</v>
      </c>
      <c r="B5" s="3298" t="s">
        <v>1736</v>
      </c>
      <c r="C5" s="3298"/>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298" t="s">
        <v>1737</v>
      </c>
      <c r="C6" s="3298"/>
      <c r="D6" s="48">
        <f>ROUND($D$3*E6/$E$3,2)</f>
        <v>17669.82</v>
      </c>
      <c r="E6" s="49">
        <f>E3-E5</f>
        <v>75230.36</v>
      </c>
      <c r="F6" s="2854"/>
      <c r="G6" s="2848" t="s">
        <v>1738</v>
      </c>
      <c r="H6" s="1280" t="s">
        <v>1739</v>
      </c>
      <c r="I6" s="2849">
        <f>ROUND(F31/D31,2)</f>
        <v>3.35</v>
      </c>
      <c r="J6" s="2854"/>
      <c r="K6" s="2854"/>
      <c r="L6" s="2854"/>
      <c r="M6" s="2854"/>
      <c r="N6" s="2854"/>
      <c r="O6" s="2854"/>
      <c r="P6" s="2854"/>
    </row>
    <row r="7" spans="1:16" ht="15.75" thickBot="1">
      <c r="A7" s="3290"/>
      <c r="B7" s="3291"/>
      <c r="C7" s="3292"/>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13905.09</v>
      </c>
      <c r="E8" s="51">
        <f>SUMIF('数据-基础表'!BB10:BK10,"地上",'数据-基础表'!BB5:BK5)</f>
        <v>59201.78</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17669.82</v>
      </c>
      <c r="E16" s="53">
        <f>SUM(E8:E15)</f>
        <v>75230.36</v>
      </c>
      <c r="F16" s="2854"/>
      <c r="G16" s="2855"/>
      <c r="H16" s="1803" t="s">
        <v>1761</v>
      </c>
      <c r="I16" s="1804"/>
      <c r="J16" s="1273"/>
      <c r="K16" s="3287" t="s">
        <v>1761</v>
      </c>
      <c r="L16" s="3288"/>
      <c r="M16" s="3288"/>
      <c r="N16" s="3288"/>
      <c r="O16" s="3288"/>
      <c r="P16" s="3289"/>
    </row>
    <row r="17" spans="1:19" ht="15">
      <c r="A17" s="1805" t="s">
        <v>1762</v>
      </c>
      <c r="B17" s="1806" t="s">
        <v>1763</v>
      </c>
      <c r="C17" s="1807" t="s">
        <v>1764</v>
      </c>
      <c r="D17" s="1808" t="s">
        <v>1752</v>
      </c>
      <c r="E17" s="1809" t="s">
        <v>1753</v>
      </c>
      <c r="F17" s="1810"/>
      <c r="G17" s="1811"/>
      <c r="H17" s="1812" t="s">
        <v>1765</v>
      </c>
      <c r="I17" s="1813" t="s">
        <v>1750</v>
      </c>
      <c r="J17" s="1273"/>
      <c r="K17" s="3284" t="s">
        <v>1766</v>
      </c>
      <c r="L17" s="3285"/>
      <c r="M17" s="3286"/>
      <c r="N17" s="3284" t="s">
        <v>1767</v>
      </c>
      <c r="O17" s="3285"/>
      <c r="P17" s="328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3154</v>
      </c>
      <c r="D19" s="48">
        <f>ROUND($D$3*E19/$E$3,2)</f>
        <v>17669.82</v>
      </c>
      <c r="E19" s="56">
        <f t="shared" ref="E19:E26" si="1">SUM(F19:G19)</f>
        <v>75230.36</v>
      </c>
      <c r="F19" s="2994">
        <f>'数据-基础表'!I5</f>
        <v>59201.78</v>
      </c>
      <c r="G19" s="2995">
        <f>'数据-基础表'!K5</f>
        <v>16028.58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75230.36</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17669.82</v>
      </c>
      <c r="E27" s="1275">
        <f>IF(SUM(E19:E26)='数据-基础表'!BA5,SUM(E19:E26),IF(F27="地上面积有误","面积有误","地下面积有误"))</f>
        <v>75230.36</v>
      </c>
      <c r="F27" s="1274">
        <f>IF(SUM(F19:F26)=E8,SUM(F19:F26),"地上面积有误")</f>
        <v>59201.78</v>
      </c>
      <c r="G27" s="1276">
        <f>SUM(G19:G26)</f>
        <v>16028.58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75230.36</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17669.82</v>
      </c>
      <c r="E31" s="685">
        <f>E27+E30</f>
        <v>75230.36</v>
      </c>
      <c r="F31" s="686">
        <f>F27+F30</f>
        <v>59201.78</v>
      </c>
      <c r="G31" s="687">
        <f>G27+G30</f>
        <v>16028.58</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75230.36</v>
      </c>
      <c r="L6" s="742">
        <v>4000</v>
      </c>
      <c r="M6" s="71">
        <f t="shared" ref="M6:M14" si="0">ROUND(K6*L6/10000,0)</f>
        <v>30092</v>
      </c>
      <c r="N6" s="740">
        <f>ROUND(1-(2022-2021)/60,2)</f>
        <v>0.98</v>
      </c>
      <c r="O6" s="71" t="str">
        <f>IF($N$5="成新度","——",ROUND(M6*N6,0))</f>
        <v>——</v>
      </c>
      <c r="P6" s="72" t="str">
        <f>IF($N$5="成新度","——",M6-O6)</f>
        <v>——</v>
      </c>
      <c r="Q6" s="3546">
        <f>ROUND(('数据-汇总表'!F19*15%+'数据-汇总表'!G19*5%)/'数据-汇总表'!E19,2)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3547">
        <f>ROUND(1.8*'数据-汇总表'!F19/'数据-汇总表'!E19,1)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3157</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160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1505</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0.04</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3155</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9" t="s">
        <v>2973</v>
      </c>
      <c r="B1" s="3300"/>
      <c r="C1" s="3300"/>
      <c r="D1" s="3300"/>
      <c r="E1" s="3300"/>
      <c r="F1" s="3300"/>
      <c r="G1" s="330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6" sqref="N26"/>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75230.36</v>
      </c>
      <c r="C1" s="2883"/>
      <c r="D1" s="2883"/>
      <c r="E1" s="2883"/>
      <c r="F1" s="2883"/>
      <c r="G1" s="2884"/>
      <c r="H1" s="2885"/>
      <c r="I1" s="2885"/>
      <c r="J1" s="2885"/>
      <c r="K1" s="2885"/>
    </row>
    <row r="2" spans="1:11" ht="16.5">
      <c r="A2" s="2706" t="s">
        <v>1259</v>
      </c>
      <c r="B2" s="2706">
        <f>SUM(C14:C23)</f>
        <v>17669.82</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57147</v>
      </c>
      <c r="C5" s="2706">
        <f ca="1">ROUND(B5*10000/$B$1,0)</f>
        <v>7596</v>
      </c>
      <c r="D5" s="2706">
        <f ca="1">ROUND(B5*10000/$B$2,0)</f>
        <v>32342</v>
      </c>
      <c r="E5" s="2883"/>
      <c r="F5" s="2884"/>
      <c r="G5" s="2884"/>
      <c r="H5" s="2885"/>
      <c r="I5" s="2885"/>
      <c r="J5" s="2885"/>
      <c r="K5" s="2885"/>
    </row>
    <row r="6" spans="1:11" ht="16.5">
      <c r="A6" s="2706" t="s">
        <v>1262</v>
      </c>
      <c r="B6" s="2706">
        <f ca="1">SUM(G14:G23)</f>
        <v>57147</v>
      </c>
      <c r="C6" s="2706">
        <f ca="1">ROUND(B6*10000/$B$1,0)</f>
        <v>7596</v>
      </c>
      <c r="D6" s="2706">
        <f ca="1">ROUND(B6*10000/$B$2,0)</f>
        <v>32342</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75230.36</v>
      </c>
      <c r="C14" s="2712">
        <f>结果表!C118</f>
        <v>17669.82</v>
      </c>
      <c r="D14" s="2712">
        <f ca="1">结果表!H118</f>
        <v>57147</v>
      </c>
      <c r="E14" s="2712">
        <f ca="1">ROUND(D14*10000/B14,0)</f>
        <v>7596</v>
      </c>
      <c r="F14" s="2712">
        <f ca="1">ROUND(D14*10000/C14,0)</f>
        <v>32342</v>
      </c>
      <c r="G14" s="2712">
        <f ca="1">结果表!D122</f>
        <v>57147</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3153</v>
      </c>
      <c r="D1" s="1903"/>
      <c r="E1" s="1903"/>
      <c r="F1" s="1905" t="s">
        <v>1889</v>
      </c>
      <c r="G1" s="1716" t="s">
        <v>3166</v>
      </c>
      <c r="H1" s="1906" t="str">
        <f>IF(G1="现房","——","估价对象范围")</f>
        <v>——</v>
      </c>
      <c r="I1" s="1907" t="s">
        <v>3167</v>
      </c>
    </row>
    <row r="2" spans="1:12" ht="21.75" customHeight="1" thickBot="1">
      <c r="A2" s="3335" t="str">
        <f>项目基本情况!S2</f>
        <v>北京市通州区种业园东路1号院房地产</v>
      </c>
      <c r="B2" s="3336"/>
      <c r="C2" s="3336"/>
      <c r="D2" s="3336"/>
      <c r="E2" s="3336"/>
      <c r="F2" s="3336"/>
      <c r="G2" s="3336"/>
      <c r="H2" s="3336"/>
      <c r="I2" s="3337"/>
    </row>
    <row r="3" spans="1:12" ht="12.75">
      <c r="A3" s="3339" t="s">
        <v>1890</v>
      </c>
      <c r="B3" s="3340"/>
      <c r="C3" s="3340"/>
      <c r="D3" s="3340"/>
      <c r="E3" s="3340"/>
      <c r="F3" s="3340"/>
      <c r="G3" s="3340"/>
      <c r="H3" s="3340"/>
      <c r="I3" s="3340"/>
    </row>
    <row r="4" spans="1:12" ht="14.25">
      <c r="A4" s="1910" t="s">
        <v>1891</v>
      </c>
      <c r="B4" s="1911" t="s">
        <v>1892</v>
      </c>
      <c r="C4" s="1912" t="s">
        <v>3165</v>
      </c>
      <c r="D4" s="1912" t="s">
        <v>3157</v>
      </c>
      <c r="E4" s="3341" t="s">
        <v>1893</v>
      </c>
      <c r="F4" s="3342"/>
      <c r="G4" s="3342"/>
      <c r="H4" s="3342"/>
      <c r="I4" s="33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02">
        <v>25</v>
      </c>
      <c r="C5" s="3318"/>
      <c r="D5" s="3338"/>
      <c r="E5" s="136" t="s">
        <v>1895</v>
      </c>
      <c r="F5" s="1913"/>
      <c r="G5" s="1913"/>
      <c r="H5" s="1913"/>
      <c r="I5" s="1527"/>
    </row>
    <row r="6" spans="1:12" ht="12.75">
      <c r="A6" s="3315"/>
      <c r="B6" s="3302"/>
      <c r="C6" s="3319"/>
      <c r="D6" s="3338"/>
      <c r="E6" s="136" t="s">
        <v>1896</v>
      </c>
      <c r="F6" s="1913"/>
      <c r="G6" s="1913"/>
      <c r="H6" s="1913"/>
      <c r="I6" s="1527"/>
    </row>
    <row r="7" spans="1:12" ht="12.75">
      <c r="A7" s="3315"/>
      <c r="B7" s="3302"/>
      <c r="C7" s="3320"/>
      <c r="D7" s="3338"/>
      <c r="E7" s="136" t="s">
        <v>1897</v>
      </c>
      <c r="F7" s="1913"/>
      <c r="G7" s="1913"/>
      <c r="H7" s="1913"/>
      <c r="I7" s="1527"/>
    </row>
    <row r="8" spans="1:12" ht="12.75">
      <c r="A8" s="3315" t="s">
        <v>1898</v>
      </c>
      <c r="B8" s="3302">
        <v>15</v>
      </c>
      <c r="C8" s="3318"/>
      <c r="D8" s="3338"/>
      <c r="E8" s="136" t="s">
        <v>1899</v>
      </c>
      <c r="F8" s="1913"/>
      <c r="G8" s="1913"/>
      <c r="H8" s="1913"/>
      <c r="I8" s="1527"/>
    </row>
    <row r="9" spans="1:12" ht="12.75">
      <c r="A9" s="3315"/>
      <c r="B9" s="3302"/>
      <c r="C9" s="3320"/>
      <c r="D9" s="3338"/>
      <c r="E9" s="136" t="s">
        <v>1900</v>
      </c>
      <c r="F9" s="1913"/>
      <c r="G9" s="1913"/>
      <c r="H9" s="1913"/>
      <c r="I9" s="1527"/>
    </row>
    <row r="10" spans="1:12" ht="12.75">
      <c r="A10" s="3315" t="s">
        <v>1901</v>
      </c>
      <c r="B10" s="3302">
        <v>15</v>
      </c>
      <c r="C10" s="3318"/>
      <c r="D10" s="3338"/>
      <c r="E10" s="136" t="s">
        <v>1902</v>
      </c>
      <c r="F10" s="1913"/>
      <c r="G10" s="1913"/>
      <c r="H10" s="1913"/>
      <c r="I10" s="1527"/>
    </row>
    <row r="11" spans="1:12" ht="12.75">
      <c r="A11" s="3315"/>
      <c r="B11" s="3302"/>
      <c r="C11" s="3320"/>
      <c r="D11" s="3338"/>
      <c r="E11" s="136" t="s">
        <v>1903</v>
      </c>
      <c r="F11" s="1913"/>
      <c r="G11" s="1913"/>
      <c r="H11" s="1913"/>
      <c r="I11" s="1527"/>
    </row>
    <row r="12" spans="1:12" ht="12.75">
      <c r="A12" s="3315" t="s">
        <v>1904</v>
      </c>
      <c r="B12" s="3302">
        <v>15</v>
      </c>
      <c r="C12" s="3318"/>
      <c r="D12" s="3338"/>
      <c r="E12" s="136" t="s">
        <v>1905</v>
      </c>
      <c r="F12" s="1913"/>
      <c r="G12" s="1913"/>
      <c r="H12" s="1913"/>
      <c r="I12" s="1527"/>
    </row>
    <row r="13" spans="1:12" ht="12.75">
      <c r="A13" s="3315"/>
      <c r="B13" s="3302"/>
      <c r="C13" s="3320"/>
      <c r="D13" s="3338"/>
      <c r="E13" s="136" t="s">
        <v>1906</v>
      </c>
      <c r="F13" s="1913"/>
      <c r="G13" s="1913"/>
      <c r="H13" s="1913"/>
      <c r="I13" s="1527"/>
    </row>
    <row r="14" spans="1:12" ht="12.75">
      <c r="A14" s="3315" t="s">
        <v>1907</v>
      </c>
      <c r="B14" s="3302">
        <v>30</v>
      </c>
      <c r="C14" s="3318">
        <v>5</v>
      </c>
      <c r="D14" s="3338">
        <v>5</v>
      </c>
      <c r="E14" s="136" t="s">
        <v>1908</v>
      </c>
      <c r="F14" s="1913"/>
      <c r="G14" s="1913"/>
      <c r="H14" s="1913"/>
      <c r="I14" s="1527"/>
    </row>
    <row r="15" spans="1:12" ht="12.75">
      <c r="A15" s="3315"/>
      <c r="B15" s="3302"/>
      <c r="C15" s="3319"/>
      <c r="D15" s="3338"/>
      <c r="E15" s="136" t="s">
        <v>1909</v>
      </c>
      <c r="F15" s="1913"/>
      <c r="G15" s="1913"/>
      <c r="H15" s="1913"/>
      <c r="I15" s="1527"/>
    </row>
    <row r="16" spans="1:12" ht="12.75">
      <c r="A16" s="3315"/>
      <c r="B16" s="3302"/>
      <c r="C16" s="3320"/>
      <c r="D16" s="3338"/>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5" t="s">
        <v>2814</v>
      </c>
      <c r="F18" s="3326"/>
      <c r="G18" s="3326"/>
      <c r="H18" s="3326"/>
      <c r="I18" s="3326"/>
      <c r="K18" s="308" t="s">
        <v>1915</v>
      </c>
      <c r="L18" s="308">
        <f>IF(C1="",'数据-汇总表'!E3,SUMIF(项目类型,C1,'数据-汇总表'!E17:E26)+SUMIF(项目类型,C1,'数据-汇总表'!I17:I26))</f>
        <v>75230.36</v>
      </c>
      <c r="M18" s="308">
        <f>IF(C1="",'数据-汇总表'!E3,SUMIF(项目类型,C1,'数据-汇总表'!E17:E26))</f>
        <v>75230.36</v>
      </c>
    </row>
    <row r="19" spans="1:36" ht="15">
      <c r="A19" s="1917" t="s">
        <v>1916</v>
      </c>
      <c r="B19" s="1918" t="s">
        <v>1917</v>
      </c>
      <c r="C19" s="139">
        <f ca="1">SUMIF(INDIRECT("'"&amp;C4&amp;"'"&amp;"!A:A"),结果表!B19,INDIRECT("'"&amp;C4&amp;"'"&amp;"!B:B"))</f>
        <v>56233</v>
      </c>
      <c r="D19" s="140">
        <f ca="1">SUMIF(INDIRECT("'"&amp;D4&amp;"'"&amp;"!A:A"),结果表!B19,INDIRECT("'"&amp;D4&amp;"'"&amp;"!B:B"))</f>
        <v>58060</v>
      </c>
      <c r="E19" s="1917" t="s">
        <v>1918</v>
      </c>
      <c r="F19" s="1918" t="s">
        <v>1917</v>
      </c>
      <c r="G19" s="141">
        <f ca="1">ROUND(C19*$C$18+D19*$D$18,0)</f>
        <v>57147</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5">
      <c r="A20" s="1920"/>
      <c r="B20" s="1157" t="s">
        <v>1921</v>
      </c>
      <c r="C20" s="142">
        <f ca="1">SUMIF(INDIRECT("'"&amp;C4&amp;"'"&amp;"!A:A"),结果表!B20,INDIRECT("'"&amp;C4&amp;"'"&amp;"!B:B"))</f>
        <v>7475</v>
      </c>
      <c r="D20" s="143">
        <f ca="1">SUMIF(INDIRECT("'"&amp;D4&amp;"'"&amp;"!A:A"),结果表!B20,INDIRECT("'"&amp;D4&amp;"'"&amp;"!B:B"))</f>
        <v>7718</v>
      </c>
      <c r="E20" s="1920"/>
      <c r="F20" s="1157" t="s">
        <v>1921</v>
      </c>
      <c r="G20" s="144">
        <f ca="1">ROUND(C20*$C$18+D20*$D$18,0)</f>
        <v>7597</v>
      </c>
      <c r="H20" s="917" t="s">
        <v>1922</v>
      </c>
      <c r="I20" s="134"/>
    </row>
    <row r="21" spans="1:36" ht="15" customHeight="1" thickBot="1">
      <c r="A21" s="937"/>
      <c r="B21" s="1921" t="s">
        <v>1923</v>
      </c>
      <c r="C21" s="728">
        <f ca="1">ROUND(C19*10000/L19,0)</f>
        <v>31824</v>
      </c>
      <c r="D21" s="729">
        <f ca="1">ROUND(D19*10000/L19,0)</f>
        <v>32858</v>
      </c>
      <c r="E21" s="937"/>
      <c r="F21" s="1921" t="s">
        <v>1923</v>
      </c>
      <c r="G21" s="145">
        <f ca="1">ROUND(G19*10000/L19,0)</f>
        <v>32342</v>
      </c>
      <c r="H21" s="1922" t="s">
        <v>1922</v>
      </c>
      <c r="I21" s="134"/>
    </row>
    <row r="22" spans="1:36" ht="15" thickBot="1">
      <c r="A22" s="1844" t="s">
        <v>1924</v>
      </c>
      <c r="B22" s="1923"/>
      <c r="C22" s="1924"/>
      <c r="D22" s="730">
        <f ca="1">IF(C19&lt;D19,D19/C19-1,C19/D19-1)</f>
        <v>3.248981914534177E-2</v>
      </c>
      <c r="E22" s="134"/>
      <c r="F22" s="134"/>
      <c r="G22" s="134"/>
      <c r="H22" s="134"/>
      <c r="I22" s="134"/>
    </row>
    <row r="23" spans="1:36" ht="13.5" thickBot="1">
      <c r="A23" s="1903"/>
      <c r="B23" s="1903"/>
      <c r="C23" s="1903"/>
      <c r="D23" s="1903"/>
      <c r="E23" s="134"/>
      <c r="F23" s="134"/>
      <c r="G23" s="134"/>
      <c r="H23" s="134"/>
      <c r="I23" s="134"/>
    </row>
    <row r="24" spans="1:36" ht="14.25">
      <c r="A24" s="3309" t="s">
        <v>1925</v>
      </c>
      <c r="B24" s="1918" t="s">
        <v>1917</v>
      </c>
      <c r="C24" s="141">
        <f>IF(B30=0,0,D30)</f>
        <v>0</v>
      </c>
      <c r="D24" s="1925"/>
      <c r="E24" s="134"/>
      <c r="F24" s="134"/>
      <c r="G24" s="134"/>
      <c r="H24" s="134"/>
      <c r="I24" s="134"/>
    </row>
    <row r="25" spans="1:36" ht="14.25">
      <c r="A25" s="331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57147</v>
      </c>
      <c r="D32" s="1931" t="s">
        <v>3170</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29" t="s">
        <v>1938</v>
      </c>
      <c r="B36" s="1943" t="s">
        <v>1939</v>
      </c>
      <c r="C36" s="150"/>
      <c r="D36" s="1944"/>
      <c r="E36" s="1945"/>
      <c r="F36" s="1946"/>
      <c r="G36" s="134"/>
      <c r="H36" s="134"/>
      <c r="I36" s="134"/>
    </row>
    <row r="37" spans="1:15" ht="15.75" thickBot="1">
      <c r="A37" s="3330"/>
      <c r="B37" s="1830" t="s">
        <v>1940</v>
      </c>
      <c r="C37" s="152"/>
      <c r="D37" s="1273"/>
      <c r="E37" s="1273"/>
      <c r="F37" s="1946"/>
      <c r="G37" s="134"/>
      <c r="H37" s="134"/>
      <c r="I37" s="134"/>
    </row>
    <row r="38" spans="1:15" ht="15.75" thickBot="1">
      <c r="A38" s="3331"/>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6" t="s">
        <v>1952</v>
      </c>
      <c r="B45" s="3307"/>
      <c r="C45" s="3308"/>
      <c r="D45" s="160">
        <f ca="1">ROUND(H101*F45,0)</f>
        <v>57147</v>
      </c>
      <c r="E45" s="161" t="s">
        <v>1953</v>
      </c>
      <c r="F45" s="162">
        <v>1</v>
      </c>
      <c r="G45" s="163" t="s">
        <v>1954</v>
      </c>
      <c r="H45" s="134"/>
      <c r="I45" s="134"/>
      <c r="J45" s="3387" t="s">
        <v>1955</v>
      </c>
      <c r="K45" s="3387"/>
      <c r="L45" s="3387"/>
      <c r="M45" s="3387"/>
      <c r="N45" s="3387"/>
      <c r="O45" s="3387"/>
    </row>
    <row r="46" spans="1:15" ht="14.25" customHeight="1">
      <c r="A46" s="3303" t="s">
        <v>1956</v>
      </c>
      <c r="B46" s="3304"/>
      <c r="C46" s="3304"/>
      <c r="D46" s="3304"/>
      <c r="E46" s="3304"/>
      <c r="F46" s="3304"/>
      <c r="G46" s="3305"/>
      <c r="H46" s="1962"/>
      <c r="I46" s="164"/>
      <c r="J46" s="2717">
        <v>1</v>
      </c>
      <c r="K46" s="3368" t="s">
        <v>1957</v>
      </c>
      <c r="L46" s="3368"/>
      <c r="M46" s="3388"/>
      <c r="N46" s="3388"/>
      <c r="O46" s="3388"/>
    </row>
    <row r="47" spans="1:15" ht="12" customHeight="1">
      <c r="A47" s="165" t="s">
        <v>1958</v>
      </c>
      <c r="B47" s="166"/>
      <c r="C47" s="167"/>
      <c r="D47" s="1219" t="s">
        <v>1959</v>
      </c>
      <c r="E47" s="308" t="s">
        <v>1960</v>
      </c>
      <c r="F47" s="168" t="s">
        <v>1961</v>
      </c>
      <c r="G47" s="2740" t="s">
        <v>1962</v>
      </c>
      <c r="H47" s="2741"/>
      <c r="I47" s="164"/>
      <c r="J47" s="2717">
        <v>2</v>
      </c>
      <c r="K47" s="3368" t="s">
        <v>1963</v>
      </c>
      <c r="L47" s="3368"/>
      <c r="M47" s="3389">
        <f>'数据-取费表'!B2</f>
        <v>44641</v>
      </c>
      <c r="N47" s="3389"/>
      <c r="O47" s="3389"/>
    </row>
    <row r="48" spans="1:15" ht="25.5">
      <c r="A48" s="3334" t="s">
        <v>1964</v>
      </c>
      <c r="B48" s="3317"/>
      <c r="C48" s="3317"/>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68" t="s">
        <v>1966</v>
      </c>
      <c r="L48" s="3368"/>
      <c r="M48" s="3390">
        <f ca="1">H101</f>
        <v>57147</v>
      </c>
      <c r="N48" s="3390"/>
      <c r="O48" s="3390"/>
    </row>
    <row r="49" spans="1:35" ht="25.5" customHeight="1">
      <c r="A49" s="2526" t="s">
        <v>1967</v>
      </c>
      <c r="B49" s="3301" t="s">
        <v>1968</v>
      </c>
      <c r="C49" s="3301"/>
      <c r="D49" s="1745">
        <v>0</v>
      </c>
      <c r="E49" s="330" t="s">
        <v>1969</v>
      </c>
      <c r="F49" s="2618" t="s">
        <v>34</v>
      </c>
      <c r="G49" s="3374"/>
      <c r="H49" s="2498" t="s">
        <v>2817</v>
      </c>
      <c r="I49" s="2499"/>
      <c r="J49" s="2717">
        <v>4</v>
      </c>
      <c r="K49" s="3368" t="str">
        <f>IF(项目基本情况!E8="房地产抵押价值","房地产抵押价值","抵押担保权已注销时的房地产抵押价值")</f>
        <v>房地产抵押价值</v>
      </c>
      <c r="L49" s="3368"/>
      <c r="M49" s="3390">
        <f ca="1">IF(项目基本情况!E8="房地产抵押价值",H107,H109)</f>
        <v>57147</v>
      </c>
      <c r="N49" s="3390"/>
      <c r="O49" s="3390"/>
    </row>
    <row r="50" spans="1:35" ht="25.5" customHeight="1">
      <c r="A50" s="2745"/>
      <c r="B50" s="3301" t="s">
        <v>1970</v>
      </c>
      <c r="C50" s="3301"/>
      <c r="D50" s="2746"/>
      <c r="E50" s="338"/>
      <c r="F50" s="2618"/>
      <c r="G50" s="3375"/>
      <c r="H50" s="2500" t="s">
        <v>2818</v>
      </c>
      <c r="I50" s="2499"/>
      <c r="J50" s="3387" t="s">
        <v>1971</v>
      </c>
      <c r="K50" s="3387"/>
      <c r="L50" s="3387"/>
      <c r="M50" s="3387"/>
      <c r="N50" s="3387"/>
      <c r="O50" s="3387"/>
    </row>
    <row r="51" spans="1:35" ht="20.45" customHeight="1">
      <c r="A51" s="2747"/>
      <c r="B51" s="3301" t="s">
        <v>1972</v>
      </c>
      <c r="C51" s="3301"/>
      <c r="D51" s="1219"/>
      <c r="E51" s="333"/>
      <c r="F51" s="2618"/>
      <c r="G51" s="3376"/>
      <c r="H51" s="2500" t="s">
        <v>2819</v>
      </c>
      <c r="I51" s="2499"/>
      <c r="J51" s="2718" t="s">
        <v>1973</v>
      </c>
      <c r="K51" s="3368" t="s">
        <v>1974</v>
      </c>
      <c r="L51" s="3368"/>
      <c r="M51" s="2718" t="s">
        <v>1975</v>
      </c>
      <c r="N51" s="2718" t="s">
        <v>1976</v>
      </c>
      <c r="O51" s="2718" t="s">
        <v>1977</v>
      </c>
    </row>
    <row r="52" spans="1:35" ht="24" customHeight="1">
      <c r="A52" s="2528" t="s">
        <v>1978</v>
      </c>
      <c r="B52" s="3301" t="s">
        <v>1979</v>
      </c>
      <c r="C52" s="3301"/>
      <c r="D52" s="1219">
        <f ca="1">ROUND(D45*'数据-取费表'!B41/(1+'数据-取费表'!C42),0)</f>
        <v>2993</v>
      </c>
      <c r="E52" s="2527" t="s">
        <v>1980</v>
      </c>
      <c r="F52" s="2748">
        <f>'数据-取费表'!B41</f>
        <v>5.5000000000000007E-2</v>
      </c>
      <c r="G52" s="2749"/>
      <c r="H52" s="2738"/>
      <c r="I52" s="1963"/>
      <c r="J52" s="2717">
        <v>1</v>
      </c>
      <c r="K52" s="3369" t="s">
        <v>1981</v>
      </c>
      <c r="L52" s="3369"/>
      <c r="M52" s="2719" t="b">
        <f>D48</f>
        <v>0</v>
      </c>
      <c r="N52" s="2717" t="str">
        <f>E48</f>
        <v>销售额×税（费）率</v>
      </c>
      <c r="O52" s="2720">
        <f>F48</f>
        <v>5.5000000000000007E-2</v>
      </c>
    </row>
    <row r="53" spans="1:35" ht="12" customHeight="1">
      <c r="A53" s="2528" t="s">
        <v>1982</v>
      </c>
      <c r="B53" s="3327" t="s">
        <v>2978</v>
      </c>
      <c r="C53" s="3328"/>
      <c r="D53" s="1219">
        <f ca="1">ROUND(D45*'数据-取费表'!B41/(1+'数据-取费表'!C42),0)</f>
        <v>2993</v>
      </c>
      <c r="E53" s="2527" t="s">
        <v>1980</v>
      </c>
      <c r="F53" s="2748">
        <f>'数据-取费表'!B41</f>
        <v>5.5000000000000007E-2</v>
      </c>
      <c r="G53" s="2749"/>
      <c r="H53" s="2738"/>
      <c r="I53" s="1963"/>
      <c r="J53" s="2717">
        <v>2</v>
      </c>
      <c r="K53" s="3369" t="s">
        <v>1983</v>
      </c>
      <c r="L53" s="3369"/>
      <c r="M53" s="2719">
        <f t="shared" ref="M53:O54" ca="1" si="0">D55</f>
        <v>29</v>
      </c>
      <c r="N53" s="2717" t="str">
        <f t="shared" si="0"/>
        <v>销售额×税（费）率</v>
      </c>
      <c r="O53" s="2720" t="str">
        <f t="shared" si="0"/>
        <v>免征</v>
      </c>
    </row>
    <row r="54" spans="1:35" ht="12" customHeight="1">
      <c r="A54" s="2528" t="s">
        <v>1984</v>
      </c>
      <c r="B54" s="3327" t="s">
        <v>2979</v>
      </c>
      <c r="C54" s="3328"/>
      <c r="D54" s="1219">
        <f ca="1">C68</f>
        <v>2993</v>
      </c>
      <c r="E54" s="333" t="s">
        <v>1985</v>
      </c>
      <c r="F54" s="2748">
        <f>'数据-取费表'!B41</f>
        <v>5.5000000000000007E-2</v>
      </c>
      <c r="G54" s="2749"/>
      <c r="H54" s="2750"/>
      <c r="I54" s="1963"/>
      <c r="J54" s="2717">
        <v>3</v>
      </c>
      <c r="K54" s="3369" t="s">
        <v>1986</v>
      </c>
      <c r="L54" s="3369"/>
      <c r="M54" s="2719">
        <f t="shared" ca="1" si="0"/>
        <v>32397</v>
      </c>
      <c r="N54" s="2717" t="str">
        <f t="shared" si="0"/>
        <v>增值额×税（费）率</v>
      </c>
      <c r="O54" s="2721" t="str">
        <f t="shared" si="0"/>
        <v>免征</v>
      </c>
    </row>
    <row r="55" spans="1:35" ht="24" customHeight="1">
      <c r="A55" s="3316" t="s">
        <v>1987</v>
      </c>
      <c r="B55" s="3317"/>
      <c r="C55" s="3317"/>
      <c r="D55" s="2517">
        <f ca="1">IF(H55="个人住宅",0,ROUND(D45*I55,0))</f>
        <v>29</v>
      </c>
      <c r="E55" s="2527" t="s">
        <v>1988</v>
      </c>
      <c r="F55" s="2748" t="str">
        <f>IF(H55="正常",I55,"免征")</f>
        <v>免征</v>
      </c>
      <c r="G55" s="2749"/>
      <c r="H55" s="2744"/>
      <c r="I55" s="170">
        <f>'数据-取费表'!B49</f>
        <v>5.0000000000000001E-4</v>
      </c>
      <c r="J55" s="2717">
        <f>IF(H59="非个人房产","",4)</f>
        <v>4</v>
      </c>
      <c r="K55" s="3369" t="str">
        <f>IF(H59="非个人房产","——","个人所得税")</f>
        <v>个人所得税</v>
      </c>
      <c r="L55" s="3369"/>
      <c r="M55" s="2722">
        <f ca="1">D59</f>
        <v>544</v>
      </c>
      <c r="N55" s="2198" t="str">
        <f>E59</f>
        <v>差额计税</v>
      </c>
      <c r="O55" s="2723">
        <f>F59</f>
        <v>0.01</v>
      </c>
    </row>
    <row r="56" spans="1:35" ht="24.75">
      <c r="A56" s="3316" t="s">
        <v>1989</v>
      </c>
      <c r="B56" s="3317"/>
      <c r="C56" s="3317"/>
      <c r="D56" s="2517">
        <f ca="1">IF(H56="个人住宅",D57,D58)</f>
        <v>32397</v>
      </c>
      <c r="E56" s="2527" t="s">
        <v>1990</v>
      </c>
      <c r="F56" s="2748" t="str">
        <f>IF(H56="正常",F58,"免征")</f>
        <v>免征</v>
      </c>
      <c r="G56" s="2751" t="s">
        <v>1991</v>
      </c>
      <c r="H56" s="2752"/>
      <c r="I56" s="1964"/>
      <c r="J56" s="2717" t="str">
        <f>IF(项目基本情况!K6="上海银行",IF(J55="",4,J55+1),"")</f>
        <v/>
      </c>
      <c r="K56" s="3392" t="str">
        <f>IF(项目基本情况!K6="上海银行","其他处置费用","")</f>
        <v/>
      </c>
      <c r="L56" s="3393"/>
      <c r="M56" s="2719" t="str">
        <f>IF(项目基本情况!K6="上海银行",M69,"")</f>
        <v/>
      </c>
      <c r="N56" s="3392" t="str">
        <f>IF(项目基本情况!K6="上海银行","包含处置中涉及的律师、诉讼、拍卖、评估等费用","")</f>
        <v/>
      </c>
      <c r="O56" s="3395"/>
    </row>
    <row r="57" spans="1:35" ht="12.75">
      <c r="A57" s="2528" t="s">
        <v>1967</v>
      </c>
      <c r="B57" s="3327" t="s">
        <v>1992</v>
      </c>
      <c r="C57" s="3328"/>
      <c r="D57" s="1745">
        <v>0</v>
      </c>
      <c r="E57" s="330" t="s">
        <v>1969</v>
      </c>
      <c r="F57" s="308"/>
      <c r="G57" s="2749"/>
      <c r="H57" s="2753"/>
      <c r="I57" s="1964"/>
      <c r="J57" s="3369">
        <f>IF(AND(J55="",J56=""),4,IF(项目基本情况!K6="上海银行",结果表!J56+1,结果表!J55+1))</f>
        <v>5</v>
      </c>
      <c r="K57" s="3369" t="s">
        <v>1993</v>
      </c>
      <c r="L57" s="2724" t="s">
        <v>1994</v>
      </c>
      <c r="M57" s="2725"/>
      <c r="N57" s="2726">
        <f ca="1">SUMIF(M52:M56,"&lt;9e307")</f>
        <v>32970</v>
      </c>
      <c r="O57" s="2727"/>
      <c r="P57" s="2887">
        <f ca="1">N57/M49</f>
        <v>0.57693317234500496</v>
      </c>
    </row>
    <row r="58" spans="1:35" ht="24.75">
      <c r="A58" s="2528" t="s">
        <v>1978</v>
      </c>
      <c r="B58" s="3327" t="s">
        <v>1995</v>
      </c>
      <c r="C58" s="3301"/>
      <c r="D58" s="2517">
        <f ca="1">IF(H58="转让取得",C81,C97)</f>
        <v>32397</v>
      </c>
      <c r="E58" s="2527" t="s">
        <v>1990</v>
      </c>
      <c r="F58" s="308" t="s">
        <v>34</v>
      </c>
      <c r="G58" s="2749"/>
      <c r="H58" s="2752"/>
      <c r="I58" s="1964"/>
      <c r="J58" s="3369"/>
      <c r="K58" s="3369"/>
      <c r="L58" s="2724" t="s">
        <v>1996</v>
      </c>
      <c r="M58" s="2728"/>
      <c r="N58" s="2729" t="str">
        <f ca="1">NUMBERSTRING(INT(N57*10000),2)&amp;"元整"</f>
        <v>叁亿贰仟玖佰柒拾万元整</v>
      </c>
      <c r="O58" s="2730"/>
    </row>
    <row r="59" spans="1:35" ht="24.75" thickBot="1">
      <c r="A59" s="3372" t="s">
        <v>1997</v>
      </c>
      <c r="B59" s="3373"/>
      <c r="C59" s="3373"/>
      <c r="D59" s="2754">
        <f ca="1">IF(H59="非个人房产","——",IF(H59="个人住宅（满五唯一有凭证）",0,IF(H59="个人其他（无凭证）",ROUND(D45*F59,0),ROUND(C67*F59,0))))</f>
        <v>544</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2820</v>
      </c>
      <c r="J59" s="3370">
        <f>J57+1</f>
        <v>6</v>
      </c>
      <c r="K59" s="3369" t="s">
        <v>1998</v>
      </c>
      <c r="L59" s="2717" t="s">
        <v>1994</v>
      </c>
      <c r="M59" s="2731"/>
      <c r="N59" s="2732">
        <f ca="1">M49-N57</f>
        <v>24177</v>
      </c>
      <c r="O59" s="2733"/>
    </row>
    <row r="60" spans="1:35" ht="12" customHeight="1">
      <c r="A60" s="1965"/>
      <c r="B60" s="1903"/>
      <c r="C60" s="1903"/>
      <c r="D60" s="1903"/>
      <c r="E60" s="1733"/>
      <c r="F60" s="1964"/>
      <c r="G60" s="1964"/>
      <c r="H60" s="1966"/>
      <c r="I60" s="134"/>
      <c r="J60" s="3371"/>
      <c r="K60" s="3369"/>
      <c r="L60" s="2724" t="s">
        <v>1996</v>
      </c>
      <c r="M60" s="2728"/>
      <c r="N60" s="2729" t="str">
        <f ca="1">NUMBERSTRING(INT(N59*10000),2)&amp;"元整"</f>
        <v>贰亿肆仟壹佰柒拾柒万元整</v>
      </c>
      <c r="O60" s="2730"/>
    </row>
    <row r="61" spans="1:35" ht="13.5" thickBot="1">
      <c r="A61" s="3314" t="s">
        <v>1999</v>
      </c>
      <c r="B61" s="3314"/>
      <c r="C61" s="3314"/>
      <c r="D61" s="3314"/>
      <c r="E61" s="3314"/>
      <c r="F61" s="1964"/>
      <c r="G61" s="1964"/>
      <c r="H61" s="1966"/>
      <c r="I61" s="134"/>
      <c r="J61" s="2717">
        <f>J59+1</f>
        <v>7</v>
      </c>
      <c r="K61" s="3369" t="s">
        <v>2000</v>
      </c>
      <c r="L61" s="3369"/>
      <c r="M61" s="2734"/>
      <c r="N61" s="2735">
        <f ca="1">ROUND(N59*10000/'数据-汇总表'!E3,0)</f>
        <v>3214</v>
      </c>
      <c r="O61" s="2736"/>
    </row>
    <row r="62" spans="1:35" ht="12.75">
      <c r="A62" s="3332" t="s">
        <v>2001</v>
      </c>
      <c r="B62" s="3333"/>
      <c r="C62" s="2179"/>
      <c r="D62" s="2179" t="s">
        <v>2002</v>
      </c>
      <c r="E62" s="171" t="s">
        <v>2003</v>
      </c>
      <c r="F62" s="1964"/>
      <c r="G62" s="1964"/>
      <c r="H62" s="1966"/>
      <c r="I62" s="134"/>
    </row>
    <row r="63" spans="1:35" ht="12.75">
      <c r="A63" s="178" t="s">
        <v>775</v>
      </c>
      <c r="B63" s="172" t="s">
        <v>2004</v>
      </c>
      <c r="C63" s="2758">
        <f ca="1">ROUND((C64+C65)/(1+'数据-取费表'!C42),0)</f>
        <v>54426</v>
      </c>
      <c r="D63" s="172"/>
      <c r="E63" s="173"/>
      <c r="F63" s="1964"/>
      <c r="G63" s="1964"/>
      <c r="H63" s="1966"/>
      <c r="I63" s="134"/>
      <c r="J63" s="3394" t="s">
        <v>2005</v>
      </c>
      <c r="K63" s="1472" t="s">
        <v>2006</v>
      </c>
      <c r="L63" s="1472">
        <f ca="1">IF(M49&gt;10000,M49*0.5%,IF(AND(M49&gt;1000,M49&lt;=10000),M49*1%,IF(AND(M49&gt;100,M49&lt;=1000),M49*3%,IF(AND(M49&gt;10,M49&lt;=100),M49*5%,M49*8%))))</f>
        <v>285.73500000000001</v>
      </c>
      <c r="M63" s="308">
        <f ca="1">ROUND(L63,1)</f>
        <v>285.7</v>
      </c>
      <c r="N63" s="2737"/>
      <c r="Z63" s="1908"/>
      <c r="AI63" s="1909"/>
    </row>
    <row r="64" spans="1:35" ht="14.25" customHeight="1">
      <c r="A64" s="174" t="s">
        <v>770</v>
      </c>
      <c r="B64" s="175" t="s">
        <v>2007</v>
      </c>
      <c r="C64" s="2759">
        <f ca="1">D45</f>
        <v>57147</v>
      </c>
      <c r="D64" s="175" t="s">
        <v>32</v>
      </c>
      <c r="E64" s="177"/>
      <c r="F64" s="1964"/>
      <c r="G64" s="1964"/>
      <c r="H64" s="1966"/>
      <c r="I64" s="134"/>
      <c r="J64" s="3394"/>
      <c r="K64" s="1472" t="s">
        <v>2008</v>
      </c>
      <c r="L64" s="1472">
        <f ca="1">IF(M49&gt;2000,M49*0.5%,IF(AND(M49&gt;1000,M49&lt;=2000),M49*0.6%,IF(AND(M49&gt;500,M49&lt;=1000),M49*0.7%,IF(AND(M49&gt;200,M49&lt;=500),M49*0.8%,IF(AND(M49&gt;100,M49&lt;=200),M49*0.9%,IF(AND(M49&gt;50,M49&lt;=100),M49*1%,IF(AND(M49&gt;20,M49&lt;=50),M49*1.5%,IF(AND(M49&gt;10,M49&lt;=20),M49*2%,IF(AND(M49&gt;1,M49&lt;=10),M49*2.5%)))))))))</f>
        <v>285.73500000000001</v>
      </c>
      <c r="M64" s="308">
        <f t="shared" ref="M64:M65" ca="1" si="1">ROUND(L64,1)</f>
        <v>285.7</v>
      </c>
      <c r="N64" s="2738" t="s">
        <v>2009</v>
      </c>
      <c r="Z64" s="1908"/>
      <c r="AI64" s="1909"/>
    </row>
    <row r="65" spans="1:35" ht="14.25" customHeight="1">
      <c r="A65" s="174" t="s">
        <v>771</v>
      </c>
      <c r="B65" s="175" t="s">
        <v>2010</v>
      </c>
      <c r="C65" s="2760"/>
      <c r="D65" s="175"/>
      <c r="E65" s="177"/>
      <c r="F65" s="1964"/>
      <c r="G65" s="1964"/>
      <c r="H65" s="1966"/>
      <c r="I65" s="134"/>
      <c r="J65" s="3394"/>
      <c r="K65" s="1472" t="s">
        <v>2011</v>
      </c>
      <c r="L65" s="1472">
        <f ca="1">IF(M49&gt;1000,M49*0.1%,IF(AND(M49&gt;500,M49&lt;=1000),M49*0.5%,IF(AND(M49&gt;50,M49&lt;=500),M49*1%,IF(AND(M49&gt;1,M49&lt;=50),M49*1.5%))))</f>
        <v>57.146999999999998</v>
      </c>
      <c r="M65" s="308">
        <f t="shared" ca="1" si="1"/>
        <v>57.1</v>
      </c>
      <c r="N65" s="2738" t="s">
        <v>2009</v>
      </c>
      <c r="Z65" s="1908"/>
      <c r="AI65" s="1909"/>
    </row>
    <row r="66" spans="1:35" ht="14.25" customHeight="1">
      <c r="A66" s="178" t="s">
        <v>772</v>
      </c>
      <c r="B66" s="179" t="s">
        <v>2012</v>
      </c>
      <c r="C66" s="2761"/>
      <c r="D66" s="179" t="s">
        <v>32</v>
      </c>
      <c r="E66" s="1479" t="s">
        <v>1277</v>
      </c>
      <c r="F66" s="1964"/>
      <c r="G66" s="1964"/>
      <c r="H66" s="1966"/>
      <c r="I66" s="134"/>
      <c r="J66" s="3394"/>
      <c r="K66" s="1472" t="s">
        <v>2013</v>
      </c>
      <c r="L66" s="1472">
        <f ca="1">M49*0.5%</f>
        <v>285.73500000000001</v>
      </c>
      <c r="M66" s="308">
        <f ca="1">IF(L66&gt;0.5,0.5,ROUND(L66,0))</f>
        <v>0.5</v>
      </c>
      <c r="N66" s="2738" t="s">
        <v>2014</v>
      </c>
      <c r="Z66" s="1908"/>
      <c r="AI66" s="1909"/>
    </row>
    <row r="67" spans="1:35" ht="14.25" customHeight="1">
      <c r="A67" s="178" t="s">
        <v>773</v>
      </c>
      <c r="B67" s="179" t="s">
        <v>2015</v>
      </c>
      <c r="C67" s="2762">
        <f ca="1">C63-C66</f>
        <v>54426</v>
      </c>
      <c r="D67" s="175" t="s">
        <v>32</v>
      </c>
      <c r="E67" s="177"/>
      <c r="F67" s="1964"/>
      <c r="G67" s="1964"/>
      <c r="H67" s="1966"/>
      <c r="I67" s="134"/>
      <c r="J67" s="3394"/>
      <c r="K67" s="1472" t="s">
        <v>2016</v>
      </c>
      <c r="L67" s="1472">
        <f ca="1">IF(M49&gt;=10000,(8.25+(M49-10000)*0.01%),IF(AND(M49&gt;=8000,M49&lt;10000),(7.85+(M49-8000)*0.02%),IF(AND(M49&gt;=5000,M49&lt;8000),(6.65+(M49-5000)*0.04%),IF(AND(M49&gt;=2000,M49&lt;5000),(4.25+(PM49-2000)*0.08%),IF(AND(M49&gt;=1000,M49&lt;2000),(2.75+(M49-1000)*0.15%),IF(AND(M49&gt;=100,M49&lt;1000),(0.5+(M49-100)*0.25%),IF(AND(M49&gt;0,M49&lt;100),M49*0.5%)))))))</f>
        <v>12.964700000000001</v>
      </c>
      <c r="M67" s="308">
        <f ca="1">ROUND(L67*0.9,1)</f>
        <v>11.7</v>
      </c>
      <c r="N67" s="2737"/>
      <c r="Z67" s="1908"/>
      <c r="AI67" s="1909"/>
    </row>
    <row r="68" spans="1:35" ht="14.25" customHeight="1" thickBot="1">
      <c r="A68" s="181" t="s">
        <v>774</v>
      </c>
      <c r="B68" s="182" t="s">
        <v>2017</v>
      </c>
      <c r="C68" s="2763">
        <f ca="1">IF(C67&lt;=0,0,ROUND(C67*D68,0))</f>
        <v>2993</v>
      </c>
      <c r="D68" s="2764">
        <f>'数据-取费表'!B41</f>
        <v>5.5000000000000007E-2</v>
      </c>
      <c r="E68" s="184"/>
      <c r="F68" s="1964"/>
      <c r="G68" s="1964"/>
      <c r="H68" s="1966"/>
      <c r="I68" s="134"/>
      <c r="J68" s="3394"/>
      <c r="K68" s="1472" t="s">
        <v>2018</v>
      </c>
      <c r="L68" s="1472">
        <f ca="1">IF(M49&gt;10000,M49*0.5%,IF(AND(M49&gt;5000,M49&lt;=10000),M49*1%,IF(AND(M49&gt;1000,M49&lt;=5000),M49*2%,IF(AND(M49&gt;200,M49&lt;=1000),M49*3%,M49*5%))))</f>
        <v>285.73500000000001</v>
      </c>
      <c r="M68" s="308">
        <f ca="1">ROUND(L68,1)</f>
        <v>285.7</v>
      </c>
      <c r="N68" s="2737"/>
      <c r="Z68" s="1908"/>
      <c r="AI68" s="1909"/>
    </row>
    <row r="69" spans="1:35" s="1928" customFormat="1" ht="16.5" customHeight="1">
      <c r="A69" s="1967"/>
      <c r="B69" s="1968"/>
      <c r="C69" s="1969"/>
      <c r="D69" s="1970"/>
      <c r="E69" s="1971"/>
      <c r="F69" s="1733"/>
      <c r="G69" s="1733"/>
      <c r="H69" s="1732"/>
      <c r="I69" s="1903"/>
      <c r="J69" s="3394"/>
      <c r="K69" s="1472" t="s">
        <v>2019</v>
      </c>
      <c r="L69" s="1472"/>
      <c r="M69" s="308">
        <f ca="1">ROUND(SUM(M63:M68),0)</f>
        <v>926</v>
      </c>
      <c r="N69" s="2739">
        <f ca="1">M69/M49</f>
        <v>1.6203825222671355E-2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3" t="s">
        <v>2020</v>
      </c>
      <c r="B70" s="3354"/>
      <c r="C70" s="3354"/>
      <c r="D70" s="3354"/>
      <c r="E70" s="3354"/>
      <c r="F70" s="3354"/>
      <c r="G70" s="3354"/>
      <c r="H70" s="3354"/>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2" t="s">
        <v>2001</v>
      </c>
      <c r="B71" s="3333"/>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54426</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272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27" t="s">
        <v>2028</v>
      </c>
      <c r="F76" s="3301"/>
      <c r="G76" s="3301"/>
      <c r="H76" s="335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272</v>
      </c>
      <c r="D78" s="2771">
        <f>'数据-取费表'!B43</f>
        <v>5.000000000000001E-3</v>
      </c>
      <c r="E78" s="3311" t="s">
        <v>2032</v>
      </c>
      <c r="F78" s="3312"/>
      <c r="G78" s="3312"/>
      <c r="H78" s="332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54154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199.09558823529412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32397</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3" t="s">
        <v>2036</v>
      </c>
      <c r="B83" s="3354"/>
      <c r="C83" s="3354"/>
      <c r="D83" s="3354"/>
      <c r="E83" s="3354"/>
      <c r="F83" s="3354"/>
      <c r="G83" s="3354"/>
      <c r="H83" s="335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2" t="s">
        <v>2001</v>
      </c>
      <c r="B84" s="333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54426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272</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96" t="s">
        <v>2812</v>
      </c>
      <c r="H90" s="3397"/>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1" t="s">
        <v>2045</v>
      </c>
      <c r="F91" s="3312"/>
      <c r="G91" s="3312"/>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1" t="s">
        <v>2048</v>
      </c>
      <c r="F92" s="3312"/>
      <c r="G92" s="3312"/>
      <c r="H92" s="3321"/>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272</v>
      </c>
      <c r="D93" s="2771">
        <f>'数据-取费表'!B43</f>
        <v>5.000000000000001E-3</v>
      </c>
      <c r="E93" s="3311" t="s">
        <v>2032</v>
      </c>
      <c r="F93" s="3312"/>
      <c r="G93" s="3312"/>
      <c r="H93" s="332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22" t="s">
        <v>2052</v>
      </c>
      <c r="F94" s="3323"/>
      <c r="G94" s="3323"/>
      <c r="H94" s="332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54154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199.09558823529412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32397</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5" t="s">
        <v>2054</v>
      </c>
      <c r="B100" s="3296"/>
      <c r="C100" s="3296"/>
      <c r="D100" s="3313"/>
      <c r="E100" s="3296" t="s">
        <v>2055</v>
      </c>
      <c r="F100" s="3296"/>
      <c r="G100" s="3296"/>
      <c r="H100" s="3313"/>
      <c r="I100" s="134"/>
    </row>
    <row r="101" spans="1:35" ht="18.75" customHeight="1">
      <c r="A101" s="3377" t="s">
        <v>2056</v>
      </c>
      <c r="B101" s="3378"/>
      <c r="C101" s="2779" t="str">
        <f>C4</f>
        <v>成本法</v>
      </c>
      <c r="D101" s="2780" t="str">
        <f>D4</f>
        <v>收益法</v>
      </c>
      <c r="E101" s="3391" t="s">
        <v>2057</v>
      </c>
      <c r="F101" s="3345"/>
      <c r="G101" s="1983" t="s">
        <v>2058</v>
      </c>
      <c r="H101" s="2789">
        <f ca="1">H118</f>
        <v>57147</v>
      </c>
      <c r="I101" s="134"/>
    </row>
    <row r="102" spans="1:35" ht="18.75" customHeight="1">
      <c r="A102" s="3347" t="s">
        <v>2059</v>
      </c>
      <c r="B102" s="2778" t="s">
        <v>2058</v>
      </c>
      <c r="C102" s="2779">
        <f ca="1">C19</f>
        <v>56233</v>
      </c>
      <c r="D102" s="2780">
        <f ca="1">D19</f>
        <v>58060</v>
      </c>
      <c r="E102" s="3391"/>
      <c r="F102" s="3345"/>
      <c r="G102" s="1983" t="s">
        <v>2060</v>
      </c>
      <c r="H102" s="2749">
        <f ca="1">I118</f>
        <v>7596</v>
      </c>
      <c r="I102" s="134"/>
    </row>
    <row r="103" spans="1:35" ht="42.75" customHeight="1">
      <c r="A103" s="3347"/>
      <c r="B103" s="2778" t="s">
        <v>2060</v>
      </c>
      <c r="C103" s="2781">
        <f ca="1">C20</f>
        <v>7475</v>
      </c>
      <c r="D103" s="2782">
        <f ca="1">D20</f>
        <v>7718</v>
      </c>
      <c r="E103" s="3385" t="s">
        <v>2061</v>
      </c>
      <c r="F103" s="3386"/>
      <c r="G103" s="1984" t="s">
        <v>2062</v>
      </c>
      <c r="H103" s="2789">
        <f>IF(D36="正常操作",H104+H105+H106,H105+H106)</f>
        <v>0</v>
      </c>
      <c r="I103" s="134"/>
    </row>
    <row r="104" spans="1:35" ht="18.75" customHeight="1">
      <c r="A104" s="3347" t="s">
        <v>2063</v>
      </c>
      <c r="B104" s="2783" t="s">
        <v>2058</v>
      </c>
      <c r="C104" s="2784">
        <f ca="1">H118</f>
        <v>57147</v>
      </c>
      <c r="D104" s="2785"/>
      <c r="E104" s="1830" t="s">
        <v>2064</v>
      </c>
      <c r="F104" s="1821"/>
      <c r="G104" s="1984" t="s">
        <v>2062</v>
      </c>
      <c r="H104" s="2790">
        <f>IF(D36="同一抵押权人同一抵押物续贷",C36&amp;"（续贷，未扣减，详见特别提示）",C36)</f>
        <v>0</v>
      </c>
      <c r="I104" s="134"/>
    </row>
    <row r="105" spans="1:35" ht="18.75" customHeight="1" thickBot="1">
      <c r="A105" s="3348"/>
      <c r="B105" s="2786" t="s">
        <v>2060</v>
      </c>
      <c r="C105" s="2787">
        <f ca="1">I118</f>
        <v>7596</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4" t="str">
        <f>IF(项目基本情况!E8="已注销","——","3.房地产抵押价值")</f>
        <v>3.房地产抵押价值</v>
      </c>
      <c r="F107" s="3345"/>
      <c r="G107" s="1983" t="s">
        <v>2058</v>
      </c>
      <c r="H107" s="2789">
        <f ca="1">IF(E107="——","——",H101-H103)</f>
        <v>57147</v>
      </c>
      <c r="I107" s="134"/>
    </row>
    <row r="108" spans="1:35" ht="18.75" customHeight="1">
      <c r="A108" s="134"/>
      <c r="B108" s="134"/>
      <c r="C108" s="134"/>
      <c r="D108" s="134"/>
      <c r="E108" s="3344"/>
      <c r="F108" s="3345"/>
      <c r="G108" s="1983" t="s">
        <v>2060</v>
      </c>
      <c r="H108" s="2749">
        <f ca="1">ROUND(H107*10000/'数据-汇总表'!E3,0)</f>
        <v>7596</v>
      </c>
      <c r="I108" s="134"/>
    </row>
    <row r="109" spans="1:35" ht="18.75" customHeight="1">
      <c r="A109" s="134"/>
      <c r="B109" s="134"/>
      <c r="C109" s="134"/>
      <c r="D109" s="134"/>
      <c r="E109" s="3344" t="str">
        <f>IF(项目基本情况!E8="已注销及未注销","4.抵押担保权已注销时的房地产抵押价值",IF(项目基本情况!E8="已注销","3.抵押担保权已注销时的房地产抵押价值","——"))</f>
        <v>——</v>
      </c>
      <c r="F109" s="3345"/>
      <c r="G109" s="1983" t="s">
        <v>2058</v>
      </c>
      <c r="H109" s="2792" t="str">
        <f>IF(E109="——","——",H101-H105-H106)</f>
        <v>——</v>
      </c>
      <c r="I109" s="134"/>
    </row>
    <row r="110" spans="1:35" ht="18.75" customHeight="1">
      <c r="A110" s="134"/>
      <c r="B110" s="134"/>
      <c r="C110" s="134"/>
      <c r="D110" s="134"/>
      <c r="E110" s="3344"/>
      <c r="F110" s="3345"/>
      <c r="G110" s="1983" t="s">
        <v>2060</v>
      </c>
      <c r="H110" s="2749" t="str">
        <f>IF(H109="——","——",ROUND(H109*10000/'数据-汇总表'!E3,0))</f>
        <v>——</v>
      </c>
      <c r="I110" s="134"/>
    </row>
    <row r="111" spans="1:35" ht="18.75" customHeight="1">
      <c r="A111" s="134"/>
      <c r="B111" s="134"/>
      <c r="C111" s="134"/>
      <c r="D111" s="134"/>
      <c r="E111" s="3379" t="str">
        <f>IF(项目基本情况!E9="抵押净值",IF(OR(项目基本情况!E8="已注销",项目基本情况!E8="房地产抵押价值"),"4.抵押净值","5.抵押净值"),"——")</f>
        <v>——</v>
      </c>
      <c r="F111" s="3346"/>
      <c r="G111" s="1983" t="s">
        <v>2058</v>
      </c>
      <c r="H111" s="2789" t="str">
        <f>IF(E111="——","——",N59)</f>
        <v>——</v>
      </c>
      <c r="I111" s="134"/>
    </row>
    <row r="112" spans="1:35" ht="18.75" customHeight="1" thickBot="1">
      <c r="A112" s="134"/>
      <c r="B112" s="134"/>
      <c r="C112" s="134"/>
      <c r="D112" s="134"/>
      <c r="E112" s="3380"/>
      <c r="F112" s="3381"/>
      <c r="G112" s="1986" t="s">
        <v>2060</v>
      </c>
      <c r="H112" s="2793" t="str">
        <f>IF(E111="——","——",N61)</f>
        <v>——</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2" t="s">
        <v>2068</v>
      </c>
      <c r="B115" s="3363"/>
      <c r="C115" s="3363"/>
      <c r="D115" s="3363"/>
      <c r="E115" s="3363"/>
      <c r="F115" s="3363"/>
      <c r="G115" s="3363"/>
      <c r="H115" s="3363"/>
      <c r="I115" s="3364"/>
    </row>
    <row r="116" spans="1:27" ht="27" customHeight="1">
      <c r="A116" s="3315" t="s">
        <v>2069</v>
      </c>
      <c r="B116" s="3350" t="s">
        <v>2070</v>
      </c>
      <c r="C116" s="3350" t="s">
        <v>2071</v>
      </c>
      <c r="D116" s="3366" t="s">
        <v>2072</v>
      </c>
      <c r="E116" s="3367"/>
      <c r="F116" s="3358" t="s">
        <v>2073</v>
      </c>
      <c r="G116" s="3358"/>
      <c r="H116" s="3315" t="s">
        <v>2074</v>
      </c>
      <c r="I116" s="3315"/>
    </row>
    <row r="117" spans="1:27" ht="18.75" customHeight="1">
      <c r="A117" s="3315"/>
      <c r="B117" s="3351"/>
      <c r="C117" s="3351"/>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75230.36</v>
      </c>
      <c r="C118" s="2522">
        <f>M19</f>
        <v>17669.82</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57147</v>
      </c>
      <c r="I118" s="2522">
        <f ca="1">ROUND(IF(D32="楼面单价",C32,H118*10000/B118),0)</f>
        <v>7596</v>
      </c>
    </row>
    <row r="119" spans="1:27" ht="18.75" customHeight="1">
      <c r="A119" s="3315" t="s">
        <v>2078</v>
      </c>
      <c r="B119" s="3315"/>
      <c r="C119" s="3315"/>
      <c r="D119" s="3355" t="e">
        <f ca="1">NUMBERSTRING(INT(D118*10000),2)&amp;"元整"</f>
        <v>#REF!</v>
      </c>
      <c r="E119" s="3357"/>
      <c r="F119" s="3355" t="e">
        <f ca="1">NUMBERSTRING(INT(F118*10000),2)&amp;"元整"</f>
        <v>#REF!</v>
      </c>
      <c r="G119" s="3357"/>
      <c r="H119" s="3355" t="str">
        <f ca="1">NUMBERSTRING(INT(H118*10000),2)&amp;"元整"</f>
        <v>伍亿柒仟壹佰肆拾柒万元整</v>
      </c>
      <c r="I119" s="3357"/>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9" t="s">
        <v>2078</v>
      </c>
      <c r="B121" s="3360"/>
      <c r="C121" s="3361"/>
      <c r="D121" s="3355" t="str">
        <f>IF(D120=0,"零元整",NUMBERSTRING(INT(D120*10000),2)&amp;"元整")</f>
        <v>零元整</v>
      </c>
      <c r="E121" s="3356"/>
      <c r="F121" s="3356"/>
      <c r="G121" s="3356"/>
      <c r="H121" s="3356"/>
      <c r="I121" s="3357"/>
      <c r="AA121" s="734"/>
    </row>
    <row r="122" spans="1:27" ht="18.75" customHeight="1">
      <c r="A122" s="3346" t="str">
        <f>IF(项目基本情况!B9="房地产市场价值","",MID(E107,3,LEN(E107)-2))</f>
        <v>房地产抵押价值</v>
      </c>
      <c r="B122" s="3346"/>
      <c r="C122" s="3346"/>
      <c r="D122" s="3382">
        <f ca="1">H107</f>
        <v>57147</v>
      </c>
      <c r="E122" s="3383"/>
      <c r="F122" s="3383"/>
      <c r="G122" s="3383"/>
      <c r="H122" s="3383"/>
      <c r="I122" s="3384"/>
      <c r="AA122" s="734"/>
    </row>
    <row r="123" spans="1:27" ht="18.75" customHeight="1">
      <c r="A123" s="3315" t="s">
        <v>2078</v>
      </c>
      <c r="B123" s="3315"/>
      <c r="C123" s="3315"/>
      <c r="D123" s="3355" t="str">
        <f ca="1">NUMBERSTRING(INT(D122*10000),2)&amp;"元整"</f>
        <v>伍亿柒仟壹佰肆拾柒万元整</v>
      </c>
      <c r="E123" s="3356"/>
      <c r="F123" s="3356"/>
      <c r="G123" s="3356"/>
      <c r="H123" s="3356"/>
      <c r="I123" s="3357"/>
      <c r="AA123" s="734"/>
    </row>
    <row r="124" spans="1:27" ht="18.75" customHeight="1">
      <c r="A124" s="3346" t="str">
        <f>IF(项目基本情况!B9="房地产市场价值","",MID(E109,3,LEN(E109)-2))</f>
        <v/>
      </c>
      <c r="B124" s="3346"/>
      <c r="C124" s="3346"/>
      <c r="D124" s="3382" t="str">
        <f>H109</f>
        <v>——</v>
      </c>
      <c r="E124" s="3383"/>
      <c r="F124" s="3383"/>
      <c r="G124" s="3383"/>
      <c r="H124" s="3383"/>
      <c r="I124" s="3384"/>
      <c r="AA124" s="734"/>
    </row>
    <row r="125" spans="1:27" ht="18.75" customHeight="1">
      <c r="A125" s="3315" t="s">
        <v>2078</v>
      </c>
      <c r="B125" s="3315"/>
      <c r="C125" s="3315"/>
      <c r="D125" s="3355" t="e">
        <f>NUMBERSTRING(INT(D124*10000),2)&amp;"元整"</f>
        <v>#VALUE!</v>
      </c>
      <c r="E125" s="3356"/>
      <c r="F125" s="3356"/>
      <c r="G125" s="3356"/>
      <c r="H125" s="3356"/>
      <c r="I125" s="3357"/>
      <c r="AA125" s="734"/>
    </row>
    <row r="126" spans="1:27" ht="18.75" customHeight="1">
      <c r="A126" s="3346" t="str">
        <f>IF(项目基本情况!B9="房地产市场价值","",MID(E111,3,LEN(E111)-2))</f>
        <v/>
      </c>
      <c r="B126" s="3346"/>
      <c r="C126" s="3346"/>
      <c r="D126" s="3382" t="str">
        <f>H111</f>
        <v>——</v>
      </c>
      <c r="E126" s="3383"/>
      <c r="F126" s="3383"/>
      <c r="G126" s="3383"/>
      <c r="H126" s="3383"/>
      <c r="I126" s="3384"/>
      <c r="AA126" s="734"/>
    </row>
    <row r="127" spans="1:27" ht="18.75" customHeight="1">
      <c r="A127" s="3315" t="s">
        <v>2078</v>
      </c>
      <c r="B127" s="3315"/>
      <c r="C127" s="3315"/>
      <c r="D127" s="3355" t="e">
        <f>NUMBERSTRING(INT(D126*10000),2)&amp;"元整"</f>
        <v>#VALUE!</v>
      </c>
      <c r="E127" s="3356"/>
      <c r="F127" s="3356"/>
      <c r="G127" s="3356"/>
      <c r="H127" s="3356"/>
      <c r="I127" s="3357"/>
      <c r="AA127" s="734"/>
    </row>
    <row r="128" spans="1:27" ht="21.75" customHeight="1">
      <c r="A128" s="3365" t="s">
        <v>2079</v>
      </c>
      <c r="B128" s="3365"/>
      <c r="C128" s="3365"/>
      <c r="D128" s="3365"/>
      <c r="E128" s="3365"/>
      <c r="F128" s="3365"/>
      <c r="G128" s="3365"/>
      <c r="H128" s="3365"/>
      <c r="I128" s="336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M41" sqref="M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3153</v>
      </c>
      <c r="C1" s="204"/>
      <c r="D1" s="204"/>
      <c r="E1" s="204"/>
      <c r="F1" s="204"/>
      <c r="G1" s="1260">
        <f>MATCH(B1,'数据-取费表'!A6:A16,0)+5</f>
        <v>6</v>
      </c>
    </row>
    <row r="2" spans="1:9" s="206" customFormat="1" ht="18" customHeight="1">
      <c r="A2" s="207" t="s">
        <v>2088</v>
      </c>
      <c r="B2" s="208">
        <f ca="1">IF(D2="——",C52,C52-E2)</f>
        <v>56233</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7475</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10016</v>
      </c>
      <c r="D5" s="217" t="s">
        <v>2095</v>
      </c>
      <c r="E5" s="218" t="s">
        <v>2096</v>
      </c>
      <c r="F5" s="218" t="s">
        <v>2097</v>
      </c>
      <c r="G5" s="219"/>
    </row>
    <row r="6" spans="1:9" s="220" customFormat="1" ht="13.5" customHeight="1">
      <c r="A6" s="886" t="s">
        <v>2098</v>
      </c>
      <c r="B6" s="221" t="s">
        <v>2099</v>
      </c>
      <c r="C6" s="222">
        <f>[2]基准地价修正!$E$33</f>
        <v>8259</v>
      </c>
      <c r="D6" s="223"/>
      <c r="E6" s="224"/>
      <c r="F6" s="224"/>
      <c r="G6" s="225"/>
    </row>
    <row r="7" spans="1:9" s="220" customFormat="1" ht="13.5" customHeight="1">
      <c r="A7" s="886" t="s">
        <v>2100</v>
      </c>
      <c r="B7" s="221" t="s">
        <v>2101</v>
      </c>
      <c r="C7" s="226">
        <f>ROUND(C6*F7,0)</f>
        <v>252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3163</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75230.36</v>
      </c>
      <c r="E19" s="217">
        <f>'数据-取费表'!B31</f>
        <v>200</v>
      </c>
      <c r="F19" s="237"/>
      <c r="G19" s="2012" t="s">
        <v>3164</v>
      </c>
    </row>
    <row r="20" spans="1:7" s="220" customFormat="1" ht="13.5" customHeight="1">
      <c r="A20" s="261" t="s">
        <v>2119</v>
      </c>
      <c r="B20" s="216" t="s">
        <v>2120</v>
      </c>
      <c r="C20" s="238">
        <f ca="1">ROUND((C5+C19)*F20,0)</f>
        <v>200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1096</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1085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1328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1328</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13681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398" t="s">
        <v>2170</v>
      </c>
    </row>
    <row r="43" spans="1:7" ht="13.5" customHeight="1">
      <c r="A43" s="888" t="s">
        <v>792</v>
      </c>
      <c r="B43" s="221" t="s">
        <v>2171</v>
      </c>
      <c r="C43" s="244">
        <f ca="1">ROUND(IF('数据-取费表'!B22&lt;=1,C39*F22*'数据-取费表'!B21/2,C39*(POWER((1+F22),'数据-取费表'!B21/2)-1)),0)</f>
        <v>35</v>
      </c>
      <c r="D43" s="244"/>
      <c r="E43" s="244"/>
      <c r="F43" s="245"/>
      <c r="G43" s="3399"/>
    </row>
    <row r="44" spans="1:7" ht="13.5" customHeight="1">
      <c r="A44" s="888" t="s">
        <v>793</v>
      </c>
      <c r="B44" s="221" t="s">
        <v>2172</v>
      </c>
      <c r="C44" s="244">
        <f ca="1">ROUND(IF('数据-取费表'!B22&lt;=1,C40*F22*'数据-取费表'!B21/2,C40*(POWER((1+F22),'数据-取费表'!B21/2)-1)),4)</f>
        <v>1.1000000000000001E-3</v>
      </c>
      <c r="D44" s="244"/>
      <c r="E44" s="244"/>
      <c r="F44" s="245"/>
      <c r="G44" s="3400"/>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5" thickBot="1">
      <c r="A52" s="271" t="s">
        <v>2187</v>
      </c>
      <c r="B52" s="272"/>
      <c r="C52" s="273">
        <f ca="1">C31+C51</f>
        <v>56233</v>
      </c>
      <c r="D52" s="272"/>
      <c r="E52" s="272"/>
      <c r="F52" s="272"/>
      <c r="G52" s="274"/>
    </row>
    <row r="55" spans="1:7" ht="15">
      <c r="B55" s="276" t="s">
        <v>2188</v>
      </c>
      <c r="C55" s="277"/>
    </row>
    <row r="56" spans="1:7">
      <c r="B56" s="279" t="s">
        <v>1418</v>
      </c>
      <c r="C56" s="281">
        <f ca="1">1-C57</f>
        <v>0.24299999999999999</v>
      </c>
    </row>
    <row r="57" spans="1:7">
      <c r="B57" s="279" t="s">
        <v>1419</v>
      </c>
      <c r="C57" s="280">
        <f ca="1">ROUND(C51/C52,3)</f>
        <v>0.75700000000000001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9" t="str">
        <f>项目基本情况!B1</f>
        <v>北京市通州区种业园东路1号院房地产抵押价值预评估</v>
      </c>
      <c r="C37" s="3209"/>
      <c r="D37" s="3209"/>
      <c r="E37" s="3209"/>
      <c r="F37" s="3209"/>
      <c r="G37" s="3209"/>
      <c r="H37" s="3209"/>
      <c r="I37" s="3209"/>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398" t="s">
        <v>2217</v>
      </c>
    </row>
    <row r="43" spans="1:7" ht="13.5" customHeight="1">
      <c r="A43" s="888" t="s">
        <v>792</v>
      </c>
      <c r="B43" s="221" t="s">
        <v>2171</v>
      </c>
      <c r="C43" s="244">
        <f ca="1">ROUND(IF('数据-取费表'!B22&lt;=1,C39*F22*'数据-取费表'!B20/2,C39*(POWER((1+F22),'数据-取费表'!B20/2)-1)),0)</f>
        <v>350958</v>
      </c>
      <c r="D43" s="244"/>
      <c r="E43" s="244"/>
      <c r="F43" s="245"/>
      <c r="G43" s="3399"/>
    </row>
    <row r="44" spans="1:7" ht="13.5" customHeight="1">
      <c r="A44" s="888" t="s">
        <v>793</v>
      </c>
      <c r="B44" s="221" t="s">
        <v>2172</v>
      </c>
      <c r="C44" s="244">
        <f ca="1">ROUND(IF('数据-取费表'!B22&lt;=1,C40*F22*'数据-取费表'!B20/2,C40*(POWER((1+F22),'数据-取费表'!B20/2)-1)),4)</f>
        <v>1.1000000000000001E-3</v>
      </c>
      <c r="D44" s="244"/>
      <c r="E44" s="244"/>
      <c r="F44" s="245"/>
      <c r="G44" s="3400"/>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5"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Normal="70" zoomScaleSheetLayoutView="10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3153</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3" t="s">
        <v>1308</v>
      </c>
      <c r="C6" s="1206">
        <f ca="1">ROUND(F6*F8*F7*(1-F9)/10000,0)</f>
        <v>3460</v>
      </c>
      <c r="D6" s="160" t="s">
        <v>2791</v>
      </c>
      <c r="E6" s="308" t="s">
        <v>1310</v>
      </c>
      <c r="F6" s="309">
        <f ca="1">INDIRECT("'数据-取费表'!u"&amp;$G$1)</f>
        <v>1.4</v>
      </c>
      <c r="G6" s="1538"/>
      <c r="H6" s="1201" t="s">
        <v>1003</v>
      </c>
      <c r="I6" s="3403" t="s">
        <v>1308</v>
      </c>
      <c r="J6" s="307">
        <f ca="1">ROUND(M6*M8*M7*(1-M9)/10000,0)</f>
        <v>0</v>
      </c>
      <c r="K6" s="160" t="s">
        <v>2790</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75230.36</v>
      </c>
      <c r="G7" s="1538"/>
      <c r="H7" s="310"/>
      <c r="I7" s="3404"/>
      <c r="J7" s="312"/>
      <c r="K7" s="313"/>
      <c r="L7" s="308" t="s">
        <v>1311</v>
      </c>
      <c r="M7" s="309">
        <f ca="1">F7</f>
        <v>75230.36</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2799</v>
      </c>
      <c r="E10" s="319" t="s">
        <v>1315</v>
      </c>
      <c r="F10" s="1248" t="s">
        <v>3158</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3159</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46.77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5" thickBot="1">
      <c r="A50" s="1107"/>
      <c r="B50" s="1110"/>
      <c r="C50" s="1250"/>
      <c r="D50" s="1084"/>
      <c r="E50" s="1187" t="s">
        <v>1311</v>
      </c>
      <c r="F50" s="1188">
        <f ca="1">F7</f>
        <v>75230.36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46.77</v>
      </c>
      <c r="K53" s="3401" t="s">
        <v>1453</v>
      </c>
      <c r="L53" s="3402"/>
      <c r="O53" s="1572" t="s">
        <v>1014</v>
      </c>
      <c r="P53" s="1573" t="s">
        <v>1454</v>
      </c>
      <c r="Q53" s="1574">
        <f ca="1">Q47+Q48</f>
        <v>58060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42552</v>
      </c>
      <c r="D56" s="1601"/>
      <c r="E56" s="1602"/>
      <c r="F56" s="1594"/>
      <c r="I56" s="1603" t="s">
        <v>1459</v>
      </c>
      <c r="J56" s="1604" t="s">
        <v>3139</v>
      </c>
      <c r="K56" s="1575" t="s">
        <v>1460</v>
      </c>
      <c r="L56" s="1578" t="str">
        <f ca="1">IF(L48&lt;J51,"——",L48-J53)</f>
        <v>——</v>
      </c>
      <c r="O56" s="1572" t="s">
        <v>1008</v>
      </c>
      <c r="P56" s="1573" t="s">
        <v>1433</v>
      </c>
      <c r="Q56" s="1574">
        <f ca="1">C40+J29</f>
        <v>58060</v>
      </c>
      <c r="R56" s="1574" t="s">
        <v>1434</v>
      </c>
    </row>
    <row r="57" spans="1:18" s="1538" customFormat="1" ht="24.75"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5"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5"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5"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5" thickBot="1">
      <c r="A70" s="1085"/>
      <c r="B70" s="1086"/>
      <c r="C70" s="316"/>
      <c r="D70" s="1097"/>
      <c r="E70" s="1081" t="s">
        <v>1382</v>
      </c>
      <c r="F70" s="1185"/>
      <c r="O70" s="1582" t="s">
        <v>1017</v>
      </c>
      <c r="P70" s="1621" t="s">
        <v>1490</v>
      </c>
      <c r="Q70" s="1574">
        <f ca="1">C13</f>
        <v>42552</v>
      </c>
      <c r="R70" s="1574" t="s">
        <v>1434</v>
      </c>
    </row>
    <row r="71" spans="1:18" s="1538" customFormat="1" ht="13.5" thickBot="1">
      <c r="A71" s="1102" t="s">
        <v>1001</v>
      </c>
      <c r="B71" s="1103" t="s">
        <v>1392</v>
      </c>
      <c r="C71" s="342">
        <f ca="1">ROUND(C68*10000/F71,0)</f>
        <v>-9205</v>
      </c>
      <c r="D71" s="1104" t="s">
        <v>1393</v>
      </c>
      <c r="E71" s="1105" t="s">
        <v>1394</v>
      </c>
      <c r="F71" s="345">
        <f ca="1">F43</f>
        <v>75230.36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3" t="s">
        <v>1308</v>
      </c>
      <c r="C6" s="1206">
        <f ca="1">ROUND(F6*F8*F7*(1-F9),0)</f>
        <v>0</v>
      </c>
      <c r="D6" s="160" t="s">
        <v>2788</v>
      </c>
      <c r="E6" s="308" t="s">
        <v>1310</v>
      </c>
      <c r="F6" s="309">
        <f ca="1">INDIRECT("'数据-取费表'!u"&amp;$G$1)</f>
        <v>0</v>
      </c>
      <c r="G6" s="1538"/>
      <c r="H6" s="1201" t="s">
        <v>1003</v>
      </c>
      <c r="I6" s="3403" t="s">
        <v>1308</v>
      </c>
      <c r="J6" s="307">
        <f ca="1">ROUND(M6*M8*M7*(1-M9),0)</f>
        <v>0</v>
      </c>
      <c r="K6" s="1530" t="s">
        <v>2789</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0</v>
      </c>
      <c r="G7" s="1538"/>
      <c r="H7" s="310"/>
      <c r="I7" s="3404"/>
      <c r="J7" s="312"/>
      <c r="K7" s="313"/>
      <c r="L7" s="308" t="s">
        <v>1311</v>
      </c>
      <c r="M7" s="309">
        <f ca="1">F7</f>
        <v>0</v>
      </c>
    </row>
    <row r="8" spans="1:37" ht="18" customHeight="1">
      <c r="A8" s="310"/>
      <c r="B8" s="3404"/>
      <c r="C8" s="312"/>
      <c r="D8" s="313"/>
      <c r="E8" s="308" t="s">
        <v>1312</v>
      </c>
      <c r="F8" s="309">
        <f ca="1">INDIRECT("'数据-取费表'!ai"&amp;$G$1)</f>
        <v>0</v>
      </c>
      <c r="G8" s="1538"/>
      <c r="H8" s="310"/>
      <c r="I8" s="3404"/>
      <c r="J8" s="312"/>
      <c r="K8" s="313"/>
      <c r="L8" s="308" t="s">
        <v>1312</v>
      </c>
      <c r="M8" s="309">
        <f ca="1">INDIRECT("'数据-取费表'!ai"&amp;$G$1)</f>
        <v>0</v>
      </c>
    </row>
    <row r="9" spans="1:37" ht="18" customHeight="1">
      <c r="A9" s="310"/>
      <c r="B9" s="3405"/>
      <c r="C9" s="312"/>
      <c r="D9" s="313"/>
      <c r="E9" s="308" t="s">
        <v>1313</v>
      </c>
      <c r="F9" s="318">
        <f ca="1">INDIRECT("'数据-取费表'!w"&amp;$G$1)</f>
        <v>0</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1" t="s">
        <v>1453</v>
      </c>
      <c r="L53" s="340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12" t="s">
        <v>3008</v>
      </c>
      <c r="K2" s="3413"/>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14" t="s">
        <v>3018</v>
      </c>
      <c r="K3" s="3415"/>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14" t="s">
        <v>3020</v>
      </c>
      <c r="K4" s="3415"/>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20" t="s">
        <v>3024</v>
      </c>
      <c r="B6" s="3421"/>
      <c r="C6" s="3422"/>
      <c r="D6" s="3069"/>
      <c r="E6" s="3070"/>
      <c r="F6" s="3071"/>
      <c r="G6" s="3072"/>
      <c r="H6" s="3047"/>
      <c r="I6" s="3048"/>
      <c r="J6" s="3406">
        <v>1</v>
      </c>
      <c r="K6" s="3407"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06"/>
      <c r="K7" s="3408"/>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23" t="s">
        <v>3038</v>
      </c>
      <c r="C8" s="3424"/>
      <c r="D8" s="3088" t="s">
        <v>3039</v>
      </c>
      <c r="E8" s="3089" t="s">
        <v>3040</v>
      </c>
      <c r="F8" s="3090" t="s">
        <v>3041</v>
      </c>
      <c r="G8" s="3091"/>
      <c r="H8" s="3047"/>
      <c r="I8" s="3048"/>
      <c r="J8" s="3406"/>
      <c r="K8" s="3408"/>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23" t="s">
        <v>3044</v>
      </c>
      <c r="C9" s="3424"/>
      <c r="D9" s="3088">
        <f>ROUND(D6*E9,0)</f>
        <v>0</v>
      </c>
      <c r="E9" s="3092"/>
      <c r="F9" s="3093" t="s">
        <v>3045</v>
      </c>
      <c r="G9" s="3072"/>
      <c r="H9" s="3047"/>
      <c r="I9" s="3048"/>
      <c r="J9" s="3406"/>
      <c r="K9" s="3408"/>
      <c r="L9" s="3082" t="s">
        <v>3046</v>
      </c>
      <c r="M9" s="3083"/>
      <c r="N9" s="3059"/>
      <c r="O9" s="3084"/>
      <c r="P9" s="3084"/>
      <c r="Q9" s="3085">
        <v>365</v>
      </c>
      <c r="R9" s="3086">
        <f t="shared" si="0"/>
        <v>0</v>
      </c>
      <c r="S9" s="3040"/>
      <c r="T9" s="3040"/>
      <c r="U9" s="3040"/>
      <c r="V9" s="3048"/>
    </row>
    <row r="10" spans="1:22" s="3052" customFormat="1" ht="13.15" customHeight="1">
      <c r="A10" s="3087">
        <v>2</v>
      </c>
      <c r="B10" s="3423" t="s">
        <v>3047</v>
      </c>
      <c r="C10" s="3424"/>
      <c r="D10" s="3088">
        <f>ROUND(D6*E10,0)</f>
        <v>0</v>
      </c>
      <c r="E10" s="3092"/>
      <c r="F10" s="3093" t="s">
        <v>3048</v>
      </c>
      <c r="G10" s="3072"/>
      <c r="H10" s="3047"/>
      <c r="I10" s="3048"/>
      <c r="J10" s="3406"/>
      <c r="K10" s="3408"/>
      <c r="L10" s="3082" t="s">
        <v>3049</v>
      </c>
      <c r="M10" s="3083"/>
      <c r="N10" s="3059"/>
      <c r="O10" s="3084"/>
      <c r="P10" s="3084"/>
      <c r="Q10" s="3085">
        <v>365</v>
      </c>
      <c r="R10" s="3086">
        <f t="shared" si="0"/>
        <v>0</v>
      </c>
      <c r="S10" s="3040"/>
      <c r="T10" s="3040"/>
      <c r="U10" s="3040"/>
      <c r="V10" s="3048"/>
    </row>
    <row r="11" spans="1:22" s="3052" customFormat="1" ht="13.15" customHeight="1">
      <c r="A11" s="3087">
        <v>3</v>
      </c>
      <c r="B11" s="3423" t="s">
        <v>3050</v>
      </c>
      <c r="C11" s="3424"/>
      <c r="D11" s="3088">
        <f>D12+D14+D15+D16</f>
        <v>0</v>
      </c>
      <c r="E11" s="3094" t="e">
        <f>D11/D6</f>
        <v>#DIV/0!</v>
      </c>
      <c r="F11" s="3090"/>
      <c r="G11" s="3091"/>
      <c r="H11" s="3047"/>
      <c r="I11" s="3048"/>
      <c r="J11" s="3406"/>
      <c r="K11" s="3408"/>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6" t="s">
        <v>3053</v>
      </c>
      <c r="C12" s="3417"/>
      <c r="D12" s="3096">
        <f>ROUND(D13*1.2%*(1-30%),0)</f>
        <v>0</v>
      </c>
      <c r="E12" s="3097">
        <v>1.2E-2</v>
      </c>
      <c r="F12" s="3090" t="s">
        <v>3054</v>
      </c>
      <c r="G12" s="3091"/>
      <c r="H12" s="3047"/>
      <c r="I12" s="3048"/>
      <c r="J12" s="3406"/>
      <c r="K12" s="3408"/>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06"/>
      <c r="K13" s="3408"/>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6" t="s">
        <v>3059</v>
      </c>
      <c r="C14" s="3417"/>
      <c r="D14" s="3096">
        <f>ROUND(E14*B5/10000,0)</f>
        <v>0</v>
      </c>
      <c r="E14" s="3085"/>
      <c r="F14" s="3090" t="s">
        <v>3060</v>
      </c>
      <c r="G14" s="3091"/>
      <c r="H14" s="3047"/>
      <c r="I14" s="3048"/>
      <c r="J14" s="3406"/>
      <c r="K14" s="3409"/>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6" t="s">
        <v>3063</v>
      </c>
      <c r="C15" s="3417"/>
      <c r="D15" s="3096">
        <f>ROUND(D6*E15,0)</f>
        <v>0</v>
      </c>
      <c r="E15" s="3097">
        <v>5.5E-2</v>
      </c>
      <c r="F15" s="3090" t="s">
        <v>3064</v>
      </c>
      <c r="G15" s="3072"/>
      <c r="H15" s="3047"/>
      <c r="I15" s="3048"/>
      <c r="J15" s="3406">
        <v>2</v>
      </c>
      <c r="K15" s="3407"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6" t="s">
        <v>3072</v>
      </c>
      <c r="C16" s="3417"/>
      <c r="D16" s="3107">
        <f>D6*E16</f>
        <v>0</v>
      </c>
      <c r="E16" s="3108"/>
      <c r="F16" s="3093" t="s">
        <v>3073</v>
      </c>
      <c r="G16" s="3072"/>
      <c r="H16" s="3047"/>
      <c r="I16" s="3048"/>
      <c r="J16" s="3406"/>
      <c r="K16" s="3408"/>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18" t="s">
        <v>3075</v>
      </c>
      <c r="C17" s="3419"/>
      <c r="D17" s="3110">
        <f>ROUND(D6*E17,0)</f>
        <v>0</v>
      </c>
      <c r="E17" s="3111"/>
      <c r="F17" s="3112" t="s">
        <v>3076</v>
      </c>
      <c r="G17" s="3072"/>
      <c r="H17" s="3047"/>
      <c r="I17" s="3048"/>
      <c r="J17" s="3406"/>
      <c r="K17" s="3408"/>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06"/>
      <c r="K18" s="3408"/>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06"/>
      <c r="K19" s="3409"/>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06">
        <v>3</v>
      </c>
      <c r="K20" s="3407"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06"/>
      <c r="K21" s="3408"/>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06"/>
      <c r="K22" s="3408"/>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06"/>
      <c r="K23" s="3408"/>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06"/>
      <c r="K24" s="3409"/>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10">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1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12" t="s">
        <v>3008</v>
      </c>
      <c r="K32" s="3413"/>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14" t="s">
        <v>3018</v>
      </c>
      <c r="K33" s="3415"/>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14" t="s">
        <v>3020</v>
      </c>
      <c r="K34" s="341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06">
        <v>1</v>
      </c>
      <c r="K36" s="3407"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06"/>
      <c r="K37" s="3408"/>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06"/>
      <c r="K38" s="3408"/>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06"/>
      <c r="K39" s="3408"/>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06"/>
      <c r="K40" s="3409"/>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10">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1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58060</v>
      </c>
      <c r="C2" s="2028" t="s">
        <v>2280</v>
      </c>
      <c r="D2" s="2029" t="s">
        <v>2281</v>
      </c>
      <c r="E2" s="2801">
        <f>SUM(E6:E13)</f>
        <v>75230.36</v>
      </c>
      <c r="F2" s="2904"/>
      <c r="G2" s="1644"/>
      <c r="H2" s="1644"/>
      <c r="I2" s="1644"/>
      <c r="J2" s="1644"/>
      <c r="K2" s="1644"/>
      <c r="L2" s="1644"/>
      <c r="M2" s="1644"/>
      <c r="N2" s="1644"/>
      <c r="O2" s="1644"/>
      <c r="P2" s="1644"/>
      <c r="Q2" s="1644"/>
      <c r="R2" s="1644"/>
      <c r="S2" s="1644"/>
    </row>
    <row r="3" spans="1:22" ht="15.75">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5" t="s">
        <v>2283</v>
      </c>
      <c r="C5" s="3426"/>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58060</v>
      </c>
      <c r="C6" s="2028" t="s">
        <v>2280</v>
      </c>
      <c r="D6" s="2906"/>
      <c r="E6" s="2800">
        <f>IF(OR(A6=0,F6="否"),0,'数据-取费表'!K6+'数据-取费表'!S6)</f>
        <v>75230.36</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5" t="s">
        <v>2297</v>
      </c>
      <c r="D4" s="3446"/>
      <c r="E4" s="3447" t="s">
        <v>2298</v>
      </c>
      <c r="F4" s="3448"/>
      <c r="G4" s="3445" t="s">
        <v>2299</v>
      </c>
      <c r="H4" s="3446"/>
      <c r="I4" s="3445" t="s">
        <v>2300</v>
      </c>
      <c r="J4" s="3446"/>
      <c r="K4" s="2045" t="s">
        <v>2301</v>
      </c>
      <c r="L4" s="2912"/>
      <c r="M4" s="2913"/>
      <c r="N4" s="2913"/>
      <c r="O4" s="2913"/>
      <c r="P4" s="3449" t="s">
        <v>2302</v>
      </c>
      <c r="Q4" s="3450"/>
      <c r="R4" s="3455" t="s">
        <v>2298</v>
      </c>
      <c r="S4" s="3456"/>
      <c r="T4" s="3455" t="s">
        <v>2299</v>
      </c>
      <c r="U4" s="3456"/>
      <c r="V4" s="3461" t="s">
        <v>2300</v>
      </c>
      <c r="W4" s="3461"/>
      <c r="X4" s="1509"/>
      <c r="Y4" s="3455" t="s">
        <v>2302</v>
      </c>
      <c r="Z4" s="3456"/>
      <c r="AA4" s="3442" t="s">
        <v>2298</v>
      </c>
      <c r="AB4" s="3442" t="s">
        <v>2299</v>
      </c>
      <c r="AC4" s="3442" t="s">
        <v>2300</v>
      </c>
    </row>
    <row r="5" spans="1:29" ht="15">
      <c r="A5" s="364"/>
      <c r="B5" s="365"/>
      <c r="C5" s="3464" t="s">
        <v>2303</v>
      </c>
      <c r="D5" s="3465"/>
      <c r="E5" s="3471" t="s">
        <v>2304</v>
      </c>
      <c r="F5" s="3472"/>
      <c r="G5" s="3464" t="s">
        <v>2305</v>
      </c>
      <c r="H5" s="3465"/>
      <c r="I5" s="3464" t="s">
        <v>2306</v>
      </c>
      <c r="J5" s="3465"/>
      <c r="K5" s="2046"/>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2046"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66" t="s">
        <v>2310</v>
      </c>
      <c r="Q7" s="3468"/>
      <c r="R7" s="710" t="s">
        <v>23</v>
      </c>
      <c r="S7" s="711">
        <f t="shared" ref="S7:S15" si="0">F7</f>
        <v>0</v>
      </c>
      <c r="T7" s="710" t="s">
        <v>23</v>
      </c>
      <c r="U7" s="711">
        <f t="shared" ref="U7:U15" si="1">H7</f>
        <v>0</v>
      </c>
      <c r="V7" s="710" t="s">
        <v>23</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66" t="s">
        <v>2313</v>
      </c>
      <c r="Q8" s="3467"/>
      <c r="R8" s="710" t="s">
        <v>23</v>
      </c>
      <c r="S8" s="711">
        <f t="shared" si="0"/>
        <v>0</v>
      </c>
      <c r="T8" s="710" t="s">
        <v>23</v>
      </c>
      <c r="U8" s="711">
        <f t="shared" si="1"/>
        <v>0</v>
      </c>
      <c r="V8" s="710" t="s">
        <v>23</v>
      </c>
      <c r="W8" s="711">
        <f t="shared" si="2"/>
        <v>0</v>
      </c>
      <c r="X8" s="712"/>
      <c r="Y8" s="3466" t="s">
        <v>2313</v>
      </c>
      <c r="Z8" s="346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1"/>
      <c r="Q11" s="1497" t="str">
        <f t="shared" si="6"/>
        <v>容积率</v>
      </c>
      <c r="R11" s="710" t="s">
        <v>21</v>
      </c>
      <c r="S11" s="711" t="e">
        <f t="shared" si="0"/>
        <v>#N/A</v>
      </c>
      <c r="T11" s="710" t="s">
        <v>21</v>
      </c>
      <c r="U11" s="711" t="e">
        <f t="shared" si="1"/>
        <v>#N/A</v>
      </c>
      <c r="V11" s="710" t="s">
        <v>21</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1"/>
      <c r="Q12" s="1497">
        <f t="shared" si="6"/>
        <v>111</v>
      </c>
      <c r="R12" s="710" t="s">
        <v>21</v>
      </c>
      <c r="S12" s="711">
        <f t="shared" si="0"/>
        <v>100</v>
      </c>
      <c r="T12" s="710" t="s">
        <v>21</v>
      </c>
      <c r="U12" s="711">
        <f t="shared" si="1"/>
        <v>100</v>
      </c>
      <c r="V12" s="710" t="s">
        <v>21</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1"/>
      <c r="Q13" s="1497">
        <f t="shared" si="6"/>
        <v>111</v>
      </c>
      <c r="R13" s="710" t="s">
        <v>21</v>
      </c>
      <c r="S13" s="711">
        <f t="shared" si="0"/>
        <v>100</v>
      </c>
      <c r="T13" s="710" t="s">
        <v>21</v>
      </c>
      <c r="U13" s="711">
        <f t="shared" si="1"/>
        <v>100</v>
      </c>
      <c r="V13" s="710" t="s">
        <v>21</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1"/>
      <c r="Q14" s="1497">
        <f t="shared" si="6"/>
        <v>111</v>
      </c>
      <c r="R14" s="710" t="s">
        <v>21</v>
      </c>
      <c r="S14" s="711">
        <f t="shared" si="0"/>
        <v>100</v>
      </c>
      <c r="T14" s="710" t="s">
        <v>21</v>
      </c>
      <c r="U14" s="711">
        <f t="shared" si="1"/>
        <v>100</v>
      </c>
      <c r="V14" s="710" t="s">
        <v>21</v>
      </c>
      <c r="W14" s="711">
        <f t="shared" si="2"/>
        <v>100</v>
      </c>
      <c r="X14" s="712"/>
      <c r="Y14" s="330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39" t="s">
        <v>2321</v>
      </c>
      <c r="Q15" s="1506" t="str">
        <f t="shared" si="6"/>
        <v>居住社区成熟度</v>
      </c>
      <c r="R15" s="714" t="s">
        <v>21</v>
      </c>
      <c r="S15" s="715">
        <f t="shared" si="0"/>
        <v>100</v>
      </c>
      <c r="T15" s="714" t="s">
        <v>21</v>
      </c>
      <c r="U15" s="715">
        <f t="shared" si="1"/>
        <v>100</v>
      </c>
      <c r="V15" s="714" t="s">
        <v>21</v>
      </c>
      <c r="W15" s="715">
        <f t="shared" si="2"/>
        <v>100</v>
      </c>
      <c r="X15" s="1509"/>
      <c r="Y15" s="343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40"/>
      <c r="Q17" s="1506" t="str">
        <f>B17</f>
        <v>交通便捷度</v>
      </c>
      <c r="R17" s="714" t="s">
        <v>21</v>
      </c>
      <c r="S17" s="715">
        <f>F17</f>
        <v>100</v>
      </c>
      <c r="T17" s="714" t="s">
        <v>21</v>
      </c>
      <c r="U17" s="715">
        <f>H17</f>
        <v>100</v>
      </c>
      <c r="V17" s="714" t="s">
        <v>21</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40"/>
      <c r="Q18" s="1506"/>
      <c r="R18" s="714"/>
      <c r="S18" s="715"/>
      <c r="T18" s="714"/>
      <c r="U18" s="715"/>
      <c r="V18" s="714"/>
      <c r="W18" s="715"/>
      <c r="X18" s="1509"/>
      <c r="Y18" s="343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40"/>
      <c r="Q19" s="1506" t="str">
        <f>B19</f>
        <v>公共配套设施</v>
      </c>
      <c r="R19" s="714" t="s">
        <v>21</v>
      </c>
      <c r="S19" s="715">
        <f>F19</f>
        <v>100</v>
      </c>
      <c r="T19" s="714" t="s">
        <v>21</v>
      </c>
      <c r="U19" s="715">
        <f>H19</f>
        <v>100</v>
      </c>
      <c r="V19" s="714" t="s">
        <v>21</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40"/>
      <c r="Q20" s="1506"/>
      <c r="R20" s="714"/>
      <c r="S20" s="715"/>
      <c r="T20" s="714"/>
      <c r="U20" s="715"/>
      <c r="V20" s="714"/>
      <c r="W20" s="715"/>
      <c r="X20" s="1509"/>
      <c r="Y20" s="343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40"/>
      <c r="Q22" s="1506"/>
      <c r="R22" s="714"/>
      <c r="S22" s="715"/>
      <c r="T22" s="714"/>
      <c r="U22" s="715"/>
      <c r="V22" s="714"/>
      <c r="W22" s="715"/>
      <c r="X22" s="1509"/>
      <c r="Y22" s="343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40"/>
      <c r="Q23" s="1506" t="str">
        <f>B23</f>
        <v>自然及人文环境</v>
      </c>
      <c r="R23" s="714" t="s">
        <v>21</v>
      </c>
      <c r="S23" s="715">
        <f>F23</f>
        <v>100</v>
      </c>
      <c r="T23" s="714" t="s">
        <v>21</v>
      </c>
      <c r="U23" s="715">
        <f>H23</f>
        <v>100</v>
      </c>
      <c r="V23" s="714" t="s">
        <v>21</v>
      </c>
      <c r="W23" s="715">
        <f>J23</f>
        <v>100</v>
      </c>
      <c r="X23" s="1509"/>
      <c r="Y23" s="343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40"/>
      <c r="Q24" s="1506"/>
      <c r="R24" s="714"/>
      <c r="S24" s="715"/>
      <c r="T24" s="714"/>
      <c r="U24" s="715"/>
      <c r="V24" s="714"/>
      <c r="W24" s="715"/>
      <c r="X24" s="1509"/>
      <c r="Y24" s="343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4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40"/>
      <c r="Q26" s="1506" t="str">
        <f t="shared" si="11"/>
        <v>朝向</v>
      </c>
      <c r="R26" s="714" t="s">
        <v>21</v>
      </c>
      <c r="S26" s="715">
        <f t="shared" si="12"/>
        <v>100</v>
      </c>
      <c r="T26" s="714" t="s">
        <v>21</v>
      </c>
      <c r="U26" s="715">
        <f t="shared" si="13"/>
        <v>100</v>
      </c>
      <c r="V26" s="714" t="s">
        <v>21</v>
      </c>
      <c r="W26" s="715">
        <f t="shared" si="14"/>
        <v>100</v>
      </c>
      <c r="X26" s="1509"/>
      <c r="Y26" s="343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40"/>
      <c r="Q27" s="1497">
        <f t="shared" si="11"/>
        <v>111</v>
      </c>
      <c r="R27" s="710" t="s">
        <v>21</v>
      </c>
      <c r="S27" s="711">
        <f t="shared" si="12"/>
        <v>100</v>
      </c>
      <c r="T27" s="710" t="s">
        <v>21</v>
      </c>
      <c r="U27" s="711">
        <f t="shared" si="13"/>
        <v>100</v>
      </c>
      <c r="V27" s="710" t="s">
        <v>21</v>
      </c>
      <c r="W27" s="711">
        <f t="shared" si="14"/>
        <v>100</v>
      </c>
      <c r="X27" s="712"/>
      <c r="Y27" s="343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40"/>
      <c r="Q28" s="1506">
        <f t="shared" si="11"/>
        <v>111</v>
      </c>
      <c r="R28" s="714" t="s">
        <v>21</v>
      </c>
      <c r="S28" s="715">
        <f t="shared" si="12"/>
        <v>100</v>
      </c>
      <c r="T28" s="714" t="s">
        <v>21</v>
      </c>
      <c r="U28" s="715">
        <f t="shared" si="13"/>
        <v>100</v>
      </c>
      <c r="V28" s="714" t="s">
        <v>21</v>
      </c>
      <c r="W28" s="715">
        <f t="shared" si="14"/>
        <v>100</v>
      </c>
      <c r="X28" s="1509"/>
      <c r="Y28" s="343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40"/>
      <c r="Q29" s="1506">
        <f t="shared" si="11"/>
        <v>111</v>
      </c>
      <c r="R29" s="714" t="s">
        <v>21</v>
      </c>
      <c r="S29" s="715">
        <f t="shared" si="12"/>
        <v>100</v>
      </c>
      <c r="T29" s="714" t="s">
        <v>21</v>
      </c>
      <c r="U29" s="715">
        <f t="shared" si="13"/>
        <v>100</v>
      </c>
      <c r="V29" s="714" t="s">
        <v>21</v>
      </c>
      <c r="W29" s="715">
        <f t="shared" si="14"/>
        <v>100</v>
      </c>
      <c r="X29" s="1509"/>
      <c r="Y29" s="343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40"/>
      <c r="Q30" s="1506">
        <f t="shared" si="11"/>
        <v>111</v>
      </c>
      <c r="R30" s="714" t="s">
        <v>21</v>
      </c>
      <c r="S30" s="715">
        <f t="shared" si="12"/>
        <v>100</v>
      </c>
      <c r="T30" s="714" t="s">
        <v>21</v>
      </c>
      <c r="U30" s="715">
        <f t="shared" si="13"/>
        <v>100</v>
      </c>
      <c r="V30" s="714" t="s">
        <v>21</v>
      </c>
      <c r="W30" s="715">
        <f t="shared" si="14"/>
        <v>100</v>
      </c>
      <c r="X30" s="1509"/>
      <c r="Y30" s="343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40"/>
      <c r="Q31" s="1506">
        <f t="shared" si="11"/>
        <v>111</v>
      </c>
      <c r="R31" s="714" t="s">
        <v>21</v>
      </c>
      <c r="S31" s="715">
        <f t="shared" si="12"/>
        <v>100</v>
      </c>
      <c r="T31" s="714" t="s">
        <v>21</v>
      </c>
      <c r="U31" s="715">
        <f t="shared" si="13"/>
        <v>100</v>
      </c>
      <c r="V31" s="714" t="s">
        <v>21</v>
      </c>
      <c r="W31" s="715">
        <f t="shared" si="14"/>
        <v>100</v>
      </c>
      <c r="X31" s="1509"/>
      <c r="Y31" s="343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4" t="s">
        <v>2326</v>
      </c>
      <c r="Q32" s="1506" t="str">
        <f t="shared" si="11"/>
        <v>建筑类型</v>
      </c>
      <c r="R32" s="714" t="s">
        <v>21</v>
      </c>
      <c r="S32" s="715">
        <f t="shared" si="12"/>
        <v>100</v>
      </c>
      <c r="T32" s="714" t="s">
        <v>21</v>
      </c>
      <c r="U32" s="715">
        <f t="shared" si="13"/>
        <v>100</v>
      </c>
      <c r="V32" s="714" t="s">
        <v>21</v>
      </c>
      <c r="W32" s="715">
        <f t="shared" si="14"/>
        <v>100</v>
      </c>
      <c r="X32" s="1509"/>
      <c r="Y32" s="343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5"/>
      <c r="Q33" s="716" t="str">
        <f t="shared" si="11"/>
        <v>项目建筑规模</v>
      </c>
      <c r="R33" s="717" t="s">
        <v>21</v>
      </c>
      <c r="S33" s="718" t="e">
        <f t="shared" si="12"/>
        <v>#N/A</v>
      </c>
      <c r="T33" s="717" t="s">
        <v>21</v>
      </c>
      <c r="U33" s="718" t="e">
        <f t="shared" si="13"/>
        <v>#N/A</v>
      </c>
      <c r="V33" s="717" t="s">
        <v>21</v>
      </c>
      <c r="W33" s="718" t="e">
        <f t="shared" si="14"/>
        <v>#N/A</v>
      </c>
      <c r="X33" s="719"/>
      <c r="Y33" s="343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5"/>
      <c r="Q34" s="1506" t="str">
        <f t="shared" si="11"/>
        <v>建筑结构</v>
      </c>
      <c r="R34" s="714" t="s">
        <v>21</v>
      </c>
      <c r="S34" s="715">
        <f t="shared" si="12"/>
        <v>100</v>
      </c>
      <c r="T34" s="714" t="s">
        <v>21</v>
      </c>
      <c r="U34" s="715">
        <f t="shared" si="13"/>
        <v>100</v>
      </c>
      <c r="V34" s="714" t="s">
        <v>21</v>
      </c>
      <c r="W34" s="715">
        <f t="shared" si="14"/>
        <v>100</v>
      </c>
      <c r="X34" s="1509"/>
      <c r="Y34" s="343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5"/>
      <c r="Q35" s="1506" t="str">
        <f t="shared" si="11"/>
        <v>建筑品质</v>
      </c>
      <c r="R35" s="714" t="s">
        <v>21</v>
      </c>
      <c r="S35" s="715">
        <f t="shared" si="12"/>
        <v>100</v>
      </c>
      <c r="T35" s="714" t="s">
        <v>21</v>
      </c>
      <c r="U35" s="715">
        <f t="shared" si="13"/>
        <v>100</v>
      </c>
      <c r="V35" s="714" t="s">
        <v>21</v>
      </c>
      <c r="W35" s="715">
        <f t="shared" si="14"/>
        <v>100</v>
      </c>
      <c r="X35" s="1509"/>
      <c r="Y35" s="343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5"/>
      <c r="Q36" s="1506" t="str">
        <f t="shared" si="11"/>
        <v>公共部分装修</v>
      </c>
      <c r="R36" s="714" t="s">
        <v>21</v>
      </c>
      <c r="S36" s="715">
        <f t="shared" si="12"/>
        <v>100</v>
      </c>
      <c r="T36" s="714" t="s">
        <v>21</v>
      </c>
      <c r="U36" s="715">
        <f t="shared" si="13"/>
        <v>100</v>
      </c>
      <c r="V36" s="714" t="s">
        <v>21</v>
      </c>
      <c r="W36" s="715">
        <f t="shared" si="14"/>
        <v>100</v>
      </c>
      <c r="X36" s="1509"/>
      <c r="Y36" s="343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5"/>
      <c r="Q37" s="1497" t="str">
        <f t="shared" si="11"/>
        <v>成新度</v>
      </c>
      <c r="R37" s="710" t="s">
        <v>21</v>
      </c>
      <c r="S37" s="711" t="e">
        <f t="shared" si="12"/>
        <v>#N/A</v>
      </c>
      <c r="T37" s="710" t="s">
        <v>21</v>
      </c>
      <c r="U37" s="711" t="e">
        <f t="shared" si="13"/>
        <v>#N/A</v>
      </c>
      <c r="V37" s="710" t="s">
        <v>21</v>
      </c>
      <c r="W37" s="711" t="e">
        <f t="shared" si="14"/>
        <v>#N/A</v>
      </c>
      <c r="X37" s="712"/>
      <c r="Y37" s="343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5" t="s">
        <v>2326</v>
      </c>
      <c r="Q38" s="1506" t="str">
        <f t="shared" si="11"/>
        <v>物业管理</v>
      </c>
      <c r="R38" s="714" t="s">
        <v>21</v>
      </c>
      <c r="S38" s="715">
        <f t="shared" si="12"/>
        <v>100</v>
      </c>
      <c r="T38" s="714" t="s">
        <v>21</v>
      </c>
      <c r="U38" s="715">
        <f t="shared" si="13"/>
        <v>100</v>
      </c>
      <c r="V38" s="714" t="s">
        <v>21</v>
      </c>
      <c r="W38" s="715">
        <f t="shared" si="14"/>
        <v>100</v>
      </c>
      <c r="X38" s="1509"/>
      <c r="Y38" s="343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5"/>
      <c r="Q39" s="1506" t="str">
        <f t="shared" si="11"/>
        <v>市政基础设施</v>
      </c>
      <c r="R39" s="714" t="s">
        <v>21</v>
      </c>
      <c r="S39" s="715">
        <f t="shared" si="12"/>
        <v>100</v>
      </c>
      <c r="T39" s="714" t="s">
        <v>21</v>
      </c>
      <c r="U39" s="715">
        <f t="shared" si="13"/>
        <v>100</v>
      </c>
      <c r="V39" s="714" t="s">
        <v>21</v>
      </c>
      <c r="W39" s="715">
        <f t="shared" si="14"/>
        <v>100</v>
      </c>
      <c r="X39" s="1509"/>
      <c r="Y39" s="343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5"/>
      <c r="Q40" s="1506" t="str">
        <f t="shared" si="11"/>
        <v>房型</v>
      </c>
      <c r="R40" s="714" t="s">
        <v>21</v>
      </c>
      <c r="S40" s="715">
        <f t="shared" si="12"/>
        <v>100</v>
      </c>
      <c r="T40" s="714" t="s">
        <v>21</v>
      </c>
      <c r="U40" s="715">
        <f t="shared" si="13"/>
        <v>100</v>
      </c>
      <c r="V40" s="714" t="s">
        <v>21</v>
      </c>
      <c r="W40" s="715">
        <f t="shared" si="14"/>
        <v>100</v>
      </c>
      <c r="X40" s="1509"/>
      <c r="Y40" s="343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5"/>
      <c r="Q41" s="716" t="str">
        <f t="shared" si="11"/>
        <v>单套/主力户型建筑面积</v>
      </c>
      <c r="R41" s="717" t="s">
        <v>21</v>
      </c>
      <c r="S41" s="718">
        <f t="shared" si="12"/>
        <v>100</v>
      </c>
      <c r="T41" s="717" t="s">
        <v>21</v>
      </c>
      <c r="U41" s="718">
        <f t="shared" si="13"/>
        <v>100</v>
      </c>
      <c r="V41" s="717" t="s">
        <v>21</v>
      </c>
      <c r="W41" s="718">
        <f t="shared" si="14"/>
        <v>100</v>
      </c>
      <c r="X41" s="719"/>
      <c r="Y41" s="343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5"/>
      <c r="Q42" s="1506" t="str">
        <f t="shared" si="11"/>
        <v>内部装修</v>
      </c>
      <c r="R42" s="714" t="s">
        <v>21</v>
      </c>
      <c r="S42" s="715">
        <f t="shared" si="12"/>
        <v>100</v>
      </c>
      <c r="T42" s="714" t="s">
        <v>21</v>
      </c>
      <c r="U42" s="715">
        <f t="shared" si="13"/>
        <v>100</v>
      </c>
      <c r="V42" s="714" t="s">
        <v>21</v>
      </c>
      <c r="W42" s="715">
        <f t="shared" si="14"/>
        <v>100</v>
      </c>
      <c r="X42" s="1509"/>
      <c r="Y42" s="343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5"/>
      <c r="Q43" s="1506" t="str">
        <f t="shared" si="11"/>
        <v>内部装修维护情况</v>
      </c>
      <c r="R43" s="714" t="s">
        <v>21</v>
      </c>
      <c r="S43" s="715">
        <f t="shared" si="12"/>
        <v>100</v>
      </c>
      <c r="T43" s="714" t="s">
        <v>21</v>
      </c>
      <c r="U43" s="715">
        <f t="shared" si="13"/>
        <v>100</v>
      </c>
      <c r="V43" s="714" t="s">
        <v>21</v>
      </c>
      <c r="W43" s="715">
        <f t="shared" si="14"/>
        <v>100</v>
      </c>
      <c r="X43" s="1509"/>
      <c r="Y43" s="343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5"/>
      <c r="Q44" s="1497">
        <f t="shared" si="11"/>
        <v>111</v>
      </c>
      <c r="R44" s="710" t="s">
        <v>21</v>
      </c>
      <c r="S44" s="711">
        <f t="shared" si="12"/>
        <v>100</v>
      </c>
      <c r="T44" s="710" t="s">
        <v>21</v>
      </c>
      <c r="U44" s="711">
        <f t="shared" si="13"/>
        <v>100</v>
      </c>
      <c r="V44" s="710" t="s">
        <v>21</v>
      </c>
      <c r="W44" s="711">
        <f t="shared" si="14"/>
        <v>100</v>
      </c>
      <c r="X44" s="712"/>
      <c r="Y44" s="343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5"/>
      <c r="Q45" s="1506">
        <f t="shared" si="11"/>
        <v>111</v>
      </c>
      <c r="R45" s="714" t="s">
        <v>21</v>
      </c>
      <c r="S45" s="715">
        <f t="shared" si="12"/>
        <v>100</v>
      </c>
      <c r="T45" s="714" t="s">
        <v>21</v>
      </c>
      <c r="U45" s="715">
        <f t="shared" si="13"/>
        <v>100</v>
      </c>
      <c r="V45" s="714" t="s">
        <v>21</v>
      </c>
      <c r="W45" s="715">
        <f t="shared" si="14"/>
        <v>100</v>
      </c>
      <c r="X45" s="1509"/>
      <c r="Y45" s="343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36"/>
      <c r="Q46" s="1506">
        <f t="shared" si="11"/>
        <v>111</v>
      </c>
      <c r="R46" s="714" t="s">
        <v>20</v>
      </c>
      <c r="S46" s="715">
        <f t="shared" si="12"/>
        <v>100</v>
      </c>
      <c r="T46" s="714" t="s">
        <v>20</v>
      </c>
      <c r="U46" s="715">
        <f t="shared" si="13"/>
        <v>100</v>
      </c>
      <c r="V46" s="714" t="s">
        <v>20</v>
      </c>
      <c r="W46" s="715">
        <f t="shared" si="14"/>
        <v>100</v>
      </c>
      <c r="X46" s="1509"/>
      <c r="Y46" s="343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30" t="str">
        <f>A47</f>
        <v>成交单价（元/平方米）</v>
      </c>
      <c r="Q47" s="3430"/>
      <c r="R47" s="3431">
        <f>E47</f>
        <v>0</v>
      </c>
      <c r="S47" s="3431"/>
      <c r="T47" s="3431">
        <f>G47</f>
        <v>0</v>
      </c>
      <c r="U47" s="3431"/>
      <c r="V47" s="3431">
        <f>I47</f>
        <v>0</v>
      </c>
      <c r="W47" s="3431"/>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61"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61"/>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61"/>
      <c r="AC6" s="3444"/>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39" t="s">
        <v>2321</v>
      </c>
      <c r="Q15" s="1506" t="str">
        <f t="shared" si="6"/>
        <v>商业繁华度</v>
      </c>
      <c r="R15" s="714" t="s">
        <v>17</v>
      </c>
      <c r="S15" s="715">
        <f t="shared" si="0"/>
        <v>100</v>
      </c>
      <c r="T15" s="714" t="s">
        <v>17</v>
      </c>
      <c r="U15" s="715">
        <f t="shared" si="1"/>
        <v>100</v>
      </c>
      <c r="V15" s="714" t="s">
        <v>17</v>
      </c>
      <c r="W15" s="715">
        <f t="shared" si="2"/>
        <v>100</v>
      </c>
      <c r="X15" s="1509"/>
      <c r="Y15" s="343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40"/>
      <c r="Q18" s="1506"/>
      <c r="R18" s="714"/>
      <c r="S18" s="715"/>
      <c r="T18" s="714"/>
      <c r="U18" s="715"/>
      <c r="V18" s="714"/>
      <c r="W18" s="715"/>
      <c r="X18" s="1509"/>
      <c r="Y18" s="343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40"/>
      <c r="Q20" s="1506"/>
      <c r="R20" s="714"/>
      <c r="S20" s="715"/>
      <c r="T20" s="714"/>
      <c r="U20" s="715"/>
      <c r="V20" s="714"/>
      <c r="W20" s="715"/>
      <c r="X20" s="1509"/>
      <c r="Y20" s="343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40"/>
      <c r="Q22" s="1506"/>
      <c r="R22" s="714"/>
      <c r="S22" s="715"/>
      <c r="T22" s="714"/>
      <c r="U22" s="715"/>
      <c r="V22" s="714"/>
      <c r="W22" s="715"/>
      <c r="X22" s="1509"/>
      <c r="Y22" s="343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40"/>
      <c r="Q23" s="1506" t="str">
        <f>B23</f>
        <v>自然及人文环境</v>
      </c>
      <c r="R23" s="714" t="s">
        <v>17</v>
      </c>
      <c r="S23" s="715">
        <f>F23</f>
        <v>100</v>
      </c>
      <c r="T23" s="714" t="s">
        <v>17</v>
      </c>
      <c r="U23" s="715">
        <f>H23</f>
        <v>100</v>
      </c>
      <c r="V23" s="714" t="s">
        <v>17</v>
      </c>
      <c r="W23" s="715">
        <f>J23</f>
        <v>100</v>
      </c>
      <c r="X23" s="1509"/>
      <c r="Y23" s="343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40"/>
      <c r="Q24" s="1506"/>
      <c r="R24" s="714"/>
      <c r="S24" s="715"/>
      <c r="T24" s="714"/>
      <c r="U24" s="715"/>
      <c r="V24" s="714"/>
      <c r="W24" s="715"/>
      <c r="X24" s="1509"/>
      <c r="Y24" s="343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40"/>
      <c r="Q25" s="1506" t="str">
        <f t="shared" ref="Q25:Q46" si="11">B25</f>
        <v>临街状况</v>
      </c>
      <c r="R25" s="714" t="s">
        <v>17</v>
      </c>
      <c r="S25" s="715">
        <f>F25</f>
        <v>100</v>
      </c>
      <c r="T25" s="714" t="s">
        <v>17</v>
      </c>
      <c r="U25" s="715">
        <f>H25</f>
        <v>100</v>
      </c>
      <c r="V25" s="714" t="s">
        <v>17</v>
      </c>
      <c r="W25" s="715">
        <f>J25</f>
        <v>100</v>
      </c>
      <c r="X25" s="1509"/>
      <c r="Y25" s="343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40"/>
      <c r="Q26" s="1506" t="str">
        <f t="shared" si="11"/>
        <v>平面位置/可视性</v>
      </c>
      <c r="R26" s="714" t="s">
        <v>17</v>
      </c>
      <c r="S26" s="715">
        <f>F26</f>
        <v>100</v>
      </c>
      <c r="T26" s="714" t="s">
        <v>17</v>
      </c>
      <c r="U26" s="715">
        <f>H26</f>
        <v>100</v>
      </c>
      <c r="V26" s="714" t="s">
        <v>17</v>
      </c>
      <c r="W26" s="715">
        <f>J26</f>
        <v>100</v>
      </c>
      <c r="X26" s="1509"/>
      <c r="Y26" s="343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40"/>
      <c r="Q27" s="1497" t="str">
        <f t="shared" si="11"/>
        <v>人流量</v>
      </c>
      <c r="R27" s="710" t="s">
        <v>17</v>
      </c>
      <c r="S27" s="711">
        <f>F27</f>
        <v>100</v>
      </c>
      <c r="T27" s="710" t="s">
        <v>17</v>
      </c>
      <c r="U27" s="711">
        <f>H27</f>
        <v>100</v>
      </c>
      <c r="V27" s="710" t="s">
        <v>17</v>
      </c>
      <c r="W27" s="711">
        <f>J27</f>
        <v>100</v>
      </c>
      <c r="X27" s="712"/>
      <c r="Y27" s="343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4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40"/>
      <c r="Q29" s="1506">
        <f t="shared" si="11"/>
        <v>111</v>
      </c>
      <c r="R29" s="714" t="s">
        <v>17</v>
      </c>
      <c r="S29" s="715">
        <f t="shared" si="12"/>
        <v>100</v>
      </c>
      <c r="T29" s="714" t="s">
        <v>17</v>
      </c>
      <c r="U29" s="715">
        <f t="shared" si="13"/>
        <v>100</v>
      </c>
      <c r="V29" s="714" t="s">
        <v>17</v>
      </c>
      <c r="W29" s="715">
        <f t="shared" si="14"/>
        <v>100</v>
      </c>
      <c r="X29" s="1509"/>
      <c r="Y29" s="343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4" t="s">
        <v>2326</v>
      </c>
      <c r="Q32" s="1506" t="str">
        <f t="shared" si="11"/>
        <v>商业类型</v>
      </c>
      <c r="R32" s="714" t="s">
        <v>17</v>
      </c>
      <c r="S32" s="715">
        <f t="shared" si="12"/>
        <v>100</v>
      </c>
      <c r="T32" s="714" t="s">
        <v>17</v>
      </c>
      <c r="U32" s="715">
        <f t="shared" si="13"/>
        <v>100</v>
      </c>
      <c r="V32" s="714" t="s">
        <v>17</v>
      </c>
      <c r="W32" s="715">
        <f t="shared" si="14"/>
        <v>100</v>
      </c>
      <c r="X32" s="1509"/>
      <c r="Y32" s="343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5"/>
      <c r="Q33" s="716" t="str">
        <f t="shared" si="11"/>
        <v>项目建筑规模</v>
      </c>
      <c r="R33" s="717" t="s">
        <v>17</v>
      </c>
      <c r="S33" s="718" t="e">
        <f t="shared" si="12"/>
        <v>#N/A</v>
      </c>
      <c r="T33" s="717" t="s">
        <v>17</v>
      </c>
      <c r="U33" s="718" t="e">
        <f t="shared" si="13"/>
        <v>#N/A</v>
      </c>
      <c r="V33" s="717" t="s">
        <v>17</v>
      </c>
      <c r="W33" s="718" t="e">
        <f t="shared" si="14"/>
        <v>#N/A</v>
      </c>
      <c r="X33" s="719"/>
      <c r="Y33" s="343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5"/>
      <c r="Q34" s="1506" t="str">
        <f t="shared" si="11"/>
        <v>建筑结构</v>
      </c>
      <c r="R34" s="714" t="s">
        <v>17</v>
      </c>
      <c r="S34" s="715">
        <f t="shared" si="12"/>
        <v>100</v>
      </c>
      <c r="T34" s="714" t="s">
        <v>17</v>
      </c>
      <c r="U34" s="715">
        <f t="shared" si="13"/>
        <v>100</v>
      </c>
      <c r="V34" s="714" t="s">
        <v>17</v>
      </c>
      <c r="W34" s="715">
        <f t="shared" si="14"/>
        <v>100</v>
      </c>
      <c r="X34" s="1509"/>
      <c r="Y34" s="343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5"/>
      <c r="Q35" s="1506" t="str">
        <f t="shared" si="11"/>
        <v>公共部分装修</v>
      </c>
      <c r="R35" s="714" t="s">
        <v>17</v>
      </c>
      <c r="S35" s="715">
        <f t="shared" si="12"/>
        <v>100</v>
      </c>
      <c r="T35" s="714" t="s">
        <v>17</v>
      </c>
      <c r="U35" s="715">
        <f t="shared" si="13"/>
        <v>100</v>
      </c>
      <c r="V35" s="714" t="s">
        <v>17</v>
      </c>
      <c r="W35" s="715">
        <f t="shared" si="14"/>
        <v>100</v>
      </c>
      <c r="X35" s="1509"/>
      <c r="Y35" s="343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5"/>
      <c r="Q36" s="1506" t="str">
        <f t="shared" si="11"/>
        <v>成新度</v>
      </c>
      <c r="R36" s="714" t="s">
        <v>17</v>
      </c>
      <c r="S36" s="715" t="e">
        <f t="shared" si="12"/>
        <v>#N/A</v>
      </c>
      <c r="T36" s="714" t="s">
        <v>17</v>
      </c>
      <c r="U36" s="715" t="e">
        <f t="shared" si="13"/>
        <v>#N/A</v>
      </c>
      <c r="V36" s="714" t="s">
        <v>17</v>
      </c>
      <c r="W36" s="715" t="e">
        <f t="shared" si="14"/>
        <v>#N/A</v>
      </c>
      <c r="X36" s="1509"/>
      <c r="Y36" s="343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5"/>
      <c r="Q37" s="1497" t="str">
        <f t="shared" si="11"/>
        <v>市政基础设施</v>
      </c>
      <c r="R37" s="710" t="s">
        <v>17</v>
      </c>
      <c r="S37" s="711">
        <f t="shared" si="12"/>
        <v>100</v>
      </c>
      <c r="T37" s="710" t="s">
        <v>17</v>
      </c>
      <c r="U37" s="711">
        <f t="shared" si="13"/>
        <v>100</v>
      </c>
      <c r="V37" s="710" t="s">
        <v>17</v>
      </c>
      <c r="W37" s="711">
        <f t="shared" si="14"/>
        <v>100</v>
      </c>
      <c r="X37" s="712"/>
      <c r="Y37" s="343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5" t="s">
        <v>2326</v>
      </c>
      <c r="Q38" s="1506" t="str">
        <f t="shared" si="11"/>
        <v>业态</v>
      </c>
      <c r="R38" s="714" t="s">
        <v>17</v>
      </c>
      <c r="S38" s="715">
        <f t="shared" si="12"/>
        <v>100</v>
      </c>
      <c r="T38" s="714" t="s">
        <v>17</v>
      </c>
      <c r="U38" s="715">
        <f t="shared" si="13"/>
        <v>100</v>
      </c>
      <c r="V38" s="714" t="s">
        <v>17</v>
      </c>
      <c r="W38" s="715">
        <f t="shared" si="14"/>
        <v>100</v>
      </c>
      <c r="X38" s="1509"/>
      <c r="Y38" s="343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5"/>
      <c r="Q39" s="1506" t="str">
        <f t="shared" si="11"/>
        <v>层高</v>
      </c>
      <c r="R39" s="714" t="s">
        <v>17</v>
      </c>
      <c r="S39" s="715">
        <f t="shared" si="12"/>
        <v>100</v>
      </c>
      <c r="T39" s="714" t="s">
        <v>17</v>
      </c>
      <c r="U39" s="715">
        <f t="shared" si="13"/>
        <v>100</v>
      </c>
      <c r="V39" s="714" t="s">
        <v>17</v>
      </c>
      <c r="W39" s="715">
        <f t="shared" si="14"/>
        <v>100</v>
      </c>
      <c r="X39" s="1509"/>
      <c r="Y39" s="343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5"/>
      <c r="Q40" s="1506" t="str">
        <f t="shared" si="11"/>
        <v>单套建筑面积</v>
      </c>
      <c r="R40" s="714" t="s">
        <v>17</v>
      </c>
      <c r="S40" s="715">
        <f t="shared" si="12"/>
        <v>100</v>
      </c>
      <c r="T40" s="714" t="s">
        <v>17</v>
      </c>
      <c r="U40" s="715">
        <f t="shared" si="13"/>
        <v>100</v>
      </c>
      <c r="V40" s="714" t="s">
        <v>17</v>
      </c>
      <c r="W40" s="715">
        <f t="shared" si="14"/>
        <v>100</v>
      </c>
      <c r="X40" s="1509"/>
      <c r="Y40" s="343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5"/>
      <c r="Q41" s="716" t="str">
        <f t="shared" si="11"/>
        <v>进深比</v>
      </c>
      <c r="R41" s="717" t="s">
        <v>17</v>
      </c>
      <c r="S41" s="718">
        <f t="shared" si="12"/>
        <v>100</v>
      </c>
      <c r="T41" s="717" t="s">
        <v>17</v>
      </c>
      <c r="U41" s="718">
        <f t="shared" si="13"/>
        <v>100</v>
      </c>
      <c r="V41" s="717" t="s">
        <v>17</v>
      </c>
      <c r="W41" s="718">
        <f t="shared" si="14"/>
        <v>100</v>
      </c>
      <c r="X41" s="719"/>
      <c r="Y41" s="343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5"/>
      <c r="Q42" s="1506" t="str">
        <f t="shared" si="11"/>
        <v>内部装修</v>
      </c>
      <c r="R42" s="714" t="s">
        <v>17</v>
      </c>
      <c r="S42" s="715">
        <f t="shared" si="12"/>
        <v>100</v>
      </c>
      <c r="T42" s="714" t="s">
        <v>17</v>
      </c>
      <c r="U42" s="715">
        <f t="shared" si="13"/>
        <v>100</v>
      </c>
      <c r="V42" s="714" t="s">
        <v>17</v>
      </c>
      <c r="W42" s="715">
        <f t="shared" si="14"/>
        <v>100</v>
      </c>
      <c r="X42" s="1509"/>
      <c r="Y42" s="343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5"/>
      <c r="Q43" s="1506" t="str">
        <f t="shared" si="11"/>
        <v>内部装修维护情况</v>
      </c>
      <c r="R43" s="714" t="s">
        <v>17</v>
      </c>
      <c r="S43" s="715">
        <f t="shared" si="12"/>
        <v>100</v>
      </c>
      <c r="T43" s="714" t="s">
        <v>17</v>
      </c>
      <c r="U43" s="715">
        <f t="shared" si="13"/>
        <v>100</v>
      </c>
      <c r="V43" s="714" t="s">
        <v>17</v>
      </c>
      <c r="W43" s="715">
        <f t="shared" si="14"/>
        <v>100</v>
      </c>
      <c r="X43" s="1509"/>
      <c r="Y43" s="343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5"/>
      <c r="Q44" s="1497">
        <f t="shared" si="11"/>
        <v>111</v>
      </c>
      <c r="R44" s="710" t="s">
        <v>17</v>
      </c>
      <c r="S44" s="711">
        <f t="shared" si="12"/>
        <v>100</v>
      </c>
      <c r="T44" s="710" t="s">
        <v>17</v>
      </c>
      <c r="U44" s="711">
        <f t="shared" si="13"/>
        <v>100</v>
      </c>
      <c r="V44" s="710" t="s">
        <v>17</v>
      </c>
      <c r="W44" s="711">
        <f t="shared" si="14"/>
        <v>100</v>
      </c>
      <c r="X44" s="712"/>
      <c r="Y44" s="343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5"/>
      <c r="Q45" s="1506">
        <f t="shared" si="11"/>
        <v>111</v>
      </c>
      <c r="R45" s="714" t="s">
        <v>17</v>
      </c>
      <c r="S45" s="715">
        <f t="shared" si="12"/>
        <v>100</v>
      </c>
      <c r="T45" s="714" t="s">
        <v>17</v>
      </c>
      <c r="U45" s="715">
        <f t="shared" si="13"/>
        <v>100</v>
      </c>
      <c r="V45" s="714" t="s">
        <v>17</v>
      </c>
      <c r="W45" s="715">
        <f t="shared" si="14"/>
        <v>100</v>
      </c>
      <c r="X45" s="1509"/>
      <c r="Y45" s="343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30" t="str">
        <f>A47</f>
        <v>成交单价（元/平方米）</v>
      </c>
      <c r="Q47" s="3430"/>
      <c r="R47" s="3461">
        <f>E47</f>
        <v>0</v>
      </c>
      <c r="S47" s="3461"/>
      <c r="T47" s="3461">
        <f>G47</f>
        <v>0</v>
      </c>
      <c r="U47" s="3461"/>
      <c r="V47" s="3461">
        <f>I47</f>
        <v>0</v>
      </c>
      <c r="W47" s="3461"/>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79" t="s">
        <v>2412</v>
      </c>
      <c r="Q4" s="3480"/>
      <c r="R4" s="3483" t="s">
        <v>2408</v>
      </c>
      <c r="S4" s="3484"/>
      <c r="T4" s="3483" t="s">
        <v>2409</v>
      </c>
      <c r="U4" s="3484"/>
      <c r="V4" s="3485" t="s">
        <v>2410</v>
      </c>
      <c r="W4" s="3485"/>
      <c r="X4" s="2114"/>
      <c r="Y4" s="3483" t="s">
        <v>2412</v>
      </c>
      <c r="Z4" s="3484"/>
      <c r="AA4" s="3487" t="s">
        <v>2408</v>
      </c>
      <c r="AB4" s="3487" t="s">
        <v>2409</v>
      </c>
      <c r="AC4" s="3476" t="s">
        <v>2410</v>
      </c>
    </row>
    <row r="5" spans="1:29" ht="15">
      <c r="A5" s="364"/>
      <c r="B5" s="365"/>
      <c r="C5" s="3464" t="s">
        <v>2303</v>
      </c>
      <c r="D5" s="3465"/>
      <c r="E5" s="3471" t="s">
        <v>2304</v>
      </c>
      <c r="F5" s="3472"/>
      <c r="G5" s="3464" t="s">
        <v>2305</v>
      </c>
      <c r="H5" s="3465"/>
      <c r="I5" s="3464" t="s">
        <v>2306</v>
      </c>
      <c r="J5" s="3465"/>
      <c r="K5" s="567"/>
      <c r="L5" s="2912"/>
      <c r="M5" s="2913"/>
      <c r="N5" s="2913"/>
      <c r="O5" s="2913"/>
      <c r="P5" s="3481"/>
      <c r="Q5" s="3452"/>
      <c r="R5" s="3457"/>
      <c r="S5" s="3458"/>
      <c r="T5" s="3457"/>
      <c r="U5" s="3458"/>
      <c r="V5" s="3461"/>
      <c r="W5" s="3461"/>
      <c r="X5" s="1509"/>
      <c r="Y5" s="3457"/>
      <c r="Z5" s="3458"/>
      <c r="AA5" s="3443"/>
      <c r="AB5" s="3443"/>
      <c r="AC5" s="3477"/>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82"/>
      <c r="Q6" s="3454"/>
      <c r="R6" s="3457"/>
      <c r="S6" s="3458"/>
      <c r="T6" s="3459"/>
      <c r="U6" s="3460"/>
      <c r="V6" s="3461"/>
      <c r="W6" s="3461"/>
      <c r="X6" s="1509"/>
      <c r="Y6" s="3459"/>
      <c r="Z6" s="3460"/>
      <c r="AA6" s="3444"/>
      <c r="AB6" s="3444"/>
      <c r="AC6" s="3478"/>
    </row>
    <row r="7" spans="1:29" s="113" customFormat="1" ht="15.7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6" t="s">
        <v>2313</v>
      </c>
      <c r="Q8" s="3467"/>
      <c r="R8" s="710" t="s">
        <v>17</v>
      </c>
      <c r="S8" s="711">
        <f t="shared" si="0"/>
        <v>0</v>
      </c>
      <c r="T8" s="710" t="s">
        <v>17</v>
      </c>
      <c r="U8" s="711">
        <f t="shared" si="1"/>
        <v>0</v>
      </c>
      <c r="V8" s="710" t="s">
        <v>17</v>
      </c>
      <c r="W8" s="711">
        <f t="shared" si="2"/>
        <v>0</v>
      </c>
      <c r="X8" s="712"/>
      <c r="Y8" s="3466" t="s">
        <v>2313</v>
      </c>
      <c r="Z8" s="3467"/>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39" t="s">
        <v>2321</v>
      </c>
      <c r="Q15" s="1506" t="str">
        <f t="shared" si="6"/>
        <v>办公集聚程度</v>
      </c>
      <c r="R15" s="714" t="s">
        <v>17</v>
      </c>
      <c r="S15" s="715">
        <f t="shared" si="0"/>
        <v>100</v>
      </c>
      <c r="T15" s="714" t="s">
        <v>17</v>
      </c>
      <c r="U15" s="715">
        <f t="shared" si="1"/>
        <v>100</v>
      </c>
      <c r="V15" s="714" t="s">
        <v>17</v>
      </c>
      <c r="W15" s="715">
        <f t="shared" si="2"/>
        <v>100</v>
      </c>
      <c r="X15" s="1509"/>
      <c r="Y15" s="343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40"/>
      <c r="Q16" s="1506"/>
      <c r="R16" s="714"/>
      <c r="S16" s="715"/>
      <c r="T16" s="714"/>
      <c r="U16" s="715"/>
      <c r="V16" s="714"/>
      <c r="W16" s="715"/>
      <c r="X16" s="1509"/>
      <c r="Y16" s="343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40"/>
      <c r="Q18" s="1506"/>
      <c r="R18" s="714"/>
      <c r="S18" s="715"/>
      <c r="T18" s="714"/>
      <c r="U18" s="715"/>
      <c r="V18" s="714"/>
      <c r="W18" s="715"/>
      <c r="X18" s="1509"/>
      <c r="Y18" s="343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40"/>
      <c r="Q20" s="1506"/>
      <c r="R20" s="714"/>
      <c r="S20" s="715"/>
      <c r="T20" s="714"/>
      <c r="U20" s="715"/>
      <c r="V20" s="714"/>
      <c r="W20" s="715"/>
      <c r="X20" s="1509"/>
      <c r="Y20" s="343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40"/>
      <c r="Q22" s="1506"/>
      <c r="R22" s="714"/>
      <c r="S22" s="715"/>
      <c r="T22" s="714"/>
      <c r="U22" s="715"/>
      <c r="V22" s="714"/>
      <c r="W22" s="715"/>
      <c r="X22" s="1509"/>
      <c r="Y22" s="343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40"/>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40"/>
      <c r="Q24" s="1506"/>
      <c r="R24" s="714"/>
      <c r="S24" s="715"/>
      <c r="T24" s="714"/>
      <c r="U24" s="715"/>
      <c r="V24" s="714"/>
      <c r="W24" s="715"/>
      <c r="X24" s="1509"/>
      <c r="Y24" s="343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40"/>
      <c r="Q25" s="1506" t="str">
        <f>B25</f>
        <v>毗邻道路的类型与等级</v>
      </c>
      <c r="R25" s="714" t="s">
        <v>17</v>
      </c>
      <c r="S25" s="715">
        <f>F25</f>
        <v>100</v>
      </c>
      <c r="T25" s="714" t="s">
        <v>17</v>
      </c>
      <c r="U25" s="715">
        <f>H25</f>
        <v>100</v>
      </c>
      <c r="V25" s="714" t="s">
        <v>17</v>
      </c>
      <c r="W25" s="715">
        <f>J25</f>
        <v>100</v>
      </c>
      <c r="X25" s="1509"/>
      <c r="Y25" s="343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40"/>
      <c r="Q26" s="1506"/>
      <c r="R26" s="714"/>
      <c r="S26" s="715"/>
      <c r="T26" s="714"/>
      <c r="U26" s="715"/>
      <c r="V26" s="714"/>
      <c r="W26" s="715"/>
      <c r="X26" s="1509"/>
      <c r="Y26" s="343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40"/>
      <c r="Q27" s="1506" t="str">
        <f t="shared" ref="Q27:Q47" si="11">B27</f>
        <v>楼层</v>
      </c>
      <c r="R27" s="714" t="s">
        <v>17</v>
      </c>
      <c r="S27" s="715">
        <f>F27</f>
        <v>100</v>
      </c>
      <c r="T27" s="714" t="s">
        <v>17</v>
      </c>
      <c r="U27" s="715">
        <f>H27</f>
        <v>100</v>
      </c>
      <c r="V27" s="714" t="s">
        <v>17</v>
      </c>
      <c r="W27" s="715">
        <f>J27</f>
        <v>100</v>
      </c>
      <c r="X27" s="1509"/>
      <c r="Y27" s="343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40"/>
      <c r="Q28" s="1497" t="str">
        <f t="shared" si="11"/>
        <v>朝向</v>
      </c>
      <c r="R28" s="710" t="s">
        <v>17</v>
      </c>
      <c r="S28" s="711">
        <f>F28</f>
        <v>100</v>
      </c>
      <c r="T28" s="710" t="s">
        <v>17</v>
      </c>
      <c r="U28" s="711">
        <f>H28</f>
        <v>100</v>
      </c>
      <c r="V28" s="710" t="s">
        <v>17</v>
      </c>
      <c r="W28" s="711">
        <f>J28</f>
        <v>100</v>
      </c>
      <c r="X28" s="712"/>
      <c r="Y28" s="343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40"/>
      <c r="Q29" s="1506">
        <f t="shared" si="11"/>
        <v>111</v>
      </c>
      <c r="R29" s="714" t="s">
        <v>17</v>
      </c>
      <c r="S29" s="715">
        <f t="shared" ref="S29:S47" si="12">F29</f>
        <v>100</v>
      </c>
      <c r="T29" s="714" t="s">
        <v>17</v>
      </c>
      <c r="U29" s="715">
        <f t="shared" ref="U29:U47" si="13">H29</f>
        <v>100</v>
      </c>
      <c r="V29" s="714" t="s">
        <v>17</v>
      </c>
      <c r="W29" s="715">
        <f t="shared" ref="W29:W47" si="14">J29</f>
        <v>100</v>
      </c>
      <c r="X29" s="1509"/>
      <c r="Y29" s="343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40"/>
      <c r="Q32" s="1506">
        <f t="shared" si="11"/>
        <v>111</v>
      </c>
      <c r="R32" s="714" t="s">
        <v>17</v>
      </c>
      <c r="S32" s="715">
        <f t="shared" si="12"/>
        <v>100</v>
      </c>
      <c r="T32" s="714" t="s">
        <v>17</v>
      </c>
      <c r="U32" s="715">
        <f t="shared" si="13"/>
        <v>100</v>
      </c>
      <c r="V32" s="714" t="s">
        <v>17</v>
      </c>
      <c r="W32" s="715">
        <f t="shared" si="14"/>
        <v>100</v>
      </c>
      <c r="X32" s="1509"/>
      <c r="Y32" s="343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4" t="s">
        <v>2326</v>
      </c>
      <c r="Q33" s="1506" t="str">
        <f t="shared" si="11"/>
        <v>建筑类型</v>
      </c>
      <c r="R33" s="714" t="s">
        <v>17</v>
      </c>
      <c r="S33" s="715">
        <f t="shared" si="12"/>
        <v>100</v>
      </c>
      <c r="T33" s="714" t="s">
        <v>17</v>
      </c>
      <c r="U33" s="715">
        <f t="shared" si="13"/>
        <v>100</v>
      </c>
      <c r="V33" s="714" t="s">
        <v>17</v>
      </c>
      <c r="W33" s="715">
        <f t="shared" si="14"/>
        <v>100</v>
      </c>
      <c r="X33" s="1509"/>
      <c r="Y33" s="343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5"/>
      <c r="Q34" s="716" t="str">
        <f t="shared" si="11"/>
        <v>项目建筑规模</v>
      </c>
      <c r="R34" s="717" t="s">
        <v>17</v>
      </c>
      <c r="S34" s="718" t="e">
        <f t="shared" si="12"/>
        <v>#N/A</v>
      </c>
      <c r="T34" s="717" t="s">
        <v>17</v>
      </c>
      <c r="U34" s="718" t="e">
        <f t="shared" si="13"/>
        <v>#N/A</v>
      </c>
      <c r="V34" s="717" t="s">
        <v>17</v>
      </c>
      <c r="W34" s="718" t="e">
        <f t="shared" si="14"/>
        <v>#N/A</v>
      </c>
      <c r="X34" s="719"/>
      <c r="Y34" s="343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5"/>
      <c r="Q35" s="1506" t="str">
        <f t="shared" si="11"/>
        <v>建筑结构</v>
      </c>
      <c r="R35" s="714" t="s">
        <v>17</v>
      </c>
      <c r="S35" s="715">
        <f t="shared" si="12"/>
        <v>100</v>
      </c>
      <c r="T35" s="714" t="s">
        <v>17</v>
      </c>
      <c r="U35" s="715">
        <f t="shared" si="13"/>
        <v>100</v>
      </c>
      <c r="V35" s="714" t="s">
        <v>17</v>
      </c>
      <c r="W35" s="715">
        <f t="shared" si="14"/>
        <v>100</v>
      </c>
      <c r="X35" s="1509"/>
      <c r="Y35" s="343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5"/>
      <c r="Q36" s="1506" t="str">
        <f t="shared" si="11"/>
        <v>公共部分装修</v>
      </c>
      <c r="R36" s="714" t="s">
        <v>17</v>
      </c>
      <c r="S36" s="715">
        <f t="shared" si="12"/>
        <v>100</v>
      </c>
      <c r="T36" s="714" t="s">
        <v>17</v>
      </c>
      <c r="U36" s="715">
        <f t="shared" si="13"/>
        <v>100</v>
      </c>
      <c r="V36" s="714" t="s">
        <v>17</v>
      </c>
      <c r="W36" s="715">
        <f t="shared" si="14"/>
        <v>100</v>
      </c>
      <c r="X36" s="1509"/>
      <c r="Y36" s="343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5"/>
      <c r="Q37" s="1506" t="str">
        <f t="shared" si="11"/>
        <v>成新度</v>
      </c>
      <c r="R37" s="714" t="s">
        <v>17</v>
      </c>
      <c r="S37" s="715" t="e">
        <f t="shared" si="12"/>
        <v>#N/A</v>
      </c>
      <c r="T37" s="714" t="s">
        <v>17</v>
      </c>
      <c r="U37" s="715" t="e">
        <f t="shared" si="13"/>
        <v>#N/A</v>
      </c>
      <c r="V37" s="714" t="s">
        <v>17</v>
      </c>
      <c r="W37" s="715" t="e">
        <f t="shared" si="14"/>
        <v>#N/A</v>
      </c>
      <c r="X37" s="1509"/>
      <c r="Y37" s="343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5"/>
      <c r="Q38" s="1497" t="str">
        <f t="shared" si="11"/>
        <v>写字楼等级</v>
      </c>
      <c r="R38" s="710" t="s">
        <v>17</v>
      </c>
      <c r="S38" s="711">
        <f t="shared" si="12"/>
        <v>100</v>
      </c>
      <c r="T38" s="710" t="s">
        <v>17</v>
      </c>
      <c r="U38" s="711">
        <f t="shared" si="13"/>
        <v>100</v>
      </c>
      <c r="V38" s="710" t="s">
        <v>17</v>
      </c>
      <c r="W38" s="711">
        <f t="shared" si="14"/>
        <v>100</v>
      </c>
      <c r="X38" s="712"/>
      <c r="Y38" s="343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5" t="s">
        <v>2326</v>
      </c>
      <c r="Q39" s="1506" t="str">
        <f t="shared" si="11"/>
        <v>物业管理</v>
      </c>
      <c r="R39" s="714" t="s">
        <v>17</v>
      </c>
      <c r="S39" s="715">
        <f t="shared" si="12"/>
        <v>100</v>
      </c>
      <c r="T39" s="714" t="s">
        <v>17</v>
      </c>
      <c r="U39" s="715">
        <f t="shared" si="13"/>
        <v>100</v>
      </c>
      <c r="V39" s="714" t="s">
        <v>17</v>
      </c>
      <c r="W39" s="715">
        <f t="shared" si="14"/>
        <v>100</v>
      </c>
      <c r="X39" s="1509"/>
      <c r="Y39" s="343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5"/>
      <c r="Q40" s="1506" t="str">
        <f t="shared" si="11"/>
        <v>市政基础设施</v>
      </c>
      <c r="R40" s="714" t="s">
        <v>17</v>
      </c>
      <c r="S40" s="715">
        <f t="shared" si="12"/>
        <v>100</v>
      </c>
      <c r="T40" s="714" t="s">
        <v>17</v>
      </c>
      <c r="U40" s="715">
        <f t="shared" si="13"/>
        <v>100</v>
      </c>
      <c r="V40" s="714" t="s">
        <v>17</v>
      </c>
      <c r="W40" s="715">
        <f t="shared" si="14"/>
        <v>100</v>
      </c>
      <c r="X40" s="1509"/>
      <c r="Y40" s="343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5"/>
      <c r="Q41" s="1506" t="str">
        <f t="shared" si="11"/>
        <v>层高</v>
      </c>
      <c r="R41" s="714" t="s">
        <v>17</v>
      </c>
      <c r="S41" s="715">
        <f t="shared" si="12"/>
        <v>100</v>
      </c>
      <c r="T41" s="714" t="s">
        <v>17</v>
      </c>
      <c r="U41" s="715">
        <f t="shared" si="13"/>
        <v>100</v>
      </c>
      <c r="V41" s="714" t="s">
        <v>17</v>
      </c>
      <c r="W41" s="715">
        <f t="shared" si="14"/>
        <v>100</v>
      </c>
      <c r="X41" s="1509"/>
      <c r="Y41" s="343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5"/>
      <c r="Q42" s="716" t="str">
        <f t="shared" si="11"/>
        <v>单套建筑面积</v>
      </c>
      <c r="R42" s="717" t="s">
        <v>17</v>
      </c>
      <c r="S42" s="718">
        <f t="shared" si="12"/>
        <v>100</v>
      </c>
      <c r="T42" s="717" t="s">
        <v>17</v>
      </c>
      <c r="U42" s="718">
        <f t="shared" si="13"/>
        <v>100</v>
      </c>
      <c r="V42" s="717" t="s">
        <v>17</v>
      </c>
      <c r="W42" s="718">
        <f t="shared" si="14"/>
        <v>100</v>
      </c>
      <c r="X42" s="719"/>
      <c r="Y42" s="343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5"/>
      <c r="Q43" s="1506" t="str">
        <f t="shared" si="11"/>
        <v>内部装修</v>
      </c>
      <c r="R43" s="714" t="s">
        <v>17</v>
      </c>
      <c r="S43" s="715">
        <f t="shared" si="12"/>
        <v>100</v>
      </c>
      <c r="T43" s="714" t="s">
        <v>17</v>
      </c>
      <c r="U43" s="715">
        <f t="shared" si="13"/>
        <v>100</v>
      </c>
      <c r="V43" s="714" t="s">
        <v>17</v>
      </c>
      <c r="W43" s="715">
        <f t="shared" si="14"/>
        <v>100</v>
      </c>
      <c r="X43" s="1509"/>
      <c r="Y43" s="343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5"/>
      <c r="Q44" s="1506" t="str">
        <f t="shared" si="11"/>
        <v>内部装修维护情况</v>
      </c>
      <c r="R44" s="714" t="s">
        <v>17</v>
      </c>
      <c r="S44" s="715">
        <f t="shared" si="12"/>
        <v>100</v>
      </c>
      <c r="T44" s="714" t="s">
        <v>17</v>
      </c>
      <c r="U44" s="715">
        <f t="shared" si="13"/>
        <v>100</v>
      </c>
      <c r="V44" s="714" t="s">
        <v>17</v>
      </c>
      <c r="W44" s="715">
        <f t="shared" si="14"/>
        <v>100</v>
      </c>
      <c r="X44" s="1509"/>
      <c r="Y44" s="343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5"/>
      <c r="Q45" s="1497">
        <f t="shared" si="11"/>
        <v>111</v>
      </c>
      <c r="R45" s="710" t="s">
        <v>17</v>
      </c>
      <c r="S45" s="711">
        <f t="shared" si="12"/>
        <v>100</v>
      </c>
      <c r="T45" s="710" t="s">
        <v>17</v>
      </c>
      <c r="U45" s="711">
        <f t="shared" si="13"/>
        <v>100</v>
      </c>
      <c r="V45" s="710" t="s">
        <v>17</v>
      </c>
      <c r="W45" s="711">
        <f t="shared" si="14"/>
        <v>100</v>
      </c>
      <c r="X45" s="712"/>
      <c r="Y45" s="343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5"/>
      <c r="Q46" s="1506">
        <f t="shared" si="11"/>
        <v>111</v>
      </c>
      <c r="R46" s="714" t="s">
        <v>17</v>
      </c>
      <c r="S46" s="715">
        <f t="shared" si="12"/>
        <v>100</v>
      </c>
      <c r="T46" s="714" t="s">
        <v>17</v>
      </c>
      <c r="U46" s="715">
        <f t="shared" si="13"/>
        <v>100</v>
      </c>
      <c r="V46" s="714" t="s">
        <v>17</v>
      </c>
      <c r="W46" s="715">
        <f t="shared" si="14"/>
        <v>100</v>
      </c>
      <c r="X46" s="1509"/>
      <c r="Y46" s="343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36"/>
      <c r="Q47" s="1506">
        <f t="shared" si="11"/>
        <v>111</v>
      </c>
      <c r="R47" s="714" t="s">
        <v>17</v>
      </c>
      <c r="S47" s="715">
        <f t="shared" si="12"/>
        <v>100</v>
      </c>
      <c r="T47" s="714" t="s">
        <v>17</v>
      </c>
      <c r="U47" s="715">
        <f t="shared" si="13"/>
        <v>100</v>
      </c>
      <c r="V47" s="714" t="s">
        <v>17</v>
      </c>
      <c r="W47" s="715">
        <f t="shared" si="14"/>
        <v>100</v>
      </c>
      <c r="X47" s="1509"/>
      <c r="Y47" s="343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1" t="str">
        <f>A48</f>
        <v>成交单价（元/平方米）</v>
      </c>
      <c r="Q48" s="3430"/>
      <c r="R48" s="3431">
        <f>E48</f>
        <v>0</v>
      </c>
      <c r="S48" s="3431"/>
      <c r="T48" s="3431">
        <f>G48</f>
        <v>0</v>
      </c>
      <c r="U48" s="3431"/>
      <c r="V48" s="3431">
        <f>I48</f>
        <v>0</v>
      </c>
      <c r="W48" s="3431"/>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1"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1044"/>
      <c r="M4" s="1045"/>
      <c r="N4" s="1045"/>
      <c r="O4" s="104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1044"/>
      <c r="M5" s="1045"/>
      <c r="N5" s="1045"/>
      <c r="O5" s="104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1044"/>
      <c r="M6" s="1045"/>
      <c r="N6" s="1045"/>
      <c r="O6" s="104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3"/>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3"/>
      <c r="Q18" s="1506"/>
      <c r="R18" s="714"/>
      <c r="S18" s="715"/>
      <c r="T18" s="714"/>
      <c r="U18" s="715"/>
      <c r="V18" s="714"/>
      <c r="W18" s="715"/>
      <c r="X18" s="1509"/>
      <c r="Y18" s="343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3"/>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3"/>
      <c r="Q20" s="1506"/>
      <c r="R20" s="714"/>
      <c r="S20" s="715"/>
      <c r="T20" s="714"/>
      <c r="U20" s="715"/>
      <c r="V20" s="714"/>
      <c r="W20" s="715"/>
      <c r="X20" s="1509"/>
      <c r="Y20" s="343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3"/>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3"/>
      <c r="Q22" s="1506"/>
      <c r="R22" s="714"/>
      <c r="S22" s="715"/>
      <c r="T22" s="714"/>
      <c r="U22" s="715"/>
      <c r="V22" s="714"/>
      <c r="W22" s="715"/>
      <c r="X22" s="1509"/>
      <c r="Y22" s="343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3"/>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3"/>
      <c r="Q24" s="1506"/>
      <c r="R24" s="714"/>
      <c r="S24" s="715"/>
      <c r="T24" s="714"/>
      <c r="U24" s="715"/>
      <c r="V24" s="714"/>
      <c r="W24" s="715"/>
      <c r="X24" s="1509"/>
      <c r="Y24" s="343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3"/>
      <c r="Q25" s="1506">
        <f>B25</f>
        <v>111</v>
      </c>
      <c r="R25" s="714" t="s">
        <v>17</v>
      </c>
      <c r="S25" s="715">
        <f>F25</f>
        <v>100</v>
      </c>
      <c r="T25" s="714" t="s">
        <v>17</v>
      </c>
      <c r="U25" s="715">
        <f>H25</f>
        <v>100</v>
      </c>
      <c r="V25" s="714" t="s">
        <v>17</v>
      </c>
      <c r="W25" s="715">
        <f>J25</f>
        <v>100</v>
      </c>
      <c r="X25" s="1509"/>
      <c r="Y25" s="343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3"/>
      <c r="Q26" s="1506">
        <f t="shared" ref="Q26:Q40" si="11">B26</f>
        <v>111</v>
      </c>
      <c r="R26" s="714" t="s">
        <v>17</v>
      </c>
      <c r="S26" s="715">
        <f>F26</f>
        <v>100</v>
      </c>
      <c r="T26" s="714" t="s">
        <v>17</v>
      </c>
      <c r="U26" s="715">
        <f>H26</f>
        <v>100</v>
      </c>
      <c r="V26" s="714" t="s">
        <v>17</v>
      </c>
      <c r="W26" s="715">
        <f>J26</f>
        <v>100</v>
      </c>
      <c r="X26" s="1509"/>
      <c r="Y26" s="343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3"/>
      <c r="Q27" s="1497">
        <f t="shared" si="11"/>
        <v>111</v>
      </c>
      <c r="R27" s="710" t="s">
        <v>17</v>
      </c>
      <c r="S27" s="711">
        <f>F27</f>
        <v>100</v>
      </c>
      <c r="T27" s="710" t="s">
        <v>17</v>
      </c>
      <c r="U27" s="711">
        <f>H27</f>
        <v>100</v>
      </c>
      <c r="V27" s="710" t="s">
        <v>17</v>
      </c>
      <c r="W27" s="711">
        <f>J27</f>
        <v>100</v>
      </c>
      <c r="X27" s="712"/>
      <c r="Y27" s="343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3"/>
      <c r="Q28" s="1506">
        <f t="shared" si="11"/>
        <v>111</v>
      </c>
      <c r="R28" s="714" t="s">
        <v>17</v>
      </c>
      <c r="S28" s="715">
        <f t="shared" ref="S28:S40" si="12">F28</f>
        <v>100</v>
      </c>
      <c r="T28" s="714" t="s">
        <v>17</v>
      </c>
      <c r="U28" s="715">
        <f t="shared" ref="U28:U40" si="13">H28</f>
        <v>100</v>
      </c>
      <c r="V28" s="714" t="s">
        <v>17</v>
      </c>
      <c r="W28" s="715">
        <f t="shared" ref="W28:W40" si="14">J28</f>
        <v>100</v>
      </c>
      <c r="X28" s="1509"/>
      <c r="Y28" s="343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8" t="s">
        <v>2326</v>
      </c>
      <c r="Q29" s="1506" t="str">
        <f t="shared" si="11"/>
        <v>建筑类型</v>
      </c>
      <c r="R29" s="714" t="s">
        <v>17</v>
      </c>
      <c r="S29" s="715">
        <f t="shared" si="12"/>
        <v>100</v>
      </c>
      <c r="T29" s="714" t="s">
        <v>17</v>
      </c>
      <c r="U29" s="715">
        <f t="shared" si="13"/>
        <v>100</v>
      </c>
      <c r="V29" s="714" t="s">
        <v>17</v>
      </c>
      <c r="W29" s="715">
        <f t="shared" si="14"/>
        <v>100</v>
      </c>
      <c r="X29" s="1509"/>
      <c r="Y29" s="343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7"/>
      <c r="Q30" s="716" t="str">
        <f t="shared" si="11"/>
        <v>项目建筑规模</v>
      </c>
      <c r="R30" s="717" t="s">
        <v>17</v>
      </c>
      <c r="S30" s="718" t="e">
        <f t="shared" si="12"/>
        <v>#N/A</v>
      </c>
      <c r="T30" s="717" t="s">
        <v>17</v>
      </c>
      <c r="U30" s="718" t="e">
        <f t="shared" si="13"/>
        <v>#N/A</v>
      </c>
      <c r="V30" s="717" t="s">
        <v>17</v>
      </c>
      <c r="W30" s="718" t="e">
        <f t="shared" si="14"/>
        <v>#N/A</v>
      </c>
      <c r="X30" s="719"/>
      <c r="Y30" s="343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7"/>
      <c r="Q31" s="1506" t="str">
        <f t="shared" si="11"/>
        <v>建筑结构</v>
      </c>
      <c r="R31" s="714" t="s">
        <v>17</v>
      </c>
      <c r="S31" s="715">
        <f t="shared" si="12"/>
        <v>100</v>
      </c>
      <c r="T31" s="714" t="s">
        <v>17</v>
      </c>
      <c r="U31" s="715">
        <f t="shared" si="13"/>
        <v>100</v>
      </c>
      <c r="V31" s="714" t="s">
        <v>17</v>
      </c>
      <c r="W31" s="715">
        <f t="shared" si="14"/>
        <v>100</v>
      </c>
      <c r="X31" s="1509"/>
      <c r="Y31" s="343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7"/>
      <c r="Q32" s="1506" t="str">
        <f t="shared" si="11"/>
        <v>公共部分装修</v>
      </c>
      <c r="R32" s="714" t="s">
        <v>17</v>
      </c>
      <c r="S32" s="715">
        <f t="shared" si="12"/>
        <v>100</v>
      </c>
      <c r="T32" s="714" t="s">
        <v>17</v>
      </c>
      <c r="U32" s="715">
        <f t="shared" si="13"/>
        <v>100</v>
      </c>
      <c r="V32" s="714" t="s">
        <v>17</v>
      </c>
      <c r="W32" s="715">
        <f t="shared" si="14"/>
        <v>100</v>
      </c>
      <c r="X32" s="1509"/>
      <c r="Y32" s="343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7"/>
      <c r="Q33" s="1506" t="str">
        <f t="shared" si="11"/>
        <v>成新度</v>
      </c>
      <c r="R33" s="714" t="s">
        <v>17</v>
      </c>
      <c r="S33" s="715" t="e">
        <f t="shared" si="12"/>
        <v>#N/A</v>
      </c>
      <c r="T33" s="714" t="s">
        <v>17</v>
      </c>
      <c r="U33" s="715" t="e">
        <f t="shared" si="13"/>
        <v>#N/A</v>
      </c>
      <c r="V33" s="714" t="s">
        <v>17</v>
      </c>
      <c r="W33" s="715" t="e">
        <f t="shared" si="14"/>
        <v>#N/A</v>
      </c>
      <c r="X33" s="1509"/>
      <c r="Y33" s="343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7"/>
      <c r="Q34" s="1497" t="str">
        <f t="shared" si="11"/>
        <v>物业管理</v>
      </c>
      <c r="R34" s="710" t="s">
        <v>17</v>
      </c>
      <c r="S34" s="711">
        <f t="shared" si="12"/>
        <v>100</v>
      </c>
      <c r="T34" s="710" t="s">
        <v>17</v>
      </c>
      <c r="U34" s="711">
        <f t="shared" si="13"/>
        <v>100</v>
      </c>
      <c r="V34" s="710" t="s">
        <v>17</v>
      </c>
      <c r="W34" s="711">
        <f t="shared" si="14"/>
        <v>100</v>
      </c>
      <c r="X34" s="712"/>
      <c r="Y34" s="343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7" t="s">
        <v>2326</v>
      </c>
      <c r="Q35" s="1506" t="str">
        <f t="shared" si="11"/>
        <v>市政基础设施</v>
      </c>
      <c r="R35" s="714" t="s">
        <v>17</v>
      </c>
      <c r="S35" s="715">
        <f t="shared" si="12"/>
        <v>100</v>
      </c>
      <c r="T35" s="714" t="s">
        <v>17</v>
      </c>
      <c r="U35" s="715">
        <f t="shared" si="13"/>
        <v>100</v>
      </c>
      <c r="V35" s="714" t="s">
        <v>17</v>
      </c>
      <c r="W35" s="715">
        <f t="shared" si="14"/>
        <v>100</v>
      </c>
      <c r="X35" s="1509"/>
      <c r="Y35" s="343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7"/>
      <c r="Q36" s="1506" t="str">
        <f t="shared" si="11"/>
        <v>内部装修</v>
      </c>
      <c r="R36" s="714" t="s">
        <v>17</v>
      </c>
      <c r="S36" s="715">
        <f t="shared" si="12"/>
        <v>100</v>
      </c>
      <c r="T36" s="714" t="s">
        <v>17</v>
      </c>
      <c r="U36" s="715">
        <f t="shared" si="13"/>
        <v>100</v>
      </c>
      <c r="V36" s="714" t="s">
        <v>17</v>
      </c>
      <c r="W36" s="715">
        <f t="shared" si="14"/>
        <v>100</v>
      </c>
      <c r="X36" s="1509"/>
      <c r="Y36" s="343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7"/>
      <c r="Q37" s="1506" t="str">
        <f t="shared" si="11"/>
        <v>内部装修状况</v>
      </c>
      <c r="R37" s="714" t="s">
        <v>17</v>
      </c>
      <c r="S37" s="715">
        <f t="shared" si="12"/>
        <v>100</v>
      </c>
      <c r="T37" s="714" t="s">
        <v>17</v>
      </c>
      <c r="U37" s="715">
        <f t="shared" si="13"/>
        <v>100</v>
      </c>
      <c r="V37" s="714" t="s">
        <v>17</v>
      </c>
      <c r="W37" s="715">
        <f t="shared" si="14"/>
        <v>100</v>
      </c>
      <c r="X37" s="1509"/>
      <c r="Y37" s="343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7"/>
      <c r="Q38" s="716">
        <f t="shared" si="11"/>
        <v>111</v>
      </c>
      <c r="R38" s="717" t="s">
        <v>17</v>
      </c>
      <c r="S38" s="718">
        <f t="shared" si="12"/>
        <v>100</v>
      </c>
      <c r="T38" s="717" t="s">
        <v>17</v>
      </c>
      <c r="U38" s="718">
        <f t="shared" si="13"/>
        <v>100</v>
      </c>
      <c r="V38" s="717" t="s">
        <v>17</v>
      </c>
      <c r="W38" s="718">
        <f t="shared" si="14"/>
        <v>100</v>
      </c>
      <c r="X38" s="719"/>
      <c r="Y38" s="343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7"/>
      <c r="Q39" s="1506">
        <f t="shared" si="11"/>
        <v>111</v>
      </c>
      <c r="R39" s="714" t="s">
        <v>17</v>
      </c>
      <c r="S39" s="715">
        <f t="shared" si="12"/>
        <v>100</v>
      </c>
      <c r="T39" s="714" t="s">
        <v>17</v>
      </c>
      <c r="U39" s="715">
        <f t="shared" si="13"/>
        <v>100</v>
      </c>
      <c r="V39" s="714" t="s">
        <v>17</v>
      </c>
      <c r="W39" s="715">
        <f t="shared" si="14"/>
        <v>100</v>
      </c>
      <c r="X39" s="1509"/>
      <c r="Y39" s="343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8"/>
      <c r="Q40" s="1506">
        <f t="shared" si="11"/>
        <v>111</v>
      </c>
      <c r="R40" s="714" t="s">
        <v>17</v>
      </c>
      <c r="S40" s="715">
        <f t="shared" si="12"/>
        <v>100</v>
      </c>
      <c r="T40" s="714" t="s">
        <v>17</v>
      </c>
      <c r="U40" s="715">
        <f t="shared" si="13"/>
        <v>100</v>
      </c>
      <c r="V40" s="714" t="s">
        <v>17</v>
      </c>
      <c r="W40" s="715">
        <f t="shared" si="14"/>
        <v>100</v>
      </c>
      <c r="X40" s="1509"/>
      <c r="Y40" s="343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0" t="str">
        <f>A41</f>
        <v>成交单价（元/平方米）</v>
      </c>
      <c r="Q41" s="3430"/>
      <c r="R41" s="3431">
        <f>E41</f>
        <v>0</v>
      </c>
      <c r="S41" s="3431"/>
      <c r="T41" s="3431">
        <f>G41</f>
        <v>0</v>
      </c>
      <c r="U41" s="3431"/>
      <c r="V41" s="3431">
        <f>I41</f>
        <v>0</v>
      </c>
      <c r="W41" s="3431"/>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北京通州国际种业科技有限公司：</v>
      </c>
    </row>
    <row r="4" spans="1:1" ht="36">
      <c r="A4" s="1635" t="str">
        <f>"受贵公司委托，我公司对"&amp;项目基本情况!S1&amp;"进行了预评估。"</f>
        <v>受贵公司委托，我公司对北京市通州区种业园东路1号院房地产抵押价值进行了预评估。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3"/>
      <c r="Q15" s="1506"/>
      <c r="R15" s="714"/>
      <c r="S15" s="715"/>
      <c r="T15" s="714"/>
      <c r="U15" s="715"/>
      <c r="V15" s="714"/>
      <c r="W15" s="715"/>
      <c r="X15" s="1509"/>
      <c r="Y15" s="343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3"/>
      <c r="Q17" s="1506"/>
      <c r="R17" s="714"/>
      <c r="S17" s="715"/>
      <c r="T17" s="714"/>
      <c r="U17" s="715"/>
      <c r="V17" s="714"/>
      <c r="W17" s="715"/>
      <c r="X17" s="1509"/>
      <c r="Y17" s="343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3"/>
      <c r="Q19" s="1506"/>
      <c r="R19" s="714"/>
      <c r="S19" s="715"/>
      <c r="T19" s="714"/>
      <c r="U19" s="715"/>
      <c r="V19" s="714"/>
      <c r="W19" s="715"/>
      <c r="X19" s="1509"/>
      <c r="Y19" s="343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3"/>
      <c r="Q21" s="1506"/>
      <c r="R21" s="714"/>
      <c r="S21" s="715"/>
      <c r="T21" s="714"/>
      <c r="U21" s="715"/>
      <c r="V21" s="714"/>
      <c r="W21" s="715"/>
      <c r="X21" s="1509"/>
      <c r="Y21" s="343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3"/>
      <c r="Q24" s="1506">
        <f t="shared" ref="Q24:Q36"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37"/>
      <c r="Q27" s="716" t="str">
        <f t="shared" si="11"/>
        <v>项目停车位配比</v>
      </c>
      <c r="R27" s="717" t="s">
        <v>17</v>
      </c>
      <c r="S27" s="718">
        <f t="shared" si="12"/>
        <v>100</v>
      </c>
      <c r="T27" s="717" t="s">
        <v>17</v>
      </c>
      <c r="U27" s="718">
        <f t="shared" si="13"/>
        <v>100</v>
      </c>
      <c r="V27" s="717" t="s">
        <v>17</v>
      </c>
      <c r="W27" s="718">
        <f t="shared" si="14"/>
        <v>100</v>
      </c>
      <c r="X27" s="719"/>
      <c r="Y27" s="343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37"/>
      <c r="Q28" s="1506" t="str">
        <f t="shared" si="11"/>
        <v>公共部分装修</v>
      </c>
      <c r="R28" s="714" t="s">
        <v>17</v>
      </c>
      <c r="S28" s="715">
        <f t="shared" si="12"/>
        <v>100</v>
      </c>
      <c r="T28" s="714" t="s">
        <v>17</v>
      </c>
      <c r="U28" s="715">
        <f t="shared" si="13"/>
        <v>100</v>
      </c>
      <c r="V28" s="714" t="s">
        <v>17</v>
      </c>
      <c r="W28" s="715">
        <f t="shared" si="14"/>
        <v>100</v>
      </c>
      <c r="X28" s="1509"/>
      <c r="Y28" s="343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37"/>
      <c r="Q29" s="1506" t="str">
        <f t="shared" si="11"/>
        <v>成新率</v>
      </c>
      <c r="R29" s="714" t="s">
        <v>17</v>
      </c>
      <c r="S29" s="715" t="e">
        <f t="shared" si="12"/>
        <v>#N/A</v>
      </c>
      <c r="T29" s="714" t="s">
        <v>17</v>
      </c>
      <c r="U29" s="715" t="e">
        <f t="shared" si="13"/>
        <v>#N/A</v>
      </c>
      <c r="V29" s="714" t="s">
        <v>17</v>
      </c>
      <c r="W29" s="715" t="e">
        <f t="shared" si="14"/>
        <v>#N/A</v>
      </c>
      <c r="X29" s="1509"/>
      <c r="Y29" s="343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37"/>
      <c r="Q30" s="1506" t="str">
        <f t="shared" si="11"/>
        <v>物业等级</v>
      </c>
      <c r="R30" s="714" t="s">
        <v>17</v>
      </c>
      <c r="S30" s="715">
        <f t="shared" si="12"/>
        <v>100</v>
      </c>
      <c r="T30" s="714" t="s">
        <v>17</v>
      </c>
      <c r="U30" s="715">
        <f t="shared" si="13"/>
        <v>100</v>
      </c>
      <c r="V30" s="714" t="s">
        <v>17</v>
      </c>
      <c r="W30" s="715">
        <f t="shared" si="14"/>
        <v>100</v>
      </c>
      <c r="X30" s="1509"/>
      <c r="Y30" s="343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37"/>
      <c r="Q31" s="1497" t="str">
        <f t="shared" si="11"/>
        <v>停车位面积</v>
      </c>
      <c r="R31" s="710" t="s">
        <v>17</v>
      </c>
      <c r="S31" s="711" t="e">
        <f t="shared" si="12"/>
        <v>#N/A</v>
      </c>
      <c r="T31" s="710" t="s">
        <v>17</v>
      </c>
      <c r="U31" s="711" t="e">
        <f t="shared" si="13"/>
        <v>#N/A</v>
      </c>
      <c r="V31" s="710" t="s">
        <v>17</v>
      </c>
      <c r="W31" s="711" t="e">
        <f t="shared" si="14"/>
        <v>#N/A</v>
      </c>
      <c r="X31" s="712"/>
      <c r="Y31" s="343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37" t="s">
        <v>2326</v>
      </c>
      <c r="Q32" s="1506" t="str">
        <f t="shared" si="11"/>
        <v>车位类型</v>
      </c>
      <c r="R32" s="714" t="s">
        <v>17</v>
      </c>
      <c r="S32" s="715">
        <f t="shared" si="12"/>
        <v>100</v>
      </c>
      <c r="T32" s="714" t="s">
        <v>17</v>
      </c>
      <c r="U32" s="715">
        <f t="shared" si="13"/>
        <v>100</v>
      </c>
      <c r="V32" s="714" t="s">
        <v>17</v>
      </c>
      <c r="W32" s="715">
        <f t="shared" si="14"/>
        <v>100</v>
      </c>
      <c r="X32" s="1509"/>
      <c r="Y32" s="343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37"/>
      <c r="Q33" s="1506" t="str">
        <f t="shared" si="11"/>
        <v>是否直接入户</v>
      </c>
      <c r="R33" s="714" t="s">
        <v>17</v>
      </c>
      <c r="S33" s="715">
        <f t="shared" si="12"/>
        <v>100</v>
      </c>
      <c r="T33" s="714" t="s">
        <v>17</v>
      </c>
      <c r="U33" s="715">
        <f t="shared" si="13"/>
        <v>100</v>
      </c>
      <c r="V33" s="714" t="s">
        <v>17</v>
      </c>
      <c r="W33" s="715">
        <f t="shared" si="14"/>
        <v>100</v>
      </c>
      <c r="X33" s="1509"/>
      <c r="Y33" s="343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37"/>
      <c r="Q35" s="716">
        <f t="shared" si="11"/>
        <v>111</v>
      </c>
      <c r="R35" s="717" t="s">
        <v>17</v>
      </c>
      <c r="S35" s="718">
        <f t="shared" si="12"/>
        <v>100</v>
      </c>
      <c r="T35" s="717" t="s">
        <v>17</v>
      </c>
      <c r="U35" s="718">
        <f t="shared" si="13"/>
        <v>100</v>
      </c>
      <c r="V35" s="717" t="s">
        <v>17</v>
      </c>
      <c r="W35" s="718">
        <f t="shared" si="14"/>
        <v>100</v>
      </c>
      <c r="X35" s="719"/>
      <c r="Y35" s="343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37"/>
      <c r="Q36" s="1506">
        <f t="shared" si="11"/>
        <v>111</v>
      </c>
      <c r="R36" s="714" t="s">
        <v>17</v>
      </c>
      <c r="S36" s="715">
        <f t="shared" si="12"/>
        <v>100</v>
      </c>
      <c r="T36" s="714" t="s">
        <v>17</v>
      </c>
      <c r="U36" s="715">
        <f t="shared" si="13"/>
        <v>100</v>
      </c>
      <c r="V36" s="714" t="s">
        <v>17</v>
      </c>
      <c r="W36" s="715">
        <f t="shared" si="14"/>
        <v>100</v>
      </c>
      <c r="X36" s="1509"/>
      <c r="Y36" s="343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30" t="str">
        <f>A37</f>
        <v>成交单价</v>
      </c>
      <c r="Q37" s="3430"/>
      <c r="R37" s="3431">
        <f>E37</f>
        <v>0</v>
      </c>
      <c r="S37" s="3431"/>
      <c r="T37" s="3431">
        <f>G37</f>
        <v>0</v>
      </c>
      <c r="U37" s="3431"/>
      <c r="V37" s="3431">
        <f>I37</f>
        <v>0</v>
      </c>
      <c r="W37" s="3431"/>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27" t="str">
        <f>A39</f>
        <v>估价对象XX用房的比较价值（楼面单价，元/平方米）</v>
      </c>
      <c r="Q39" s="3428"/>
      <c r="R39" s="3489" t="e">
        <f>IF(F1="售价",ROUND(IF(D38="简单平均",AVERAGE(R38:W38),R38*F38+T38*H38+V38*J38),0),ROUND(IF(D38="简单平均",AVERAGE(R38:V38),R38*F38+T38*H38+V38*J38),1))</f>
        <v>#DIV/0!</v>
      </c>
      <c r="S39" s="3489"/>
      <c r="T39" s="3489"/>
      <c r="U39" s="3489"/>
      <c r="V39" s="3489"/>
      <c r="W39" s="3489"/>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3"/>
      <c r="Q15" s="1506"/>
      <c r="R15" s="714"/>
      <c r="S15" s="715"/>
      <c r="T15" s="714"/>
      <c r="U15" s="715"/>
      <c r="V15" s="714"/>
      <c r="W15" s="715"/>
      <c r="X15" s="1509"/>
      <c r="Y15" s="343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3"/>
      <c r="Q17" s="1506"/>
      <c r="R17" s="714"/>
      <c r="S17" s="715"/>
      <c r="T17" s="714"/>
      <c r="U17" s="715"/>
      <c r="V17" s="714"/>
      <c r="W17" s="715"/>
      <c r="X17" s="1509"/>
      <c r="Y17" s="343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3"/>
      <c r="Q19" s="1506"/>
      <c r="R19" s="714"/>
      <c r="S19" s="715"/>
      <c r="T19" s="714"/>
      <c r="U19" s="715"/>
      <c r="V19" s="714"/>
      <c r="W19" s="715"/>
      <c r="X19" s="1509"/>
      <c r="Y19" s="343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3"/>
      <c r="Q21" s="1506"/>
      <c r="R21" s="714"/>
      <c r="S21" s="715"/>
      <c r="T21" s="714"/>
      <c r="U21" s="715"/>
      <c r="V21" s="714"/>
      <c r="W21" s="715"/>
      <c r="X21" s="1509"/>
      <c r="Y21" s="343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3"/>
      <c r="Q24" s="1506">
        <f t="shared" ref="Q24:Q34"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37"/>
      <c r="Q27" s="716" t="str">
        <f t="shared" si="11"/>
        <v>成新率</v>
      </c>
      <c r="R27" s="717" t="s">
        <v>17</v>
      </c>
      <c r="S27" s="718" t="e">
        <f t="shared" si="12"/>
        <v>#N/A</v>
      </c>
      <c r="T27" s="717" t="s">
        <v>17</v>
      </c>
      <c r="U27" s="718" t="e">
        <f t="shared" si="13"/>
        <v>#N/A</v>
      </c>
      <c r="V27" s="717" t="s">
        <v>17</v>
      </c>
      <c r="W27" s="718" t="e">
        <f t="shared" si="14"/>
        <v>#N/A</v>
      </c>
      <c r="X27" s="719"/>
      <c r="Y27" s="343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37"/>
      <c r="Q28" s="1506" t="str">
        <f t="shared" si="11"/>
        <v>物业等级</v>
      </c>
      <c r="R28" s="714" t="s">
        <v>17</v>
      </c>
      <c r="S28" s="715">
        <f t="shared" si="12"/>
        <v>100</v>
      </c>
      <c r="T28" s="714" t="s">
        <v>17</v>
      </c>
      <c r="U28" s="715">
        <f t="shared" si="13"/>
        <v>100</v>
      </c>
      <c r="V28" s="714" t="s">
        <v>17</v>
      </c>
      <c r="W28" s="715">
        <f t="shared" si="14"/>
        <v>100</v>
      </c>
      <c r="X28" s="1509"/>
      <c r="Y28" s="343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37"/>
      <c r="Q29" s="1506" t="str">
        <f t="shared" si="11"/>
        <v>有无电梯</v>
      </c>
      <c r="R29" s="714" t="s">
        <v>17</v>
      </c>
      <c r="S29" s="715">
        <f t="shared" si="12"/>
        <v>100</v>
      </c>
      <c r="T29" s="714" t="s">
        <v>17</v>
      </c>
      <c r="U29" s="715">
        <f t="shared" si="13"/>
        <v>100</v>
      </c>
      <c r="V29" s="714" t="s">
        <v>17</v>
      </c>
      <c r="W29" s="715">
        <f t="shared" si="14"/>
        <v>100</v>
      </c>
      <c r="X29" s="1509"/>
      <c r="Y29" s="343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37"/>
      <c r="Q30" s="1506" t="str">
        <f t="shared" si="11"/>
        <v>建筑面积</v>
      </c>
      <c r="R30" s="714" t="s">
        <v>17</v>
      </c>
      <c r="S30" s="715" t="e">
        <f t="shared" si="12"/>
        <v>#N/A</v>
      </c>
      <c r="T30" s="714" t="s">
        <v>17</v>
      </c>
      <c r="U30" s="715" t="e">
        <f t="shared" si="13"/>
        <v>#N/A</v>
      </c>
      <c r="V30" s="714" t="s">
        <v>17</v>
      </c>
      <c r="W30" s="715" t="e">
        <f t="shared" si="14"/>
        <v>#N/A</v>
      </c>
      <c r="X30" s="1509"/>
      <c r="Y30" s="343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37"/>
      <c r="Q31" s="1497" t="str">
        <f t="shared" si="11"/>
        <v>是否封闭</v>
      </c>
      <c r="R31" s="710" t="s">
        <v>17</v>
      </c>
      <c r="S31" s="711">
        <f t="shared" si="12"/>
        <v>100</v>
      </c>
      <c r="T31" s="710" t="s">
        <v>17</v>
      </c>
      <c r="U31" s="711">
        <f t="shared" si="13"/>
        <v>100</v>
      </c>
      <c r="V31" s="710" t="s">
        <v>17</v>
      </c>
      <c r="W31" s="711">
        <f t="shared" si="14"/>
        <v>100</v>
      </c>
      <c r="X31" s="712"/>
      <c r="Y31" s="343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37" t="s">
        <v>2326</v>
      </c>
      <c r="Q32" s="1506">
        <f t="shared" si="11"/>
        <v>111</v>
      </c>
      <c r="R32" s="714" t="s">
        <v>17</v>
      </c>
      <c r="S32" s="715">
        <f t="shared" si="12"/>
        <v>100</v>
      </c>
      <c r="T32" s="714" t="s">
        <v>17</v>
      </c>
      <c r="U32" s="715">
        <f t="shared" si="13"/>
        <v>100</v>
      </c>
      <c r="V32" s="714" t="s">
        <v>17</v>
      </c>
      <c r="W32" s="715">
        <f t="shared" si="14"/>
        <v>100</v>
      </c>
      <c r="X32" s="1509"/>
      <c r="Y32" s="343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37"/>
      <c r="Q33" s="1506">
        <f t="shared" si="11"/>
        <v>111</v>
      </c>
      <c r="R33" s="714" t="s">
        <v>17</v>
      </c>
      <c r="S33" s="715">
        <f t="shared" si="12"/>
        <v>100</v>
      </c>
      <c r="T33" s="714" t="s">
        <v>17</v>
      </c>
      <c r="U33" s="715">
        <f t="shared" si="13"/>
        <v>100</v>
      </c>
      <c r="V33" s="714" t="s">
        <v>17</v>
      </c>
      <c r="W33" s="715">
        <f t="shared" si="14"/>
        <v>100</v>
      </c>
      <c r="X33" s="1509"/>
      <c r="Y33" s="343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30" t="str">
        <f>A35</f>
        <v>成交单价（元/平方米）</v>
      </c>
      <c r="Q35" s="3430"/>
      <c r="R35" s="3431">
        <f>E35</f>
        <v>0</v>
      </c>
      <c r="S35" s="3431"/>
      <c r="T35" s="3431">
        <f>G35</f>
        <v>0</v>
      </c>
      <c r="U35" s="3431"/>
      <c r="V35" s="3431">
        <f>I35</f>
        <v>0</v>
      </c>
      <c r="W35" s="3431"/>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27" t="str">
        <f>A37</f>
        <v>估价对象XX用房的比较价值（楼面单价，元/平方米）</v>
      </c>
      <c r="Q37" s="3428"/>
      <c r="R37" s="3489" t="e">
        <f>IF(F1="售价",ROUND(IF(D36="简单平均",AVERAGE(R36:W36),R36*F36+T36*H36+V36*J36),0),ROUND(IF(D36="简单平均",AVERAGE(R36:V36),R36*F36+T36*H36+V36*J36),1))</f>
        <v>#DIV/0!</v>
      </c>
      <c r="S37" s="3489"/>
      <c r="T37" s="3489"/>
      <c r="U37" s="3489"/>
      <c r="V37" s="3489"/>
      <c r="W37" s="3489"/>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30"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30"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30" s="113" customFormat="1" ht="15.7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30"/>
      <c r="Q10" s="1497" t="str">
        <f t="shared" si="6"/>
        <v>土地使用年限（年）</v>
      </c>
      <c r="R10" s="710" t="s">
        <v>17</v>
      </c>
      <c r="S10" s="711">
        <f t="shared" si="0"/>
        <v>102</v>
      </c>
      <c r="T10" s="710" t="s">
        <v>17</v>
      </c>
      <c r="U10" s="711">
        <f t="shared" si="1"/>
        <v>102</v>
      </c>
      <c r="V10" s="710" t="s">
        <v>17</v>
      </c>
      <c r="W10" s="711">
        <f t="shared" si="2"/>
        <v>102</v>
      </c>
      <c r="X10" s="712"/>
      <c r="Y10" s="3302"/>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30"/>
      <c r="Q12" s="1497" t="str">
        <f t="shared" si="6"/>
        <v>配建</v>
      </c>
      <c r="R12" s="710" t="s">
        <v>17</v>
      </c>
      <c r="S12" s="711">
        <f t="shared" si="0"/>
        <v>100</v>
      </c>
      <c r="T12" s="710" t="s">
        <v>17</v>
      </c>
      <c r="U12" s="711">
        <f t="shared" si="1"/>
        <v>100</v>
      </c>
      <c r="V12" s="710" t="s">
        <v>17</v>
      </c>
      <c r="W12" s="711">
        <f t="shared" si="2"/>
        <v>100</v>
      </c>
      <c r="X12" s="712"/>
      <c r="Y12" s="330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2" t="s">
        <v>2321</v>
      </c>
      <c r="Q15" s="1506" t="str">
        <f t="shared" si="6"/>
        <v>居住社区成熟度</v>
      </c>
      <c r="R15" s="714" t="s">
        <v>17</v>
      </c>
      <c r="S15" s="715">
        <f t="shared" si="0"/>
        <v>100</v>
      </c>
      <c r="T15" s="714" t="s">
        <v>17</v>
      </c>
      <c r="U15" s="715">
        <f t="shared" si="1"/>
        <v>100</v>
      </c>
      <c r="V15" s="714" t="s">
        <v>17</v>
      </c>
      <c r="W15" s="715">
        <f t="shared" si="2"/>
        <v>100</v>
      </c>
      <c r="X15" s="1509"/>
      <c r="Y15" s="343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3"/>
      <c r="Q16" s="1506"/>
      <c r="R16" s="714"/>
      <c r="S16" s="715"/>
      <c r="T16" s="714"/>
      <c r="U16" s="715"/>
      <c r="V16" s="714"/>
      <c r="W16" s="715"/>
      <c r="X16" s="1509"/>
      <c r="Y16" s="343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3"/>
      <c r="Q17" s="1506" t="str">
        <f>B17</f>
        <v>商业繁华度</v>
      </c>
      <c r="R17" s="714" t="s">
        <v>17</v>
      </c>
      <c r="S17" s="715">
        <f>F17</f>
        <v>100</v>
      </c>
      <c r="T17" s="714" t="s">
        <v>17</v>
      </c>
      <c r="U17" s="715">
        <f>H17</f>
        <v>100</v>
      </c>
      <c r="V17" s="714" t="s">
        <v>17</v>
      </c>
      <c r="W17" s="715">
        <f>J17</f>
        <v>100</v>
      </c>
      <c r="X17" s="1509"/>
      <c r="Y17" s="343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3"/>
      <c r="Q18" s="1506"/>
      <c r="R18" s="714"/>
      <c r="S18" s="715"/>
      <c r="T18" s="714"/>
      <c r="U18" s="715"/>
      <c r="V18" s="714"/>
      <c r="W18" s="715"/>
      <c r="X18" s="1509"/>
      <c r="Y18" s="343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3"/>
      <c r="Q19" s="1506" t="str">
        <f>B19</f>
        <v>办公集聚程度</v>
      </c>
      <c r="R19" s="714" t="s">
        <v>17</v>
      </c>
      <c r="S19" s="715">
        <f>F19</f>
        <v>100</v>
      </c>
      <c r="T19" s="714" t="s">
        <v>17</v>
      </c>
      <c r="U19" s="715">
        <f>H19</f>
        <v>100</v>
      </c>
      <c r="V19" s="714" t="s">
        <v>17</v>
      </c>
      <c r="W19" s="715">
        <f>J19</f>
        <v>100</v>
      </c>
      <c r="X19" s="1509"/>
      <c r="Y19" s="343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3"/>
      <c r="Q20" s="1506"/>
      <c r="R20" s="714"/>
      <c r="S20" s="715"/>
      <c r="T20" s="714"/>
      <c r="U20" s="715"/>
      <c r="V20" s="714"/>
      <c r="W20" s="715"/>
      <c r="X20" s="1509"/>
      <c r="Y20" s="343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3"/>
      <c r="Q21" s="1506" t="str">
        <f>B21</f>
        <v>交通便捷度</v>
      </c>
      <c r="R21" s="714" t="s">
        <v>17</v>
      </c>
      <c r="S21" s="715">
        <f>F21</f>
        <v>100</v>
      </c>
      <c r="T21" s="714" t="s">
        <v>17</v>
      </c>
      <c r="U21" s="715">
        <f>H21</f>
        <v>100</v>
      </c>
      <c r="V21" s="714" t="s">
        <v>17</v>
      </c>
      <c r="W21" s="715">
        <f>J21</f>
        <v>100</v>
      </c>
      <c r="X21" s="1509"/>
      <c r="Y21" s="343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3"/>
      <c r="Q22" s="1506"/>
      <c r="R22" s="714"/>
      <c r="S22" s="715"/>
      <c r="T22" s="714"/>
      <c r="U22" s="715"/>
      <c r="V22" s="714"/>
      <c r="W22" s="715"/>
      <c r="X22" s="1509"/>
      <c r="Y22" s="343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3"/>
      <c r="Q23" s="1506" t="str">
        <f t="shared" ref="Q23:Q37" si="8">B23</f>
        <v>区域土地利用方向</v>
      </c>
      <c r="R23" s="714" t="s">
        <v>17</v>
      </c>
      <c r="S23" s="715">
        <f>F23</f>
        <v>100</v>
      </c>
      <c r="T23" s="714" t="s">
        <v>17</v>
      </c>
      <c r="U23" s="715">
        <f>H23</f>
        <v>100</v>
      </c>
      <c r="V23" s="714" t="s">
        <v>17</v>
      </c>
      <c r="W23" s="715">
        <f>J23</f>
        <v>100</v>
      </c>
      <c r="X23" s="1509"/>
      <c r="Y23" s="343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3"/>
      <c r="Q24" s="1506"/>
      <c r="R24" s="714"/>
      <c r="S24" s="715"/>
      <c r="T24" s="714"/>
      <c r="U24" s="715"/>
      <c r="V24" s="714"/>
      <c r="W24" s="715"/>
      <c r="X24" s="1509"/>
      <c r="Y24" s="343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3"/>
      <c r="Q25" s="1506" t="str">
        <f t="shared" si="8"/>
        <v>自然及人文环境状况</v>
      </c>
      <c r="R25" s="714" t="s">
        <v>17</v>
      </c>
      <c r="S25" s="715">
        <f>F25</f>
        <v>100</v>
      </c>
      <c r="T25" s="714" t="s">
        <v>17</v>
      </c>
      <c r="U25" s="715">
        <f>H25</f>
        <v>100</v>
      </c>
      <c r="V25" s="714" t="s">
        <v>17</v>
      </c>
      <c r="W25" s="715">
        <f>J25</f>
        <v>100</v>
      </c>
      <c r="X25" s="1509"/>
      <c r="Y25" s="343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3"/>
      <c r="Q26" s="1506"/>
      <c r="R26" s="714"/>
      <c r="S26" s="715"/>
      <c r="T26" s="714"/>
      <c r="U26" s="715"/>
      <c r="V26" s="714"/>
      <c r="W26" s="715"/>
      <c r="X26" s="1509"/>
      <c r="Y26" s="343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3"/>
      <c r="Q27" s="1497" t="str">
        <f t="shared" si="8"/>
        <v>公共配套设施</v>
      </c>
      <c r="R27" s="710" t="s">
        <v>17</v>
      </c>
      <c r="S27" s="711">
        <f>F27</f>
        <v>100</v>
      </c>
      <c r="T27" s="710" t="s">
        <v>17</v>
      </c>
      <c r="U27" s="711">
        <f>H27</f>
        <v>100</v>
      </c>
      <c r="V27" s="710" t="s">
        <v>17</v>
      </c>
      <c r="W27" s="711">
        <f>J27</f>
        <v>100</v>
      </c>
      <c r="X27" s="712"/>
      <c r="Y27" s="343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3"/>
      <c r="Q28" s="1497"/>
      <c r="R28" s="710"/>
      <c r="S28" s="711"/>
      <c r="T28" s="710"/>
      <c r="U28" s="711"/>
      <c r="V28" s="710"/>
      <c r="W28" s="711"/>
      <c r="X28" s="712"/>
      <c r="Y28" s="343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3"/>
      <c r="Q29" s="1497" t="str">
        <f t="shared" ref="Q29" si="9">B29</f>
        <v>基础设施水平</v>
      </c>
      <c r="R29" s="710" t="s">
        <v>17</v>
      </c>
      <c r="S29" s="711">
        <f>F29</f>
        <v>100</v>
      </c>
      <c r="T29" s="710" t="s">
        <v>17</v>
      </c>
      <c r="U29" s="711">
        <f>H29</f>
        <v>100</v>
      </c>
      <c r="V29" s="710" t="s">
        <v>17</v>
      </c>
      <c r="W29" s="711">
        <f>J29</f>
        <v>100</v>
      </c>
      <c r="X29" s="712"/>
      <c r="Y29" s="343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3"/>
      <c r="Q30" s="1497"/>
      <c r="R30" s="710"/>
      <c r="S30" s="711"/>
      <c r="T30" s="710"/>
      <c r="U30" s="711"/>
      <c r="V30" s="710"/>
      <c r="W30" s="711"/>
      <c r="X30" s="712"/>
      <c r="Y30" s="343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3"/>
      <c r="Q32" s="1506" t="str">
        <f t="shared" si="8"/>
        <v>毗邻道路的类型与等级</v>
      </c>
      <c r="R32" s="714" t="s">
        <v>17</v>
      </c>
      <c r="S32" s="715">
        <f t="shared" si="10"/>
        <v>100</v>
      </c>
      <c r="T32" s="714" t="s">
        <v>17</v>
      </c>
      <c r="U32" s="715">
        <f t="shared" si="11"/>
        <v>100</v>
      </c>
      <c r="V32" s="714" t="s">
        <v>17</v>
      </c>
      <c r="W32" s="715">
        <f t="shared" si="12"/>
        <v>100</v>
      </c>
      <c r="X32" s="1509"/>
      <c r="Y32" s="343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3"/>
      <c r="Q33" s="1506"/>
      <c r="R33" s="714"/>
      <c r="S33" s="715"/>
      <c r="T33" s="714"/>
      <c r="U33" s="715"/>
      <c r="V33" s="714"/>
      <c r="W33" s="715"/>
      <c r="X33" s="1509"/>
      <c r="Y33" s="343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3"/>
      <c r="Q34" s="1506" t="str">
        <f t="shared" si="8"/>
        <v>土地级别</v>
      </c>
      <c r="R34" s="714" t="s">
        <v>17</v>
      </c>
      <c r="S34" s="715">
        <f t="shared" si="10"/>
        <v>100</v>
      </c>
      <c r="T34" s="714" t="s">
        <v>17</v>
      </c>
      <c r="U34" s="715">
        <f t="shared" si="11"/>
        <v>100</v>
      </c>
      <c r="V34" s="714" t="s">
        <v>17</v>
      </c>
      <c r="W34" s="715">
        <f t="shared" si="12"/>
        <v>100</v>
      </c>
      <c r="X34" s="1509"/>
      <c r="Y34" s="343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3"/>
      <c r="Q35" s="1506">
        <f t="shared" si="8"/>
        <v>111</v>
      </c>
      <c r="R35" s="714" t="s">
        <v>17</v>
      </c>
      <c r="S35" s="715">
        <f t="shared" si="10"/>
        <v>100</v>
      </c>
      <c r="T35" s="714" t="s">
        <v>17</v>
      </c>
      <c r="U35" s="715">
        <f t="shared" si="11"/>
        <v>100</v>
      </c>
      <c r="V35" s="714" t="s">
        <v>17</v>
      </c>
      <c r="W35" s="715">
        <f t="shared" si="12"/>
        <v>100</v>
      </c>
      <c r="X35" s="1509"/>
      <c r="Y35" s="343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8" t="s">
        <v>2326</v>
      </c>
      <c r="Q36" s="1506">
        <f t="shared" si="8"/>
        <v>111</v>
      </c>
      <c r="R36" s="714" t="s">
        <v>17</v>
      </c>
      <c r="S36" s="715">
        <f t="shared" si="10"/>
        <v>100</v>
      </c>
      <c r="T36" s="714" t="s">
        <v>17</v>
      </c>
      <c r="U36" s="715">
        <f t="shared" si="11"/>
        <v>100</v>
      </c>
      <c r="V36" s="714" t="s">
        <v>17</v>
      </c>
      <c r="W36" s="715">
        <f t="shared" si="12"/>
        <v>100</v>
      </c>
      <c r="X36" s="1509"/>
      <c r="Y36" s="343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37"/>
      <c r="Q37" s="1506">
        <f t="shared" si="8"/>
        <v>111</v>
      </c>
      <c r="R37" s="717" t="s">
        <v>17</v>
      </c>
      <c r="S37" s="718">
        <f t="shared" si="10"/>
        <v>100</v>
      </c>
      <c r="T37" s="717" t="s">
        <v>17</v>
      </c>
      <c r="U37" s="718">
        <f t="shared" si="11"/>
        <v>100</v>
      </c>
      <c r="V37" s="717" t="s">
        <v>17</v>
      </c>
      <c r="W37" s="718">
        <f t="shared" si="12"/>
        <v>100</v>
      </c>
      <c r="X37" s="719"/>
      <c r="Y37" s="343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37"/>
      <c r="Q38" s="1506" t="str">
        <f>B38</f>
        <v>宗地面积</v>
      </c>
      <c r="R38" s="714" t="s">
        <v>17</v>
      </c>
      <c r="S38" s="715" t="e">
        <f t="shared" si="10"/>
        <v>#N/A</v>
      </c>
      <c r="T38" s="714" t="s">
        <v>17</v>
      </c>
      <c r="U38" s="715" t="e">
        <f t="shared" si="11"/>
        <v>#N/A</v>
      </c>
      <c r="V38" s="714" t="s">
        <v>17</v>
      </c>
      <c r="W38" s="715" t="e">
        <f t="shared" si="12"/>
        <v>#N/A</v>
      </c>
      <c r="X38" s="1509"/>
      <c r="Y38" s="343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37"/>
      <c r="Q39" s="1506" t="str">
        <f t="shared" ref="Q39:Q45" si="14">B39</f>
        <v>宗地形状</v>
      </c>
      <c r="R39" s="714" t="s">
        <v>17</v>
      </c>
      <c r="S39" s="715">
        <f t="shared" si="10"/>
        <v>100</v>
      </c>
      <c r="T39" s="714" t="s">
        <v>17</v>
      </c>
      <c r="U39" s="715">
        <f t="shared" si="11"/>
        <v>100</v>
      </c>
      <c r="V39" s="714" t="s">
        <v>17</v>
      </c>
      <c r="W39" s="715">
        <f t="shared" si="12"/>
        <v>100</v>
      </c>
      <c r="X39" s="1509"/>
      <c r="Y39" s="343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37"/>
      <c r="Q40" s="1506" t="str">
        <f t="shared" si="14"/>
        <v>临街宽度及深度</v>
      </c>
      <c r="R40" s="714" t="s">
        <v>17</v>
      </c>
      <c r="S40" s="715">
        <f t="shared" si="10"/>
        <v>100</v>
      </c>
      <c r="T40" s="714" t="s">
        <v>17</v>
      </c>
      <c r="U40" s="715">
        <f t="shared" si="11"/>
        <v>100</v>
      </c>
      <c r="V40" s="714" t="s">
        <v>17</v>
      </c>
      <c r="W40" s="715">
        <f t="shared" si="12"/>
        <v>100</v>
      </c>
      <c r="X40" s="1509"/>
      <c r="Y40" s="343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37"/>
      <c r="Q41" s="1506" t="str">
        <f t="shared" si="14"/>
        <v>宗地开发程度</v>
      </c>
      <c r="R41" s="710" t="s">
        <v>17</v>
      </c>
      <c r="S41" s="711">
        <f t="shared" si="10"/>
        <v>100</v>
      </c>
      <c r="T41" s="710" t="s">
        <v>17</v>
      </c>
      <c r="U41" s="711">
        <f t="shared" si="11"/>
        <v>100</v>
      </c>
      <c r="V41" s="710" t="s">
        <v>17</v>
      </c>
      <c r="W41" s="711">
        <f t="shared" si="12"/>
        <v>100</v>
      </c>
      <c r="X41" s="712"/>
      <c r="Y41" s="343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37" t="s">
        <v>2326</v>
      </c>
      <c r="Q42" s="1506" t="str">
        <f t="shared" si="14"/>
        <v>工程地质条件</v>
      </c>
      <c r="R42" s="714" t="s">
        <v>17</v>
      </c>
      <c r="S42" s="715">
        <f t="shared" si="10"/>
        <v>100</v>
      </c>
      <c r="T42" s="714" t="s">
        <v>17</v>
      </c>
      <c r="U42" s="715">
        <f t="shared" si="11"/>
        <v>100</v>
      </c>
      <c r="V42" s="714" t="s">
        <v>17</v>
      </c>
      <c r="W42" s="715">
        <f t="shared" si="12"/>
        <v>100</v>
      </c>
      <c r="X42" s="1509"/>
      <c r="Y42" s="343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37"/>
      <c r="Q43" s="1506">
        <f t="shared" si="14"/>
        <v>111</v>
      </c>
      <c r="R43" s="714" t="s">
        <v>17</v>
      </c>
      <c r="S43" s="715">
        <f t="shared" si="10"/>
        <v>100</v>
      </c>
      <c r="T43" s="714" t="s">
        <v>17</v>
      </c>
      <c r="U43" s="715">
        <f t="shared" si="11"/>
        <v>100</v>
      </c>
      <c r="V43" s="714" t="s">
        <v>17</v>
      </c>
      <c r="W43" s="715">
        <f t="shared" si="12"/>
        <v>100</v>
      </c>
      <c r="X43" s="1509"/>
      <c r="Y43" s="343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37"/>
      <c r="Q44" s="1506">
        <f t="shared" si="14"/>
        <v>111</v>
      </c>
      <c r="R44" s="714" t="s">
        <v>17</v>
      </c>
      <c r="S44" s="715">
        <f t="shared" si="10"/>
        <v>100</v>
      </c>
      <c r="T44" s="714" t="s">
        <v>17</v>
      </c>
      <c r="U44" s="715">
        <f t="shared" si="11"/>
        <v>100</v>
      </c>
      <c r="V44" s="714" t="s">
        <v>17</v>
      </c>
      <c r="W44" s="715">
        <f t="shared" si="12"/>
        <v>100</v>
      </c>
      <c r="X44" s="1509"/>
      <c r="Y44" s="343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37"/>
      <c r="Q45" s="1506">
        <f t="shared" si="14"/>
        <v>111</v>
      </c>
      <c r="R45" s="717" t="s">
        <v>17</v>
      </c>
      <c r="S45" s="718">
        <f t="shared" si="10"/>
        <v>100</v>
      </c>
      <c r="T45" s="717" t="s">
        <v>17</v>
      </c>
      <c r="U45" s="718">
        <f t="shared" si="11"/>
        <v>100</v>
      </c>
      <c r="V45" s="717" t="s">
        <v>17</v>
      </c>
      <c r="W45" s="718">
        <f t="shared" si="12"/>
        <v>100</v>
      </c>
      <c r="X45" s="719"/>
      <c r="Y45" s="343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30" t="str">
        <f>A46</f>
        <v>成交单价</v>
      </c>
      <c r="Q46" s="3430"/>
      <c r="R46" s="3461">
        <f>E46</f>
        <v>0</v>
      </c>
      <c r="S46" s="3461"/>
      <c r="T46" s="3461">
        <f>G46</f>
        <v>0</v>
      </c>
      <c r="U46" s="3461"/>
      <c r="V46" s="3461">
        <f>I46</f>
        <v>0</v>
      </c>
      <c r="W46" s="3461"/>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30" t="str">
        <f>A47</f>
        <v>比较价值（元/平方米）</v>
      </c>
      <c r="Q47" s="3430"/>
      <c r="R47" s="3490" t="e">
        <f>ROUND(PRODUCT(R46,AA7:AA45),0)</f>
        <v>#DIV/0!</v>
      </c>
      <c r="S47" s="3490"/>
      <c r="T47" s="3490" t="e">
        <f>ROUND(PRODUCT(T46,AB7:AB45),0)</f>
        <v>#DIV/0!</v>
      </c>
      <c r="U47" s="3490"/>
      <c r="V47" s="3490" t="e">
        <f>ROUND(PRODUCT(V46,AC7:AC45),0)</f>
        <v>#DIV/0!</v>
      </c>
      <c r="W47" s="349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27" t="str">
        <f>A48</f>
        <v>估价对象XX用房的比较价值（楼面单价，元/平方米）</v>
      </c>
      <c r="Q48" s="3428"/>
      <c r="R48" s="3491" t="e">
        <f>ROUND(IF(D47="简单平均",AVERAGE(R47:W47),R47*F47+T47*H47+V47*J47),0)</f>
        <v>#DIV/0!</v>
      </c>
      <c r="S48" s="3491"/>
      <c r="T48" s="3491"/>
      <c r="U48" s="3491"/>
      <c r="V48" s="3491"/>
      <c r="W48" s="349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5" t="s">
        <v>2525</v>
      </c>
      <c r="H55" s="3492"/>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59201.78</v>
      </c>
      <c r="F56" s="1017" t="e">
        <f t="shared" ref="F56:F65" si="15">ROUND(B56*E56/10000,0)</f>
        <v>#DIV/0!</v>
      </c>
      <c r="G56" s="3441"/>
      <c r="H56" s="3430"/>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3"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3"/>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3"/>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3"/>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0</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75230.36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94" t="s">
        <v>2558</v>
      </c>
      <c r="D6" s="3495"/>
      <c r="E6" s="3496" t="s">
        <v>2558</v>
      </c>
      <c r="F6" s="3497"/>
      <c r="G6" s="3494" t="s">
        <v>2558</v>
      </c>
      <c r="H6" s="3495"/>
      <c r="I6" s="3494" t="s">
        <v>2558</v>
      </c>
      <c r="J6" s="3495"/>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30"/>
      <c r="Q10" s="1497" t="str">
        <f t="shared" si="6"/>
        <v>土地使用年限（年）</v>
      </c>
      <c r="R10" s="710" t="s">
        <v>17</v>
      </c>
      <c r="S10" s="711">
        <f t="shared" si="0"/>
        <v>102</v>
      </c>
      <c r="T10" s="710" t="s">
        <v>17</v>
      </c>
      <c r="U10" s="711">
        <f t="shared" si="1"/>
        <v>102</v>
      </c>
      <c r="V10" s="710" t="s">
        <v>17</v>
      </c>
      <c r="W10" s="711">
        <f t="shared" si="2"/>
        <v>102</v>
      </c>
      <c r="X10" s="712"/>
      <c r="Y10" s="3302"/>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3"/>
      <c r="Q16" s="1506"/>
      <c r="R16" s="714"/>
      <c r="S16" s="715"/>
      <c r="T16" s="714"/>
      <c r="U16" s="715"/>
      <c r="V16" s="714"/>
      <c r="W16" s="715"/>
      <c r="X16" s="1509"/>
      <c r="Y16" s="343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3"/>
      <c r="Q18" s="1506"/>
      <c r="R18" s="714"/>
      <c r="S18" s="715"/>
      <c r="T18" s="714"/>
      <c r="U18" s="715"/>
      <c r="V18" s="714"/>
      <c r="W18" s="715"/>
      <c r="X18" s="1509"/>
      <c r="Y18" s="343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3"/>
      <c r="Q19" s="1506" t="str">
        <f t="shared" ref="Q19:Q33" si="8">B19</f>
        <v>区域土地利用方向</v>
      </c>
      <c r="R19" s="714" t="s">
        <v>17</v>
      </c>
      <c r="S19" s="715">
        <f>F19</f>
        <v>100</v>
      </c>
      <c r="T19" s="714" t="s">
        <v>17</v>
      </c>
      <c r="U19" s="715">
        <f>H19</f>
        <v>100</v>
      </c>
      <c r="V19" s="714" t="s">
        <v>17</v>
      </c>
      <c r="W19" s="715">
        <f>J19</f>
        <v>100</v>
      </c>
      <c r="X19" s="1509"/>
      <c r="Y19" s="343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3"/>
      <c r="Q20" s="1506"/>
      <c r="R20" s="714"/>
      <c r="S20" s="715"/>
      <c r="T20" s="714"/>
      <c r="U20" s="715"/>
      <c r="V20" s="714"/>
      <c r="W20" s="715"/>
      <c r="X20" s="1509"/>
      <c r="Y20" s="343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3"/>
      <c r="Q21" s="1506" t="str">
        <f t="shared" si="8"/>
        <v>环境状况</v>
      </c>
      <c r="R21" s="714" t="s">
        <v>17</v>
      </c>
      <c r="S21" s="715">
        <f>F21</f>
        <v>100</v>
      </c>
      <c r="T21" s="714" t="s">
        <v>17</v>
      </c>
      <c r="U21" s="715">
        <f>H21</f>
        <v>100</v>
      </c>
      <c r="V21" s="714" t="s">
        <v>17</v>
      </c>
      <c r="W21" s="715">
        <f>J21</f>
        <v>100</v>
      </c>
      <c r="X21" s="1509"/>
      <c r="Y21" s="343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3"/>
      <c r="Q22" s="1506"/>
      <c r="R22" s="714"/>
      <c r="S22" s="715"/>
      <c r="T22" s="714"/>
      <c r="U22" s="715"/>
      <c r="V22" s="714"/>
      <c r="W22" s="715"/>
      <c r="X22" s="1509"/>
      <c r="Y22" s="343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3"/>
      <c r="Q23" s="1497" t="str">
        <f t="shared" si="8"/>
        <v>公共配套设施</v>
      </c>
      <c r="R23" s="710" t="s">
        <v>17</v>
      </c>
      <c r="S23" s="711">
        <f>F23</f>
        <v>100</v>
      </c>
      <c r="T23" s="710" t="s">
        <v>17</v>
      </c>
      <c r="U23" s="711">
        <f>H23</f>
        <v>100</v>
      </c>
      <c r="V23" s="710" t="s">
        <v>17</v>
      </c>
      <c r="W23" s="711">
        <f>J23</f>
        <v>100</v>
      </c>
      <c r="X23" s="712"/>
      <c r="Y23" s="343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3"/>
      <c r="Q24" s="1497"/>
      <c r="R24" s="710"/>
      <c r="S24" s="711"/>
      <c r="T24" s="710"/>
      <c r="U24" s="711"/>
      <c r="V24" s="710"/>
      <c r="W24" s="711"/>
      <c r="X24" s="712"/>
      <c r="Y24" s="343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3"/>
      <c r="Q25" s="1497" t="str">
        <f t="shared" ref="Q25" si="9">B25</f>
        <v>基础设施水平</v>
      </c>
      <c r="R25" s="710" t="s">
        <v>17</v>
      </c>
      <c r="S25" s="711">
        <f>F25</f>
        <v>100</v>
      </c>
      <c r="T25" s="710" t="s">
        <v>17</v>
      </c>
      <c r="U25" s="711">
        <f>H25</f>
        <v>100</v>
      </c>
      <c r="V25" s="710" t="s">
        <v>17</v>
      </c>
      <c r="W25" s="711">
        <f>J25</f>
        <v>100</v>
      </c>
      <c r="X25" s="712"/>
      <c r="Y25" s="343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3"/>
      <c r="Q26" s="1497"/>
      <c r="R26" s="710"/>
      <c r="S26" s="711"/>
      <c r="T26" s="710"/>
      <c r="U26" s="711"/>
      <c r="V26" s="710"/>
      <c r="W26" s="711"/>
      <c r="X26" s="712"/>
      <c r="Y26" s="343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3"/>
      <c r="Q28" s="1506" t="str">
        <f t="shared" si="8"/>
        <v>毗邻道路的类型与等级</v>
      </c>
      <c r="R28" s="714" t="s">
        <v>17</v>
      </c>
      <c r="S28" s="715">
        <f t="shared" si="10"/>
        <v>100</v>
      </c>
      <c r="T28" s="714" t="s">
        <v>17</v>
      </c>
      <c r="U28" s="715">
        <f t="shared" si="11"/>
        <v>100</v>
      </c>
      <c r="V28" s="714" t="s">
        <v>17</v>
      </c>
      <c r="W28" s="715">
        <f t="shared" si="12"/>
        <v>100</v>
      </c>
      <c r="X28" s="1509"/>
      <c r="Y28" s="343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3"/>
      <c r="Q29" s="1506"/>
      <c r="R29" s="714"/>
      <c r="S29" s="715"/>
      <c r="T29" s="714"/>
      <c r="U29" s="715"/>
      <c r="V29" s="714"/>
      <c r="W29" s="715"/>
      <c r="X29" s="1509"/>
      <c r="Y29" s="343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3"/>
      <c r="Q30" s="1506" t="str">
        <f t="shared" si="8"/>
        <v>土地级别</v>
      </c>
      <c r="R30" s="714" t="s">
        <v>17</v>
      </c>
      <c r="S30" s="715">
        <f t="shared" si="10"/>
        <v>100</v>
      </c>
      <c r="T30" s="714" t="s">
        <v>17</v>
      </c>
      <c r="U30" s="715">
        <f t="shared" si="11"/>
        <v>100</v>
      </c>
      <c r="V30" s="714" t="s">
        <v>17</v>
      </c>
      <c r="W30" s="715">
        <f t="shared" si="12"/>
        <v>100</v>
      </c>
      <c r="X30" s="1509"/>
      <c r="Y30" s="343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3"/>
      <c r="Q31" s="1506">
        <f t="shared" si="8"/>
        <v>111</v>
      </c>
      <c r="R31" s="714" t="s">
        <v>17</v>
      </c>
      <c r="S31" s="715">
        <f t="shared" si="10"/>
        <v>100</v>
      </c>
      <c r="T31" s="714" t="s">
        <v>17</v>
      </c>
      <c r="U31" s="715">
        <f t="shared" si="11"/>
        <v>100</v>
      </c>
      <c r="V31" s="714" t="s">
        <v>17</v>
      </c>
      <c r="W31" s="715">
        <f t="shared" si="12"/>
        <v>100</v>
      </c>
      <c r="X31" s="1509"/>
      <c r="Y31" s="343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8" t="s">
        <v>2326</v>
      </c>
      <c r="Q32" s="1506">
        <f t="shared" si="8"/>
        <v>111</v>
      </c>
      <c r="R32" s="714" t="s">
        <v>17</v>
      </c>
      <c r="S32" s="715">
        <f t="shared" si="10"/>
        <v>100</v>
      </c>
      <c r="T32" s="714" t="s">
        <v>17</v>
      </c>
      <c r="U32" s="715">
        <f t="shared" si="11"/>
        <v>100</v>
      </c>
      <c r="V32" s="714" t="s">
        <v>17</v>
      </c>
      <c r="W32" s="715">
        <f t="shared" si="12"/>
        <v>100</v>
      </c>
      <c r="X32" s="1509"/>
      <c r="Y32" s="343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37"/>
      <c r="Q33" s="1506">
        <f t="shared" si="8"/>
        <v>111</v>
      </c>
      <c r="R33" s="717" t="s">
        <v>17</v>
      </c>
      <c r="S33" s="718">
        <f t="shared" si="10"/>
        <v>100</v>
      </c>
      <c r="T33" s="717" t="s">
        <v>17</v>
      </c>
      <c r="U33" s="718">
        <f t="shared" si="11"/>
        <v>100</v>
      </c>
      <c r="V33" s="717" t="s">
        <v>17</v>
      </c>
      <c r="W33" s="718">
        <f t="shared" si="12"/>
        <v>100</v>
      </c>
      <c r="X33" s="719"/>
      <c r="Y33" s="343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37"/>
      <c r="Q34" s="1506" t="str">
        <f>B34</f>
        <v>宗地面积</v>
      </c>
      <c r="R34" s="714" t="s">
        <v>17</v>
      </c>
      <c r="S34" s="715" t="e">
        <f t="shared" si="10"/>
        <v>#N/A</v>
      </c>
      <c r="T34" s="714" t="s">
        <v>17</v>
      </c>
      <c r="U34" s="715" t="e">
        <f t="shared" si="11"/>
        <v>#N/A</v>
      </c>
      <c r="V34" s="714" t="s">
        <v>17</v>
      </c>
      <c r="W34" s="715" t="e">
        <f t="shared" si="12"/>
        <v>#N/A</v>
      </c>
      <c r="X34" s="1509"/>
      <c r="Y34" s="343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37"/>
      <c r="Q35" s="1506" t="str">
        <f t="shared" ref="Q35:Q40" si="14">B35</f>
        <v>宗地形状</v>
      </c>
      <c r="R35" s="714" t="s">
        <v>17</v>
      </c>
      <c r="S35" s="715">
        <f t="shared" si="10"/>
        <v>100</v>
      </c>
      <c r="T35" s="714" t="s">
        <v>17</v>
      </c>
      <c r="U35" s="715">
        <f t="shared" si="11"/>
        <v>100</v>
      </c>
      <c r="V35" s="714" t="s">
        <v>17</v>
      </c>
      <c r="W35" s="715">
        <f t="shared" si="12"/>
        <v>100</v>
      </c>
      <c r="X35" s="1509"/>
      <c r="Y35" s="343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37"/>
      <c r="Q36" s="1506" t="str">
        <f t="shared" si="14"/>
        <v>宗地开发程度</v>
      </c>
      <c r="R36" s="710" t="s">
        <v>17</v>
      </c>
      <c r="S36" s="711">
        <f t="shared" si="10"/>
        <v>100</v>
      </c>
      <c r="T36" s="710" t="s">
        <v>17</v>
      </c>
      <c r="U36" s="711">
        <f t="shared" si="11"/>
        <v>100</v>
      </c>
      <c r="V36" s="710" t="s">
        <v>17</v>
      </c>
      <c r="W36" s="711">
        <f t="shared" si="12"/>
        <v>100</v>
      </c>
      <c r="X36" s="712"/>
      <c r="Y36" s="343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37" t="s">
        <v>2326</v>
      </c>
      <c r="Q37" s="1506" t="str">
        <f t="shared" si="14"/>
        <v>工程地质条件</v>
      </c>
      <c r="R37" s="714" t="s">
        <v>17</v>
      </c>
      <c r="S37" s="715">
        <f t="shared" si="10"/>
        <v>100</v>
      </c>
      <c r="T37" s="714" t="s">
        <v>17</v>
      </c>
      <c r="U37" s="715">
        <f t="shared" si="11"/>
        <v>100</v>
      </c>
      <c r="V37" s="714" t="s">
        <v>17</v>
      </c>
      <c r="W37" s="715">
        <f t="shared" si="12"/>
        <v>100</v>
      </c>
      <c r="X37" s="1509"/>
      <c r="Y37" s="343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37"/>
      <c r="Q38" s="1506">
        <f t="shared" si="14"/>
        <v>111</v>
      </c>
      <c r="R38" s="714" t="s">
        <v>17</v>
      </c>
      <c r="S38" s="715">
        <f t="shared" si="10"/>
        <v>100</v>
      </c>
      <c r="T38" s="714" t="s">
        <v>17</v>
      </c>
      <c r="U38" s="715">
        <f t="shared" si="11"/>
        <v>100</v>
      </c>
      <c r="V38" s="714" t="s">
        <v>17</v>
      </c>
      <c r="W38" s="715">
        <f t="shared" si="12"/>
        <v>100</v>
      </c>
      <c r="X38" s="1509"/>
      <c r="Y38" s="343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37"/>
      <c r="Q39" s="1506">
        <f t="shared" si="14"/>
        <v>111</v>
      </c>
      <c r="R39" s="714" t="s">
        <v>17</v>
      </c>
      <c r="S39" s="715">
        <f t="shared" si="10"/>
        <v>100</v>
      </c>
      <c r="T39" s="714" t="s">
        <v>17</v>
      </c>
      <c r="U39" s="715">
        <f t="shared" si="11"/>
        <v>100</v>
      </c>
      <c r="V39" s="714" t="s">
        <v>17</v>
      </c>
      <c r="W39" s="715">
        <f t="shared" si="12"/>
        <v>100</v>
      </c>
      <c r="X39" s="1509"/>
      <c r="Y39" s="343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37"/>
      <c r="Q40" s="1506">
        <f t="shared" si="14"/>
        <v>111</v>
      </c>
      <c r="R40" s="717" t="s">
        <v>17</v>
      </c>
      <c r="S40" s="718">
        <f t="shared" si="10"/>
        <v>100</v>
      </c>
      <c r="T40" s="717" t="s">
        <v>17</v>
      </c>
      <c r="U40" s="718">
        <f t="shared" si="11"/>
        <v>100</v>
      </c>
      <c r="V40" s="717" t="s">
        <v>17</v>
      </c>
      <c r="W40" s="718">
        <f t="shared" si="12"/>
        <v>100</v>
      </c>
      <c r="X40" s="719"/>
      <c r="Y40" s="343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30" t="str">
        <f>A41</f>
        <v>成交单价</v>
      </c>
      <c r="Q41" s="3430"/>
      <c r="R41" s="3461">
        <f>E41</f>
        <v>0</v>
      </c>
      <c r="S41" s="3461"/>
      <c r="T41" s="3461">
        <f>G41</f>
        <v>0</v>
      </c>
      <c r="U41" s="3461"/>
      <c r="V41" s="3461">
        <f>I41</f>
        <v>0</v>
      </c>
      <c r="W41" s="3461"/>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30" t="str">
        <f>A42</f>
        <v>比较价值（元/平方米）</v>
      </c>
      <c r="Q42" s="3430"/>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27" t="str">
        <f>A43</f>
        <v>估价对象XX用房的比较价值（楼面单价，元/平方米）</v>
      </c>
      <c r="Q43" s="3428"/>
      <c r="R43" s="3491" t="e">
        <f>ROUND(IF(D42="简单平均",AVERAGE(R42:W42),R42*F42+T42*H42+V42*J42),0)</f>
        <v>#DIV/0!</v>
      </c>
      <c r="S43" s="3491"/>
      <c r="T43" s="3491"/>
      <c r="U43" s="3491"/>
      <c r="V43" s="3491"/>
      <c r="W43" s="3491"/>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5" t="s">
        <v>2525</v>
      </c>
      <c r="H50" s="3492"/>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59201.78</v>
      </c>
      <c r="F51" s="647" t="e">
        <f t="shared" ref="F51:F60" si="15">ROUND(B51*E51/10000,0)</f>
        <v>#DIV/0!</v>
      </c>
      <c r="G51" s="3441"/>
      <c r="H51" s="3430"/>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3"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3"/>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3"/>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3"/>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0</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3.35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1"/>
      <c r="B4" s="3502"/>
      <c r="C4" s="3502"/>
      <c r="D4" s="3503"/>
      <c r="E4" s="3503"/>
      <c r="F4" s="3503"/>
      <c r="G4" s="3503"/>
      <c r="H4" s="3503"/>
      <c r="I4" s="3503"/>
      <c r="J4" s="350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5"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3.35</v>
      </c>
      <c r="AA7" s="1350"/>
      <c r="AB7" s="1350"/>
      <c r="AC7" s="1351"/>
      <c r="AD7" s="1352"/>
      <c r="AE7" s="1352"/>
      <c r="AF7" s="1352"/>
      <c r="AG7" s="1352"/>
      <c r="AH7" s="1352"/>
      <c r="AI7" s="1352"/>
      <c r="AJ7" s="1353"/>
    </row>
    <row r="8" spans="1:36" ht="15">
      <c r="A8" s="3506"/>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8" t="s">
        <v>2601</v>
      </c>
      <c r="X8" s="349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6"/>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0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6"/>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6"/>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0" t="s">
        <v>2625</v>
      </c>
      <c r="X11" s="1358" t="s">
        <v>2626</v>
      </c>
      <c r="Y11" s="1359">
        <f>$G$3</f>
        <v>3.35</v>
      </c>
      <c r="Z11" s="1359">
        <f t="shared" ref="Z11:AJ11" si="3">$G$3</f>
        <v>3.35</v>
      </c>
      <c r="AA11" s="1359">
        <f t="shared" si="3"/>
        <v>3.35</v>
      </c>
      <c r="AB11" s="1359">
        <f t="shared" si="3"/>
        <v>3.35</v>
      </c>
      <c r="AC11" s="1359">
        <f t="shared" si="3"/>
        <v>3.35</v>
      </c>
      <c r="AD11" s="1359">
        <f t="shared" si="3"/>
        <v>3.35</v>
      </c>
      <c r="AE11" s="1359">
        <f t="shared" si="3"/>
        <v>3.35</v>
      </c>
      <c r="AF11" s="1359">
        <f t="shared" si="3"/>
        <v>3.35</v>
      </c>
      <c r="AG11" s="1359">
        <f t="shared" si="3"/>
        <v>3.35</v>
      </c>
      <c r="AH11" s="1359">
        <f t="shared" si="3"/>
        <v>3.35</v>
      </c>
      <c r="AI11" s="1359">
        <f t="shared" si="3"/>
        <v>3.35</v>
      </c>
      <c r="AJ11" s="1359">
        <f t="shared" si="3"/>
        <v>3.35</v>
      </c>
    </row>
    <row r="12" spans="1:36" ht="25.5" thickBot="1">
      <c r="A12" s="3505"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7"/>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0"/>
      <c r="X13" s="1360"/>
      <c r="Y13" s="1357">
        <f>(-0.163*(Y12^2)-0.59*Y12+7617)*(10^(-4))/Y11</f>
        <v>0.22737313432835821</v>
      </c>
      <c r="Z13" s="1357">
        <f t="shared" ref="Z13:AJ13" si="5">(-0.163*(Z12^2)-0.59*Z12+7617)*(10^(-4))/Z11</f>
        <v>0.22737313432835821</v>
      </c>
      <c r="AA13" s="1357">
        <f t="shared" si="5"/>
        <v>0.22737313432835821</v>
      </c>
      <c r="AB13" s="1357">
        <f t="shared" si="5"/>
        <v>0.22737313432835821</v>
      </c>
      <c r="AC13" s="1357">
        <f t="shared" si="5"/>
        <v>0.22737313432835821</v>
      </c>
      <c r="AD13" s="1357">
        <f t="shared" si="5"/>
        <v>0.22737313432835821</v>
      </c>
      <c r="AE13" s="1357">
        <f t="shared" si="5"/>
        <v>0.22737313432835821</v>
      </c>
      <c r="AF13" s="1357">
        <f t="shared" si="5"/>
        <v>0.22737313432835821</v>
      </c>
      <c r="AG13" s="1357">
        <f t="shared" si="5"/>
        <v>0.22737313432835821</v>
      </c>
      <c r="AH13" s="1357">
        <f t="shared" si="5"/>
        <v>0.22737313432835821</v>
      </c>
      <c r="AI13" s="1357">
        <f t="shared" si="5"/>
        <v>0.22737313432835821</v>
      </c>
      <c r="AJ13" s="1357">
        <f t="shared" si="5"/>
        <v>0.22737313432835821</v>
      </c>
    </row>
    <row r="14" spans="1:36" ht="15">
      <c r="A14" s="3507"/>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08"/>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5" t="s">
        <v>2644</v>
      </c>
      <c r="B16" s="2179" t="s">
        <v>2645</v>
      </c>
      <c r="C16" s="2341">
        <f>ROUND(IF(F17="与级别开发程度一致",0,(G17-E17)/C17),0)</f>
        <v>-78</v>
      </c>
      <c r="D16" s="3521" t="s">
        <v>2649</v>
      </c>
      <c r="E16" s="3522"/>
      <c r="F16" s="3521" t="s">
        <v>2646</v>
      </c>
      <c r="G16" s="3522"/>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5" thickBot="1">
      <c r="A17" s="3509"/>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3168</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0.83679999999999999</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0.83240000000000003</v>
      </c>
      <c r="I22" s="1506" t="s">
        <v>155</v>
      </c>
      <c r="J22" s="877" t="str">
        <f>IF(G3&gt;10,D113,"——")</f>
        <v>——</v>
      </c>
      <c r="K22" s="1259"/>
      <c r="L22" s="2987"/>
      <c r="M22" s="2987"/>
      <c r="N22" s="2237" t="s">
        <v>2669</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8"/>
      <c r="B33" s="2282" t="s">
        <v>2691</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2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9"/>
      <c r="B34" s="2199" t="s">
        <v>2692</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1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9"/>
      <c r="B35" s="2199" t="s">
        <v>2693</v>
      </c>
      <c r="C35" s="180">
        <f>ROUND(D5*C19*C20*C24*F35,0)</f>
        <v>984</v>
      </c>
      <c r="D35" s="2266"/>
      <c r="E35" s="176">
        <f t="shared" si="7"/>
        <v>0</v>
      </c>
      <c r="F35" s="176">
        <f>SUMIF(修正!A45:A56,G2,修正!D45:D56)</f>
        <v>0.2</v>
      </c>
      <c r="G35" s="176">
        <f>ROUND(IF(E2="工业",C35*$M$39,C35*$M$38),0)</f>
        <v>246</v>
      </c>
      <c r="H35" s="176">
        <f t="shared" si="8"/>
        <v>0</v>
      </c>
      <c r="I35" s="176">
        <f t="shared" si="9"/>
        <v>0</v>
      </c>
      <c r="J35" s="351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0"/>
      <c r="B36" s="2199" t="s">
        <v>2694</v>
      </c>
      <c r="C36" s="180">
        <f>ROUND(D5*C19*C20*C24*F36,0)</f>
        <v>984</v>
      </c>
      <c r="D36" s="2266"/>
      <c r="E36" s="176">
        <f t="shared" si="7"/>
        <v>0</v>
      </c>
      <c r="F36" s="176">
        <f>SUMIF(修正!A45:A56,G2,修正!E45:E56)</f>
        <v>0.2</v>
      </c>
      <c r="G36" s="176">
        <f>ROUND(IF(E2="工业",C36*$M$39,C36*$M$38),0)</f>
        <v>246</v>
      </c>
      <c r="H36" s="176">
        <f t="shared" si="8"/>
        <v>0</v>
      </c>
      <c r="I36" s="176">
        <f t="shared" si="9"/>
        <v>0</v>
      </c>
      <c r="J36" s="352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0" t="s">
        <v>2732</v>
      </c>
      <c r="B90" s="3510"/>
      <c r="C90" s="3510"/>
      <c r="D90" s="3510"/>
      <c r="E90" s="3510"/>
      <c r="F90" s="3510"/>
      <c r="G90" s="3510"/>
      <c r="H90" s="3510"/>
      <c r="I90" s="3510"/>
      <c r="J90" s="3510"/>
      <c r="K90" s="2313"/>
      <c r="L90" s="2313"/>
      <c r="M90" s="2313"/>
      <c r="N90" s="2313"/>
    </row>
    <row r="91" spans="1:37">
      <c r="A91" s="3512" t="s">
        <v>2733</v>
      </c>
      <c r="B91" s="3512" t="s">
        <v>2734</v>
      </c>
      <c r="C91" s="2267" t="s">
        <v>2735</v>
      </c>
      <c r="D91" s="2268"/>
      <c r="E91" s="2268"/>
      <c r="F91" s="2268"/>
      <c r="G91" s="2268"/>
      <c r="H91" s="2268"/>
      <c r="I91" s="2268"/>
      <c r="J91" s="2314"/>
      <c r="K91" s="2315"/>
      <c r="L91" s="2315"/>
      <c r="M91" s="2315"/>
      <c r="N91" s="2315"/>
    </row>
    <row r="92" spans="1:37">
      <c r="A92" s="3512"/>
      <c r="B92" s="351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3"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4"/>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3" t="s">
        <v>2737</v>
      </c>
      <c r="B101" s="2320" t="s">
        <v>2738</v>
      </c>
      <c r="C101" s="2321">
        <f>$G$3</f>
        <v>3.35</v>
      </c>
      <c r="D101" s="2321">
        <f t="shared" ref="D101:N101" si="31">$G$3</f>
        <v>3.35</v>
      </c>
      <c r="E101" s="2321">
        <f t="shared" si="31"/>
        <v>3.35</v>
      </c>
      <c r="F101" s="2321">
        <f t="shared" si="31"/>
        <v>3.35</v>
      </c>
      <c r="G101" s="2321">
        <f t="shared" si="31"/>
        <v>3.35</v>
      </c>
      <c r="H101" s="2321">
        <f t="shared" si="31"/>
        <v>3.35</v>
      </c>
      <c r="I101" s="2321">
        <f t="shared" si="31"/>
        <v>3.35</v>
      </c>
      <c r="J101" s="2321">
        <f t="shared" si="31"/>
        <v>3.35</v>
      </c>
      <c r="K101" s="2321">
        <f t="shared" si="31"/>
        <v>3.35</v>
      </c>
      <c r="L101" s="2321">
        <f t="shared" si="31"/>
        <v>3.35</v>
      </c>
      <c r="M101" s="2321">
        <f t="shared" si="31"/>
        <v>3.35</v>
      </c>
      <c r="N101" s="2321">
        <f t="shared" si="31"/>
        <v>3.35</v>
      </c>
    </row>
    <row r="102" spans="1:14">
      <c r="A102" s="3514"/>
      <c r="B102" s="2316">
        <v>1</v>
      </c>
      <c r="C102" s="2317">
        <f>1.9362/C101</f>
        <v>0.57797014925373136</v>
      </c>
      <c r="D102" s="2317">
        <f>1.9362/D101</f>
        <v>0.57797014925373136</v>
      </c>
      <c r="E102" s="2317">
        <f>1.8629/E101</f>
        <v>0.55608955223880596</v>
      </c>
      <c r="F102" s="2317">
        <f>1.8629/F101</f>
        <v>0.55608955223880596</v>
      </c>
      <c r="G102" s="2317">
        <f>1.8629/G101</f>
        <v>0.55608955223880596</v>
      </c>
      <c r="H102" s="2317">
        <f>1.8629/H101</f>
        <v>0.55608955223880596</v>
      </c>
      <c r="I102" s="2317">
        <f>1.8629/I101</f>
        <v>0.55608955223880596</v>
      </c>
      <c r="J102" s="2317">
        <f>1.942/J101</f>
        <v>0.5797014925373134</v>
      </c>
      <c r="K102" s="2317">
        <f>1.942/K101</f>
        <v>0.5797014925373134</v>
      </c>
      <c r="L102" s="2317">
        <f>1.942/L101</f>
        <v>0.5797014925373134</v>
      </c>
      <c r="M102" s="2317">
        <f>1.942/M101</f>
        <v>0.5797014925373134</v>
      </c>
      <c r="N102" s="2317">
        <f>1.942/N101</f>
        <v>0.5797014925373134</v>
      </c>
    </row>
    <row r="103" spans="1:14">
      <c r="A103" s="3514"/>
      <c r="B103" s="2316">
        <v>2</v>
      </c>
      <c r="C103" s="2317">
        <f>1.4198/C101</f>
        <v>0.42382089552238805</v>
      </c>
      <c r="D103" s="2317">
        <f>1.4198/D101</f>
        <v>0.42382089552238805</v>
      </c>
      <c r="E103" s="2317">
        <f>1.3372/E101</f>
        <v>0.3991641791044776</v>
      </c>
      <c r="F103" s="2317">
        <f>1.3372/F101</f>
        <v>0.3991641791044776</v>
      </c>
      <c r="G103" s="2317">
        <f>1.3372/G101</f>
        <v>0.3991641791044776</v>
      </c>
      <c r="H103" s="2317">
        <f>1.3372/H101</f>
        <v>0.3991641791044776</v>
      </c>
      <c r="I103" s="2317">
        <f>1.3372/I101</f>
        <v>0.3991641791044776</v>
      </c>
      <c r="J103" s="2317">
        <f>1.2799/J101</f>
        <v>0.38205970149253732</v>
      </c>
      <c r="K103" s="2317">
        <f>1.2799/K101</f>
        <v>0.38205970149253732</v>
      </c>
      <c r="L103" s="2317">
        <f>1.2799/L101</f>
        <v>0.38205970149253732</v>
      </c>
      <c r="M103" s="2317">
        <f>1.2799/M101</f>
        <v>0.38205970149253732</v>
      </c>
      <c r="N103" s="2317">
        <f>1.2799/N101</f>
        <v>0.38205970149253732</v>
      </c>
    </row>
    <row r="104" spans="1:14">
      <c r="A104" s="3514"/>
      <c r="B104" s="2316">
        <v>3</v>
      </c>
      <c r="C104" s="2317">
        <f>1.1594/C101</f>
        <v>0.34608955223880594</v>
      </c>
      <c r="D104" s="2317">
        <f>1.1594/D101</f>
        <v>0.34608955223880594</v>
      </c>
      <c r="E104" s="2317">
        <f>1.0788/E101</f>
        <v>0.32202985074626866</v>
      </c>
      <c r="F104" s="2317">
        <f>1.0788/F101</f>
        <v>0.32202985074626866</v>
      </c>
      <c r="G104" s="2317">
        <f>1.0788/G101</f>
        <v>0.32202985074626866</v>
      </c>
      <c r="H104" s="2317">
        <f>1.0788/H101</f>
        <v>0.32202985074626866</v>
      </c>
      <c r="I104" s="2317">
        <f>1.0788/I101</f>
        <v>0.32202985074626866</v>
      </c>
      <c r="J104" s="2317">
        <f>1.0072/J101</f>
        <v>0.30065671641791047</v>
      </c>
      <c r="K104" s="2317">
        <f>1.0072/K101</f>
        <v>0.30065671641791047</v>
      </c>
      <c r="L104" s="2317">
        <f>1.0072/L101</f>
        <v>0.30065671641791047</v>
      </c>
      <c r="M104" s="2317">
        <f>1.0072/M101</f>
        <v>0.30065671641791047</v>
      </c>
      <c r="N104" s="2317">
        <f>1.0072/N101</f>
        <v>0.30065671641791047</v>
      </c>
    </row>
    <row r="105" spans="1:14">
      <c r="A105" s="3514"/>
      <c r="B105" s="2316">
        <v>4</v>
      </c>
      <c r="C105" s="2317">
        <f>0.9622/C101</f>
        <v>0.28722388059701492</v>
      </c>
      <c r="D105" s="2317">
        <f>0.9622/D101</f>
        <v>0.28722388059701492</v>
      </c>
      <c r="E105" s="2317">
        <f>0.8656/E101</f>
        <v>0.25838805970149253</v>
      </c>
      <c r="F105" s="2317">
        <f>0.8656/F101</f>
        <v>0.25838805970149253</v>
      </c>
      <c r="G105" s="2317">
        <f>0.8656/G101</f>
        <v>0.25838805970149253</v>
      </c>
      <c r="H105" s="2317">
        <f>0.8656/H101</f>
        <v>0.25838805970149253</v>
      </c>
      <c r="I105" s="2317">
        <f>0.8656/I101</f>
        <v>0.25838805970149253</v>
      </c>
      <c r="J105" s="2317">
        <f>0.7525/J101</f>
        <v>0.22462686567164178</v>
      </c>
      <c r="K105" s="2317">
        <f>0.7525/K101</f>
        <v>0.22462686567164178</v>
      </c>
      <c r="L105" s="2317">
        <f>0.7525/L101</f>
        <v>0.22462686567164178</v>
      </c>
      <c r="M105" s="2317">
        <f>0.7525/M101</f>
        <v>0.22462686567164178</v>
      </c>
      <c r="N105" s="2317">
        <f>0.7525/N101</f>
        <v>0.22462686567164178</v>
      </c>
    </row>
    <row r="106" spans="1:14">
      <c r="A106" s="3514"/>
      <c r="B106" s="2316">
        <v>5</v>
      </c>
      <c r="C106" s="2317">
        <f>0.8417/C101</f>
        <v>0.2512537313432836</v>
      </c>
      <c r="D106" s="2317">
        <f>0.8417/D101</f>
        <v>0.2512537313432836</v>
      </c>
      <c r="E106" s="2317">
        <f>0.7371/E101</f>
        <v>0.22002985074626866</v>
      </c>
      <c r="F106" s="2317">
        <f>0.7371/F101</f>
        <v>0.22002985074626866</v>
      </c>
      <c r="G106" s="2317">
        <f>0.7371/G101</f>
        <v>0.22002985074626866</v>
      </c>
      <c r="H106" s="2317">
        <f>0.7371/H101</f>
        <v>0.22002985074626866</v>
      </c>
      <c r="I106" s="2317">
        <f>0.7371/I101</f>
        <v>0.22002985074626866</v>
      </c>
      <c r="J106" s="2317">
        <f>0.5659/J101</f>
        <v>0.16892537313432834</v>
      </c>
      <c r="K106" s="2317">
        <f>0.5659/K101</f>
        <v>0.16892537313432834</v>
      </c>
      <c r="L106" s="2317">
        <f>0.5659/L101</f>
        <v>0.16892537313432834</v>
      </c>
      <c r="M106" s="2317">
        <f>0.5659/M101</f>
        <v>0.16892537313432834</v>
      </c>
      <c r="N106" s="2317">
        <f>0.5659/N101</f>
        <v>0.16892537313432834</v>
      </c>
    </row>
    <row r="107" spans="1:14">
      <c r="A107" s="3514"/>
      <c r="B107" s="2316">
        <v>6</v>
      </c>
      <c r="C107" s="2317">
        <f>0.7608/C101</f>
        <v>0.2271044776119403</v>
      </c>
      <c r="D107" s="2317">
        <f>0.7608/D101</f>
        <v>0.2271044776119403</v>
      </c>
      <c r="E107" s="2317">
        <f>0.6482/E101</f>
        <v>0.19349253731343283</v>
      </c>
      <c r="F107" s="2317">
        <f>0.6482/F101</f>
        <v>0.19349253731343283</v>
      </c>
      <c r="G107" s="2317">
        <f>0.6482/G101</f>
        <v>0.19349253731343283</v>
      </c>
      <c r="H107" s="2317">
        <f>0.6482/H101</f>
        <v>0.19349253731343283</v>
      </c>
      <c r="I107" s="2317">
        <f>0.6482/I101</f>
        <v>0.19349253731343283</v>
      </c>
      <c r="J107" s="2317">
        <f>0.4525/J101</f>
        <v>0.13507462686567165</v>
      </c>
      <c r="K107" s="2317">
        <f>0.4525/K101</f>
        <v>0.13507462686567165</v>
      </c>
      <c r="L107" s="2317">
        <f>0.4525/L101</f>
        <v>0.13507462686567165</v>
      </c>
      <c r="M107" s="2317">
        <f>0.4525/M101</f>
        <v>0.13507462686567165</v>
      </c>
      <c r="N107" s="2317">
        <f>0.4525/N101</f>
        <v>0.13507462686567165</v>
      </c>
    </row>
    <row r="108" spans="1:14">
      <c r="A108" s="3514"/>
      <c r="B108" s="3516"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5"/>
      <c r="B109" s="3517"/>
      <c r="C109" s="2319">
        <f>(-0.163*(C108^2)-0.59*C108+7617)*(10^(-4))/C101</f>
        <v>0.22737313432835821</v>
      </c>
      <c r="D109" s="2319">
        <f>(-0.163*(D108^2)-0.59*D108+7617)*(10^(-4))/D101</f>
        <v>0.22737313432835821</v>
      </c>
      <c r="E109" s="2319">
        <f>(-0.161*(E108^2)-7.509*E108+6533)*(10^(-4))/E101</f>
        <v>0.19501492537313433</v>
      </c>
      <c r="F109" s="2319">
        <f>(-0.161*(F108^2)-7.509*F108+6533)*(10^(-4))/F101</f>
        <v>0.19501492537313433</v>
      </c>
      <c r="G109" s="2319">
        <f>(-0.161*(G108^2)-7.509*G108+6533)*(10^(-4))/G101</f>
        <v>0.19501492537313433</v>
      </c>
      <c r="H109" s="2319">
        <f>(-0.161*(H108^2)-7.509*H108+6533)*(10^(-4))/H101</f>
        <v>0.19501492537313433</v>
      </c>
      <c r="I109" s="2319">
        <f>(-0.161*(I108^2)-7.509*I108+6533)*(10^(-4))/I101</f>
        <v>0.19501492537313433</v>
      </c>
      <c r="J109" s="2319">
        <f>(-0.214*(J108^2)-21.991*J108+4665)*(10^(-4))/J101</f>
        <v>0.13925373134328359</v>
      </c>
      <c r="K109" s="2319">
        <f>(-0.214*(K108^2)-21.991*K108+4665)*(10^(-4))/K101</f>
        <v>0.13925373134328359</v>
      </c>
      <c r="L109" s="2319">
        <f>(-0.214*(L108^2)-21.991*L108+4665)*(10^(-4))/L101</f>
        <v>0.13925373134328359</v>
      </c>
      <c r="M109" s="2319">
        <f>(-0.214*(M108^2)-21.991*M108+4665)*(10^(-4))/M101</f>
        <v>0.13925373134328359</v>
      </c>
      <c r="N109" s="2319">
        <f>(-0.214*(N108^2)-21.991*N108+4665)*(10^(-4))/N101</f>
        <v>0.13925373134328359</v>
      </c>
    </row>
    <row r="110" spans="1:14">
      <c r="A110" s="3511" t="s">
        <v>2740</v>
      </c>
      <c r="B110" s="3511"/>
      <c r="C110" s="3511"/>
      <c r="D110" s="3511"/>
      <c r="E110" s="3511"/>
      <c r="F110" s="3511"/>
      <c r="G110" s="3511"/>
      <c r="H110" s="3511"/>
      <c r="I110" s="3511"/>
      <c r="J110" s="3511"/>
      <c r="K110" s="2322"/>
      <c r="L110" s="2322"/>
      <c r="M110" s="2322"/>
      <c r="N110" s="2322"/>
    </row>
    <row r="112" spans="1:14" ht="13.5" thickBot="1"/>
    <row r="113" spans="1:13" ht="25.5" thickBot="1">
      <c r="A113" s="842" t="s">
        <v>2741</v>
      </c>
      <c r="B113" s="1197">
        <f>G3</f>
        <v>3.35</v>
      </c>
      <c r="C113" s="843" t="s">
        <v>2742</v>
      </c>
      <c r="D113" s="844">
        <f>SUMPRODUCT((A115:A118=F113)*(B114:M114=H113)*B115:M118)</f>
        <v>0.72250000000000003</v>
      </c>
      <c r="E113" s="2158" t="s">
        <v>2575</v>
      </c>
      <c r="F113" s="2324" t="str">
        <f>E2</f>
        <v>办公</v>
      </c>
      <c r="G113" s="2158" t="s">
        <v>2576</v>
      </c>
      <c r="H113" s="2324" t="str">
        <f>G2</f>
        <v>九级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0.90200000000000002</v>
      </c>
      <c r="C115" s="849">
        <f>B115</f>
        <v>0.90200000000000002</v>
      </c>
      <c r="D115" s="849">
        <f>ROUND(0.8331-0.0109*B113,4)</f>
        <v>0.79659999999999997</v>
      </c>
      <c r="E115" s="849">
        <f>D115</f>
        <v>0.79659999999999997</v>
      </c>
      <c r="F115" s="849">
        <f>E115</f>
        <v>0.79659999999999997</v>
      </c>
      <c r="G115" s="849">
        <f>F115</f>
        <v>0.79659999999999997</v>
      </c>
      <c r="H115" s="849">
        <f>G115</f>
        <v>0.79659999999999997</v>
      </c>
      <c r="I115" s="849">
        <f>ROUND(0.689-0.0155*B113,4)</f>
        <v>0.6371</v>
      </c>
      <c r="J115" s="849">
        <f t="shared" ref="J115:M118" si="33">I115</f>
        <v>0.6371</v>
      </c>
      <c r="K115" s="849">
        <f t="shared" si="33"/>
        <v>0.6371</v>
      </c>
      <c r="L115" s="849">
        <f t="shared" si="33"/>
        <v>0.6371</v>
      </c>
      <c r="M115" s="850">
        <f t="shared" si="33"/>
        <v>0.6371</v>
      </c>
    </row>
    <row r="116" spans="1:13">
      <c r="A116" s="848" t="s">
        <v>2641</v>
      </c>
      <c r="B116" s="849">
        <f>ROUND(0.949-0.012*B113,4)</f>
        <v>0.90880000000000005</v>
      </c>
      <c r="C116" s="849">
        <f>B116</f>
        <v>0.90880000000000005</v>
      </c>
      <c r="D116" s="849">
        <f>ROUND(0.8567-0.013*B113,4)</f>
        <v>0.81320000000000003</v>
      </c>
      <c r="E116" s="849">
        <f t="shared" ref="E116:H117" si="34">D116</f>
        <v>0.81320000000000003</v>
      </c>
      <c r="F116" s="849">
        <f t="shared" si="34"/>
        <v>0.81320000000000003</v>
      </c>
      <c r="G116" s="849">
        <f t="shared" si="34"/>
        <v>0.81320000000000003</v>
      </c>
      <c r="H116" s="849">
        <f t="shared" si="34"/>
        <v>0.81320000000000003</v>
      </c>
      <c r="I116" s="849">
        <f>ROUND(0.7694-0.014*B113,4)</f>
        <v>0.72250000000000003</v>
      </c>
      <c r="J116" s="849">
        <f t="shared" si="33"/>
        <v>0.72250000000000003</v>
      </c>
      <c r="K116" s="849">
        <f t="shared" si="33"/>
        <v>0.72250000000000003</v>
      </c>
      <c r="L116" s="849">
        <f t="shared" si="33"/>
        <v>0.72250000000000003</v>
      </c>
      <c r="M116" s="850">
        <f t="shared" si="33"/>
        <v>0.72250000000000003</v>
      </c>
    </row>
    <row r="117" spans="1:13">
      <c r="A117" s="848" t="s">
        <v>2642</v>
      </c>
      <c r="B117" s="849">
        <f>ROUND(0.8808-0.006*B113,4)</f>
        <v>0.86070000000000002</v>
      </c>
      <c r="C117" s="849">
        <f>B117</f>
        <v>0.86070000000000002</v>
      </c>
      <c r="D117" s="849">
        <f>ROUND(0.8748-0.008*B113,4)</f>
        <v>0.84799999999999998</v>
      </c>
      <c r="E117" s="849">
        <f t="shared" si="34"/>
        <v>0.84799999999999998</v>
      </c>
      <c r="F117" s="849">
        <f t="shared" si="34"/>
        <v>0.84799999999999998</v>
      </c>
      <c r="G117" s="849">
        <f t="shared" si="34"/>
        <v>0.84799999999999998</v>
      </c>
      <c r="H117" s="849">
        <f t="shared" si="34"/>
        <v>0.84799999999999998</v>
      </c>
      <c r="I117" s="849">
        <f>ROUND(0.7412-0.0095*B113,4)</f>
        <v>0.70940000000000003</v>
      </c>
      <c r="J117" s="849">
        <f t="shared" si="33"/>
        <v>0.70940000000000003</v>
      </c>
      <c r="K117" s="849">
        <f t="shared" si="33"/>
        <v>0.70940000000000003</v>
      </c>
      <c r="L117" s="849">
        <f t="shared" si="33"/>
        <v>0.70940000000000003</v>
      </c>
      <c r="M117" s="850">
        <f t="shared" si="33"/>
        <v>0.70940000000000003</v>
      </c>
    </row>
    <row r="118" spans="1:13" ht="13.5" thickBot="1">
      <c r="A118" s="670" t="s">
        <v>2643</v>
      </c>
      <c r="B118" s="851">
        <f>ROUND(0.7275-0.01*B113,4)</f>
        <v>0.69399999999999995</v>
      </c>
      <c r="C118" s="851">
        <f>B118</f>
        <v>0.69399999999999995</v>
      </c>
      <c r="D118" s="851">
        <f>ROUND(0.7043-0.012*B113,4)</f>
        <v>0.66410000000000002</v>
      </c>
      <c r="E118" s="851">
        <f>D118</f>
        <v>0.66410000000000002</v>
      </c>
      <c r="F118" s="851">
        <f>E118</f>
        <v>0.66410000000000002</v>
      </c>
      <c r="G118" s="851">
        <f>ROUND(0.6299-0.0122*B113,4)</f>
        <v>0.58899999999999997</v>
      </c>
      <c r="H118" s="851">
        <f>G118</f>
        <v>0.58899999999999997</v>
      </c>
      <c r="I118" s="851">
        <f>ROUND(0.5667-0.0136*B113,4)</f>
        <v>0.52110000000000001</v>
      </c>
      <c r="J118" s="851">
        <f t="shared" si="33"/>
        <v>0.52110000000000001</v>
      </c>
      <c r="K118" s="851">
        <f t="shared" si="33"/>
        <v>0.52110000000000001</v>
      </c>
      <c r="L118" s="851">
        <f t="shared" si="33"/>
        <v>0.52110000000000001</v>
      </c>
      <c r="M118" s="852">
        <f t="shared" si="33"/>
        <v>0.52110000000000001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4" t="s">
        <v>183</v>
      </c>
      <c r="B18" s="821" t="s">
        <v>560</v>
      </c>
      <c r="C18" s="822" t="s">
        <v>561</v>
      </c>
      <c r="D18" s="823"/>
      <c r="E18" s="821">
        <v>1</v>
      </c>
      <c r="F18" s="824" t="s">
        <v>562</v>
      </c>
      <c r="G18" s="825"/>
      <c r="H18" s="817"/>
      <c r="I18" s="817"/>
    </row>
    <row r="19" spans="1:9" s="826" customFormat="1" ht="19.5" customHeight="1">
      <c r="A19" s="3524"/>
      <c r="B19" s="3524" t="s">
        <v>563</v>
      </c>
      <c r="C19" s="822" t="s">
        <v>564</v>
      </c>
      <c r="D19" s="823"/>
      <c r="E19" s="821">
        <v>0.9</v>
      </c>
      <c r="F19" s="824" t="s">
        <v>565</v>
      </c>
      <c r="G19" s="825"/>
      <c r="H19" s="817"/>
      <c r="I19" s="817"/>
    </row>
    <row r="20" spans="1:9" s="826" customFormat="1" ht="19.5" customHeight="1">
      <c r="A20" s="3524"/>
      <c r="B20" s="3524"/>
      <c r="C20" s="822" t="s">
        <v>566</v>
      </c>
      <c r="D20" s="823"/>
      <c r="E20" s="821">
        <v>1.1000000000000001</v>
      </c>
      <c r="F20" s="824" t="s">
        <v>567</v>
      </c>
      <c r="G20" s="825"/>
      <c r="H20" s="817"/>
      <c r="I20" s="817"/>
    </row>
    <row r="21" spans="1:9" s="826" customFormat="1" ht="19.5" customHeight="1">
      <c r="A21" s="3524"/>
      <c r="B21" s="3524"/>
      <c r="C21" s="822" t="s">
        <v>568</v>
      </c>
      <c r="D21" s="823"/>
      <c r="E21" s="821">
        <v>0.8</v>
      </c>
      <c r="F21" s="824" t="s">
        <v>569</v>
      </c>
      <c r="G21" s="825"/>
      <c r="H21" s="817"/>
      <c r="I21" s="817"/>
    </row>
    <row r="22" spans="1:9" s="826" customFormat="1" ht="19.5" customHeight="1">
      <c r="A22" s="3524"/>
      <c r="B22" s="3524"/>
      <c r="C22" s="822" t="s">
        <v>570</v>
      </c>
      <c r="D22" s="823"/>
      <c r="E22" s="821">
        <v>0.5</v>
      </c>
      <c r="F22" s="824"/>
      <c r="G22" s="825"/>
      <c r="H22" s="817"/>
      <c r="I22" s="817"/>
    </row>
    <row r="23" spans="1:9" s="826" customFormat="1" ht="19.5" customHeight="1">
      <c r="A23" s="3524" t="s">
        <v>184</v>
      </c>
      <c r="B23" s="821" t="s">
        <v>560</v>
      </c>
      <c r="C23" s="822" t="s">
        <v>571</v>
      </c>
      <c r="D23" s="823"/>
      <c r="E23" s="821">
        <v>1</v>
      </c>
      <c r="F23" s="824" t="s">
        <v>572</v>
      </c>
      <c r="G23" s="825"/>
      <c r="H23" s="817"/>
      <c r="I23" s="817"/>
    </row>
    <row r="24" spans="1:9" s="826" customFormat="1" ht="19.5" customHeight="1">
      <c r="A24" s="3524"/>
      <c r="B24" s="3524" t="s">
        <v>563</v>
      </c>
      <c r="C24" s="822" t="s">
        <v>573</v>
      </c>
      <c r="D24" s="823"/>
      <c r="E24" s="821">
        <v>0.5</v>
      </c>
      <c r="F24" s="824"/>
      <c r="G24" s="825"/>
      <c r="H24" s="817"/>
      <c r="I24" s="817"/>
    </row>
    <row r="25" spans="1:9" s="826" customFormat="1" ht="19.5" customHeight="1">
      <c r="A25" s="3524"/>
      <c r="B25" s="3524"/>
      <c r="C25" s="822" t="s">
        <v>574</v>
      </c>
      <c r="D25" s="823"/>
      <c r="E25" s="821">
        <v>1.1000000000000001</v>
      </c>
      <c r="F25" s="824"/>
      <c r="G25" s="825"/>
      <c r="H25" s="817"/>
      <c r="I25" s="817"/>
    </row>
    <row r="26" spans="1:9" s="826" customFormat="1" ht="19.5" customHeight="1">
      <c r="A26" s="3524"/>
      <c r="B26" s="3524"/>
      <c r="C26" s="822" t="s">
        <v>575</v>
      </c>
      <c r="D26" s="823"/>
      <c r="E26" s="821">
        <v>1.1000000000000001</v>
      </c>
      <c r="F26" s="824"/>
      <c r="G26" s="825"/>
      <c r="H26" s="817"/>
      <c r="I26" s="817"/>
    </row>
    <row r="27" spans="1:9" s="826" customFormat="1" ht="19.5" customHeight="1">
      <c r="A27" s="3524"/>
      <c r="B27" s="3524"/>
      <c r="C27" s="822" t="s">
        <v>576</v>
      </c>
      <c r="D27" s="823"/>
      <c r="E27" s="821">
        <v>0.9</v>
      </c>
      <c r="F27" s="824" t="s">
        <v>577</v>
      </c>
      <c r="G27" s="825"/>
      <c r="H27" s="817"/>
      <c r="I27" s="817"/>
    </row>
    <row r="28" spans="1:9" s="826" customFormat="1" ht="19.5" customHeight="1">
      <c r="A28" s="3524"/>
      <c r="B28" s="3524"/>
      <c r="C28" s="822" t="s">
        <v>578</v>
      </c>
      <c r="D28" s="823"/>
      <c r="E28" s="821">
        <v>0.9</v>
      </c>
      <c r="F28" s="824" t="s">
        <v>579</v>
      </c>
      <c r="G28" s="825"/>
      <c r="H28" s="817"/>
      <c r="I28" s="817"/>
    </row>
    <row r="29" spans="1:9" s="826" customFormat="1" ht="19.5" customHeight="1">
      <c r="A29" s="3524"/>
      <c r="B29" s="3524"/>
      <c r="C29" s="822" t="s">
        <v>580</v>
      </c>
      <c r="D29" s="823"/>
      <c r="E29" s="821">
        <v>0.9</v>
      </c>
      <c r="F29" s="824" t="s">
        <v>581</v>
      </c>
      <c r="G29" s="825"/>
      <c r="H29" s="817"/>
      <c r="I29" s="817"/>
    </row>
    <row r="30" spans="1:9" s="826" customFormat="1" ht="19.5" customHeight="1">
      <c r="A30" s="3524"/>
      <c r="B30" s="3524"/>
      <c r="C30" s="822" t="s">
        <v>582</v>
      </c>
      <c r="D30" s="823"/>
      <c r="E30" s="821">
        <v>0.9</v>
      </c>
      <c r="F30" s="824" t="s">
        <v>583</v>
      </c>
      <c r="G30" s="825"/>
      <c r="H30" s="817"/>
      <c r="I30" s="817"/>
    </row>
    <row r="31" spans="1:9" s="826" customFormat="1" ht="19.5" customHeight="1">
      <c r="A31" s="3524"/>
      <c r="B31" s="3524"/>
      <c r="C31" s="822" t="s">
        <v>584</v>
      </c>
      <c r="D31" s="823"/>
      <c r="E31" s="821">
        <v>0.8</v>
      </c>
      <c r="F31" s="824" t="s">
        <v>585</v>
      </c>
      <c r="G31" s="825"/>
      <c r="H31" s="817"/>
      <c r="I31" s="817"/>
    </row>
    <row r="32" spans="1:9" s="826" customFormat="1" ht="19.5" customHeight="1">
      <c r="A32" s="3524"/>
      <c r="B32" s="3524"/>
      <c r="C32" s="822" t="s">
        <v>586</v>
      </c>
      <c r="D32" s="823"/>
      <c r="E32" s="821">
        <v>0.8</v>
      </c>
      <c r="F32" s="824" t="s">
        <v>587</v>
      </c>
      <c r="G32" s="825"/>
      <c r="H32" s="817"/>
      <c r="I32" s="817"/>
    </row>
    <row r="33" spans="1:9" s="826" customFormat="1" ht="19.5" customHeight="1">
      <c r="A33" s="3524" t="s">
        <v>185</v>
      </c>
      <c r="B33" s="821" t="s">
        <v>560</v>
      </c>
      <c r="C33" s="822" t="s">
        <v>588</v>
      </c>
      <c r="D33" s="823"/>
      <c r="E33" s="821">
        <v>1</v>
      </c>
      <c r="F33" s="824" t="s">
        <v>589</v>
      </c>
      <c r="G33" s="825"/>
      <c r="H33" s="817"/>
      <c r="I33" s="817"/>
    </row>
    <row r="34" spans="1:9" s="826" customFormat="1" ht="19.5" customHeight="1">
      <c r="A34" s="3524"/>
      <c r="B34" s="821" t="s">
        <v>563</v>
      </c>
      <c r="C34" s="822" t="s">
        <v>590</v>
      </c>
      <c r="D34" s="823"/>
      <c r="E34" s="821">
        <v>1.5</v>
      </c>
      <c r="F34" s="824" t="s">
        <v>591</v>
      </c>
      <c r="G34" s="825"/>
      <c r="H34" s="817"/>
      <c r="I34" s="817"/>
    </row>
    <row r="35" spans="1:9" s="826" customFormat="1" ht="19.5" customHeight="1">
      <c r="A35" s="3524" t="s">
        <v>186</v>
      </c>
      <c r="B35" s="821" t="s">
        <v>560</v>
      </c>
      <c r="C35" s="822" t="s">
        <v>592</v>
      </c>
      <c r="D35" s="823"/>
      <c r="E35" s="821">
        <v>1</v>
      </c>
      <c r="F35" s="824" t="s">
        <v>593</v>
      </c>
      <c r="G35" s="825"/>
      <c r="H35" s="817"/>
      <c r="I35" s="817"/>
    </row>
    <row r="36" spans="1:9" s="826" customFormat="1" ht="19.5" customHeight="1">
      <c r="A36" s="3524"/>
      <c r="B36" s="3524" t="s">
        <v>563</v>
      </c>
      <c r="C36" s="822" t="s">
        <v>594</v>
      </c>
      <c r="D36" s="823"/>
      <c r="E36" s="821">
        <v>1</v>
      </c>
      <c r="F36" s="824" t="s">
        <v>595</v>
      </c>
      <c r="G36" s="825"/>
      <c r="H36" s="817"/>
      <c r="I36" s="817"/>
    </row>
    <row r="37" spans="1:9" s="826" customFormat="1" ht="19.5" customHeight="1">
      <c r="A37" s="3524"/>
      <c r="B37" s="3524"/>
      <c r="C37" s="822" t="s">
        <v>596</v>
      </c>
      <c r="D37" s="823"/>
      <c r="E37" s="821">
        <v>1.5</v>
      </c>
      <c r="F37" s="824" t="s">
        <v>597</v>
      </c>
      <c r="G37" s="825"/>
      <c r="H37" s="817"/>
      <c r="I37" s="817"/>
    </row>
    <row r="38" spans="1:9" s="826" customFormat="1" ht="19.5" customHeight="1">
      <c r="A38" s="3524"/>
      <c r="B38" s="3524"/>
      <c r="C38" s="822" t="s">
        <v>598</v>
      </c>
      <c r="D38" s="823"/>
      <c r="E38" s="821">
        <v>1</v>
      </c>
      <c r="F38" s="824" t="s">
        <v>599</v>
      </c>
      <c r="G38" s="825"/>
      <c r="H38" s="817"/>
      <c r="I38" s="817"/>
    </row>
    <row r="39" spans="1:9" s="826" customFormat="1" ht="19.5" customHeight="1">
      <c r="A39" s="3524"/>
      <c r="B39" s="35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4" t="s">
        <v>614</v>
      </c>
      <c r="C61" s="757" t="s">
        <v>615</v>
      </c>
      <c r="D61" s="757" t="s">
        <v>616</v>
      </c>
      <c r="E61" s="834">
        <v>0.5</v>
      </c>
      <c r="F61" s="821">
        <v>80</v>
      </c>
    </row>
    <row r="62" spans="1:8" s="817" customFormat="1" ht="24">
      <c r="A62" s="821">
        <v>2</v>
      </c>
      <c r="B62" s="3524"/>
      <c r="C62" s="757" t="s">
        <v>617</v>
      </c>
      <c r="D62" s="757" t="s">
        <v>618</v>
      </c>
      <c r="E62" s="834">
        <v>0.5</v>
      </c>
      <c r="F62" s="821">
        <v>80</v>
      </c>
    </row>
    <row r="63" spans="1:8" s="817" customFormat="1" ht="36">
      <c r="A63" s="821">
        <v>3</v>
      </c>
      <c r="B63" s="3524"/>
      <c r="C63" s="757" t="s">
        <v>619</v>
      </c>
      <c r="D63" s="757" t="s">
        <v>620</v>
      </c>
      <c r="E63" s="834">
        <v>0.5</v>
      </c>
      <c r="F63" s="821">
        <v>80</v>
      </c>
    </row>
    <row r="64" spans="1:8" s="817" customFormat="1" ht="36">
      <c r="A64" s="821">
        <v>4</v>
      </c>
      <c r="B64" s="3524"/>
      <c r="C64" s="757" t="s">
        <v>621</v>
      </c>
      <c r="D64" s="757" t="s">
        <v>622</v>
      </c>
      <c r="E64" s="834">
        <v>0.4</v>
      </c>
      <c r="F64" s="821">
        <v>60</v>
      </c>
    </row>
    <row r="65" spans="1:6" s="817" customFormat="1" ht="36">
      <c r="A65" s="821">
        <v>5</v>
      </c>
      <c r="B65" s="3524"/>
      <c r="C65" s="757" t="s">
        <v>623</v>
      </c>
      <c r="D65" s="757" t="s">
        <v>624</v>
      </c>
      <c r="E65" s="834">
        <v>0.2</v>
      </c>
      <c r="F65" s="821">
        <v>30</v>
      </c>
    </row>
    <row r="66" spans="1:6" s="817" customFormat="1" ht="36">
      <c r="A66" s="821">
        <v>6</v>
      </c>
      <c r="B66" s="3524"/>
      <c r="C66" s="757" t="s">
        <v>625</v>
      </c>
      <c r="D66" s="757" t="s">
        <v>626</v>
      </c>
      <c r="E66" s="834">
        <v>0.3</v>
      </c>
      <c r="F66" s="821">
        <v>50</v>
      </c>
    </row>
    <row r="67" spans="1:6" s="817" customFormat="1" ht="36">
      <c r="A67" s="821">
        <v>7</v>
      </c>
      <c r="B67" s="3524"/>
      <c r="C67" s="757" t="s">
        <v>627</v>
      </c>
      <c r="D67" s="757" t="s">
        <v>628</v>
      </c>
      <c r="E67" s="834">
        <v>0.2</v>
      </c>
      <c r="F67" s="821">
        <v>30</v>
      </c>
    </row>
    <row r="68" spans="1:6" s="817" customFormat="1" ht="36">
      <c r="A68" s="821">
        <v>8</v>
      </c>
      <c r="B68" s="3524"/>
      <c r="C68" s="757" t="s">
        <v>629</v>
      </c>
      <c r="D68" s="757" t="s">
        <v>630</v>
      </c>
      <c r="E68" s="834">
        <v>0.2</v>
      </c>
      <c r="F68" s="821">
        <v>30</v>
      </c>
    </row>
    <row r="69" spans="1:6" s="817" customFormat="1" ht="36">
      <c r="A69" s="821">
        <v>9</v>
      </c>
      <c r="B69" s="3524"/>
      <c r="C69" s="757" t="s">
        <v>631</v>
      </c>
      <c r="D69" s="757" t="s">
        <v>632</v>
      </c>
      <c r="E69" s="834">
        <v>0.2</v>
      </c>
      <c r="F69" s="821">
        <v>30</v>
      </c>
    </row>
    <row r="70" spans="1:6" s="817" customFormat="1" ht="48">
      <c r="A70" s="821">
        <v>10</v>
      </c>
      <c r="B70" s="3524"/>
      <c r="C70" s="757" t="s">
        <v>633</v>
      </c>
      <c r="D70" s="757" t="s">
        <v>634</v>
      </c>
      <c r="E70" s="834">
        <v>0.2</v>
      </c>
      <c r="F70" s="821">
        <v>30</v>
      </c>
    </row>
    <row r="71" spans="1:6" s="817" customFormat="1" ht="48">
      <c r="A71" s="821">
        <v>11</v>
      </c>
      <c r="B71" s="3524"/>
      <c r="C71" s="757" t="s">
        <v>635</v>
      </c>
      <c r="D71" s="757" t="s">
        <v>636</v>
      </c>
      <c r="E71" s="834">
        <v>0.2</v>
      </c>
      <c r="F71" s="821">
        <v>30</v>
      </c>
    </row>
    <row r="72" spans="1:6" s="817" customFormat="1" ht="36">
      <c r="A72" s="821">
        <v>12</v>
      </c>
      <c r="B72" s="3524"/>
      <c r="C72" s="757" t="s">
        <v>637</v>
      </c>
      <c r="D72" s="757" t="s">
        <v>638</v>
      </c>
      <c r="E72" s="834">
        <v>0.5</v>
      </c>
      <c r="F72" s="821">
        <v>80</v>
      </c>
    </row>
    <row r="73" spans="1:6" s="817" customFormat="1" ht="24">
      <c r="A73" s="821">
        <v>13</v>
      </c>
      <c r="B73" s="3524"/>
      <c r="C73" s="757" t="s">
        <v>639</v>
      </c>
      <c r="D73" s="757" t="s">
        <v>640</v>
      </c>
      <c r="E73" s="834">
        <v>0.4</v>
      </c>
      <c r="F73" s="821">
        <v>60</v>
      </c>
    </row>
    <row r="74" spans="1:6" s="817" customFormat="1" ht="24">
      <c r="A74" s="821">
        <v>14</v>
      </c>
      <c r="B74" s="3524"/>
      <c r="C74" s="757" t="s">
        <v>641</v>
      </c>
      <c r="D74" s="757" t="s">
        <v>642</v>
      </c>
      <c r="E74" s="834">
        <v>0.2</v>
      </c>
      <c r="F74" s="821">
        <v>30</v>
      </c>
    </row>
    <row r="75" spans="1:6" s="817" customFormat="1" ht="24">
      <c r="A75" s="821">
        <v>15</v>
      </c>
      <c r="B75" s="3524"/>
      <c r="C75" s="757" t="s">
        <v>643</v>
      </c>
      <c r="D75" s="757" t="s">
        <v>644</v>
      </c>
      <c r="E75" s="834">
        <v>0.2</v>
      </c>
      <c r="F75" s="821">
        <v>30</v>
      </c>
    </row>
    <row r="76" spans="1:6" s="817" customFormat="1" ht="24">
      <c r="A76" s="821">
        <v>16</v>
      </c>
      <c r="B76" s="3524" t="s">
        <v>645</v>
      </c>
      <c r="C76" s="757" t="s">
        <v>646</v>
      </c>
      <c r="D76" s="757" t="s">
        <v>647</v>
      </c>
      <c r="E76" s="834">
        <v>0.5</v>
      </c>
      <c r="F76" s="821">
        <v>80</v>
      </c>
    </row>
    <row r="77" spans="1:6" s="817" customFormat="1" ht="24">
      <c r="A77" s="821">
        <v>17</v>
      </c>
      <c r="B77" s="3524"/>
      <c r="C77" s="757" t="s">
        <v>648</v>
      </c>
      <c r="D77" s="757" t="s">
        <v>649</v>
      </c>
      <c r="E77" s="834">
        <v>0.5</v>
      </c>
      <c r="F77" s="821">
        <v>80</v>
      </c>
    </row>
    <row r="78" spans="1:6" s="817" customFormat="1" ht="24">
      <c r="A78" s="821">
        <v>18</v>
      </c>
      <c r="B78" s="3524"/>
      <c r="C78" s="757" t="s">
        <v>650</v>
      </c>
      <c r="D78" s="757" t="s">
        <v>651</v>
      </c>
      <c r="E78" s="834">
        <v>0.2</v>
      </c>
      <c r="F78" s="821">
        <v>30</v>
      </c>
    </row>
    <row r="79" spans="1:6" s="817" customFormat="1" ht="24">
      <c r="A79" s="821">
        <v>19</v>
      </c>
      <c r="B79" s="3524"/>
      <c r="C79" s="757" t="s">
        <v>652</v>
      </c>
      <c r="D79" s="757" t="s">
        <v>653</v>
      </c>
      <c r="E79" s="834">
        <v>0.5</v>
      </c>
      <c r="F79" s="821">
        <v>80</v>
      </c>
    </row>
    <row r="80" spans="1:6" s="817" customFormat="1" ht="36">
      <c r="A80" s="821">
        <v>20</v>
      </c>
      <c r="B80" s="3524"/>
      <c r="C80" s="757" t="s">
        <v>654</v>
      </c>
      <c r="D80" s="757" t="s">
        <v>655</v>
      </c>
      <c r="E80" s="834">
        <v>0.2</v>
      </c>
      <c r="F80" s="821">
        <v>30</v>
      </c>
    </row>
    <row r="81" spans="1:6" s="817" customFormat="1" ht="36">
      <c r="A81" s="821">
        <v>21</v>
      </c>
      <c r="B81" s="3524"/>
      <c r="C81" s="757" t="s">
        <v>656</v>
      </c>
      <c r="D81" s="757" t="s">
        <v>657</v>
      </c>
      <c r="E81" s="834">
        <v>0.2</v>
      </c>
      <c r="F81" s="821">
        <v>30</v>
      </c>
    </row>
    <row r="82" spans="1:6" s="817" customFormat="1" ht="48">
      <c r="A82" s="821">
        <v>22</v>
      </c>
      <c r="B82" s="3524"/>
      <c r="C82" s="757" t="s">
        <v>658</v>
      </c>
      <c r="D82" s="757" t="s">
        <v>659</v>
      </c>
      <c r="E82" s="834">
        <v>0.2</v>
      </c>
      <c r="F82" s="821">
        <v>30</v>
      </c>
    </row>
    <row r="83" spans="1:6" s="817" customFormat="1" ht="48">
      <c r="A83" s="821">
        <v>23</v>
      </c>
      <c r="B83" s="3524"/>
      <c r="C83" s="757" t="s">
        <v>660</v>
      </c>
      <c r="D83" s="757" t="s">
        <v>661</v>
      </c>
      <c r="E83" s="834">
        <v>0.2</v>
      </c>
      <c r="F83" s="821">
        <v>30</v>
      </c>
    </row>
    <row r="84" spans="1:6" s="817" customFormat="1" ht="36">
      <c r="A84" s="821">
        <v>24</v>
      </c>
      <c r="B84" s="3524"/>
      <c r="C84" s="757" t="s">
        <v>662</v>
      </c>
      <c r="D84" s="757" t="s">
        <v>663</v>
      </c>
      <c r="E84" s="834">
        <v>0.2</v>
      </c>
      <c r="F84" s="821">
        <v>30</v>
      </c>
    </row>
    <row r="85" spans="1:6" s="817" customFormat="1" ht="36">
      <c r="A85" s="821">
        <v>25</v>
      </c>
      <c r="B85" s="3524"/>
      <c r="C85" s="757" t="s">
        <v>664</v>
      </c>
      <c r="D85" s="757" t="s">
        <v>665</v>
      </c>
      <c r="E85" s="834">
        <v>0.5</v>
      </c>
      <c r="F85" s="821">
        <v>80</v>
      </c>
    </row>
    <row r="86" spans="1:6" s="817" customFormat="1" ht="36">
      <c r="A86" s="821">
        <v>26</v>
      </c>
      <c r="B86" s="3524"/>
      <c r="C86" s="757" t="s">
        <v>666</v>
      </c>
      <c r="D86" s="757" t="s">
        <v>667</v>
      </c>
      <c r="E86" s="834">
        <v>0.2</v>
      </c>
      <c r="F86" s="821">
        <v>30</v>
      </c>
    </row>
    <row r="87" spans="1:6" s="817" customFormat="1" ht="36">
      <c r="A87" s="821">
        <v>27</v>
      </c>
      <c r="B87" s="3524"/>
      <c r="C87" s="757" t="s">
        <v>668</v>
      </c>
      <c r="D87" s="757" t="s">
        <v>669</v>
      </c>
      <c r="E87" s="834">
        <v>0.2</v>
      </c>
      <c r="F87" s="821">
        <v>30</v>
      </c>
    </row>
    <row r="88" spans="1:6" s="817" customFormat="1" ht="36">
      <c r="A88" s="821">
        <v>28</v>
      </c>
      <c r="B88" s="3524"/>
      <c r="C88" s="757" t="s">
        <v>670</v>
      </c>
      <c r="D88" s="757" t="s">
        <v>671</v>
      </c>
      <c r="E88" s="834">
        <v>0.2</v>
      </c>
      <c r="F88" s="821">
        <v>30</v>
      </c>
    </row>
    <row r="89" spans="1:6" s="817" customFormat="1" ht="24">
      <c r="A89" s="821">
        <v>29</v>
      </c>
      <c r="B89" s="3524"/>
      <c r="C89" s="757" t="s">
        <v>672</v>
      </c>
      <c r="D89" s="757" t="s">
        <v>673</v>
      </c>
      <c r="E89" s="834">
        <v>0.2</v>
      </c>
      <c r="F89" s="821">
        <v>30</v>
      </c>
    </row>
    <row r="90" spans="1:6" s="817" customFormat="1" ht="24">
      <c r="A90" s="821">
        <v>30</v>
      </c>
      <c r="B90" s="3524"/>
      <c r="C90" s="757" t="s">
        <v>674</v>
      </c>
      <c r="D90" s="757" t="s">
        <v>675</v>
      </c>
      <c r="E90" s="834">
        <v>0.2</v>
      </c>
      <c r="F90" s="821">
        <v>30</v>
      </c>
    </row>
    <row r="91" spans="1:6" s="817" customFormat="1" ht="36">
      <c r="A91" s="821">
        <v>31</v>
      </c>
      <c r="B91" s="3524"/>
      <c r="C91" s="757" t="s">
        <v>676</v>
      </c>
      <c r="D91" s="757" t="s">
        <v>677</v>
      </c>
      <c r="E91" s="834">
        <v>0.2</v>
      </c>
      <c r="F91" s="821">
        <v>30</v>
      </c>
    </row>
    <row r="92" spans="1:6" s="817" customFormat="1" ht="24">
      <c r="A92" s="821">
        <v>32</v>
      </c>
      <c r="B92" s="3524" t="s">
        <v>678</v>
      </c>
      <c r="C92" s="821" t="s">
        <v>679</v>
      </c>
      <c r="D92" s="757" t="s">
        <v>680</v>
      </c>
      <c r="E92" s="834">
        <v>0.2</v>
      </c>
      <c r="F92" s="821">
        <v>30</v>
      </c>
    </row>
    <row r="93" spans="1:6" s="817" customFormat="1" ht="36">
      <c r="A93" s="821">
        <v>33</v>
      </c>
      <c r="B93" s="3524"/>
      <c r="C93" s="821" t="s">
        <v>681</v>
      </c>
      <c r="D93" s="757" t="s">
        <v>682</v>
      </c>
      <c r="E93" s="834">
        <v>0.2</v>
      </c>
      <c r="F93" s="821">
        <v>30</v>
      </c>
    </row>
    <row r="94" spans="1:6" s="817" customFormat="1" ht="48">
      <c r="A94" s="821">
        <v>34</v>
      </c>
      <c r="B94" s="3524"/>
      <c r="C94" s="821" t="s">
        <v>683</v>
      </c>
      <c r="D94" s="757" t="s">
        <v>684</v>
      </c>
      <c r="E94" s="834">
        <v>0.2</v>
      </c>
      <c r="F94" s="821">
        <v>30</v>
      </c>
    </row>
    <row r="95" spans="1:6" s="817" customFormat="1" ht="36">
      <c r="A95" s="821">
        <v>35</v>
      </c>
      <c r="B95" s="3524"/>
      <c r="C95" s="821" t="s">
        <v>685</v>
      </c>
      <c r="D95" s="757" t="s">
        <v>686</v>
      </c>
      <c r="E95" s="834">
        <v>0.2</v>
      </c>
      <c r="F95" s="821">
        <v>30</v>
      </c>
    </row>
    <row r="96" spans="1:6" s="817" customFormat="1" ht="48">
      <c r="A96" s="821">
        <v>36</v>
      </c>
      <c r="B96" s="3524"/>
      <c r="C96" s="757" t="s">
        <v>687</v>
      </c>
      <c r="D96" s="757" t="s">
        <v>688</v>
      </c>
      <c r="E96" s="834">
        <v>0.2</v>
      </c>
      <c r="F96" s="821">
        <v>30</v>
      </c>
    </row>
    <row r="97" spans="1:6" s="817" customFormat="1" ht="36">
      <c r="A97" s="821">
        <v>37</v>
      </c>
      <c r="B97" s="3524"/>
      <c r="C97" s="821" t="s">
        <v>689</v>
      </c>
      <c r="D97" s="757" t="s">
        <v>690</v>
      </c>
      <c r="E97" s="834">
        <v>0.2</v>
      </c>
      <c r="F97" s="821">
        <v>30</v>
      </c>
    </row>
    <row r="98" spans="1:6" s="817" customFormat="1" ht="36">
      <c r="A98" s="821">
        <v>38</v>
      </c>
      <c r="B98" s="3524"/>
      <c r="C98" s="821" t="s">
        <v>691</v>
      </c>
      <c r="D98" s="757" t="s">
        <v>692</v>
      </c>
      <c r="E98" s="834">
        <v>0.2</v>
      </c>
      <c r="F98" s="821">
        <v>30</v>
      </c>
    </row>
    <row r="99" spans="1:6" s="817" customFormat="1" ht="36">
      <c r="A99" s="821">
        <v>39</v>
      </c>
      <c r="B99" s="3524" t="s">
        <v>693</v>
      </c>
      <c r="C99" s="821" t="s">
        <v>694</v>
      </c>
      <c r="D99" s="757" t="s">
        <v>695</v>
      </c>
      <c r="E99" s="834">
        <v>0.3</v>
      </c>
      <c r="F99" s="821">
        <v>50</v>
      </c>
    </row>
    <row r="100" spans="1:6" s="817" customFormat="1" ht="24">
      <c r="A100" s="821">
        <v>40</v>
      </c>
      <c r="B100" s="3524"/>
      <c r="C100" s="821" t="s">
        <v>696</v>
      </c>
      <c r="D100" s="757" t="s">
        <v>697</v>
      </c>
      <c r="E100" s="834">
        <v>0.2</v>
      </c>
      <c r="F100" s="821">
        <v>30</v>
      </c>
    </row>
    <row r="101" spans="1:6" s="817" customFormat="1" ht="36">
      <c r="A101" s="821">
        <v>41</v>
      </c>
      <c r="B101" s="35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4" t="s">
        <v>708</v>
      </c>
      <c r="C105" s="821" t="s">
        <v>709</v>
      </c>
      <c r="D105" s="757" t="s">
        <v>710</v>
      </c>
      <c r="E105" s="834">
        <v>0.2</v>
      </c>
      <c r="F105" s="821">
        <v>30</v>
      </c>
    </row>
    <row r="106" spans="1:6" s="817" customFormat="1" ht="36">
      <c r="A106" s="821">
        <v>46</v>
      </c>
      <c r="B106" s="3524"/>
      <c r="C106" s="821" t="s">
        <v>711</v>
      </c>
      <c r="D106" s="757" t="s">
        <v>712</v>
      </c>
      <c r="E106" s="834">
        <v>0.2</v>
      </c>
      <c r="F106" s="821">
        <v>30</v>
      </c>
    </row>
    <row r="107" spans="1:6" s="817" customFormat="1" ht="36">
      <c r="A107" s="821">
        <v>47</v>
      </c>
      <c r="B107" s="3524" t="s">
        <v>713</v>
      </c>
      <c r="C107" s="821" t="s">
        <v>714</v>
      </c>
      <c r="D107" s="757" t="s">
        <v>715</v>
      </c>
      <c r="E107" s="834">
        <v>0.3</v>
      </c>
      <c r="F107" s="821">
        <v>50</v>
      </c>
    </row>
    <row r="108" spans="1:6" s="817" customFormat="1" ht="36">
      <c r="A108" s="821">
        <v>48</v>
      </c>
      <c r="B108" s="35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4" t="s">
        <v>724</v>
      </c>
      <c r="C111" s="821" t="s">
        <v>725</v>
      </c>
      <c r="D111" s="757" t="s">
        <v>726</v>
      </c>
      <c r="E111" s="834">
        <v>0.2</v>
      </c>
      <c r="F111" s="821">
        <v>30</v>
      </c>
    </row>
    <row r="112" spans="1:6" s="817" customFormat="1" ht="24">
      <c r="A112" s="821">
        <v>52</v>
      </c>
      <c r="B112" s="3524"/>
      <c r="C112" s="821" t="s">
        <v>727</v>
      </c>
      <c r="D112" s="757" t="s">
        <v>728</v>
      </c>
      <c r="E112" s="834">
        <v>0.2</v>
      </c>
      <c r="F112" s="821">
        <v>30</v>
      </c>
    </row>
    <row r="113" spans="1:6" s="817" customFormat="1" ht="24">
      <c r="A113" s="821">
        <v>53</v>
      </c>
      <c r="B113" s="35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4" t="s">
        <v>737</v>
      </c>
      <c r="C116" s="821" t="s">
        <v>738</v>
      </c>
      <c r="D116" s="757" t="s">
        <v>739</v>
      </c>
      <c r="E116" s="834">
        <v>0.2</v>
      </c>
      <c r="F116" s="821">
        <v>30</v>
      </c>
    </row>
    <row r="117" spans="1:6" ht="36">
      <c r="A117" s="821">
        <v>57</v>
      </c>
      <c r="B117" s="35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0" t="s">
        <v>1058</v>
      </c>
      <c r="C1" s="3530"/>
      <c r="D1" s="3530"/>
      <c r="E1" s="3530"/>
      <c r="F1" s="3530"/>
      <c r="G1" s="3529" t="s">
        <v>1059</v>
      </c>
      <c r="H1" s="3529"/>
      <c r="I1" s="3529"/>
      <c r="J1" s="3529"/>
      <c r="K1" s="3529"/>
      <c r="L1" s="3529"/>
      <c r="N1" s="3529" t="s">
        <v>1060</v>
      </c>
      <c r="O1" s="3529"/>
      <c r="P1" s="3529"/>
      <c r="Q1" s="3529"/>
      <c r="S1" s="3529" t="s">
        <v>1061</v>
      </c>
      <c r="T1" s="3529"/>
      <c r="U1" s="3529"/>
      <c r="V1" s="3529"/>
      <c r="X1" s="3528" t="s">
        <v>1062</v>
      </c>
      <c r="Y1" s="3529"/>
      <c r="Z1" s="3529"/>
      <c r="AA1" s="3529"/>
      <c r="AB1" s="3529"/>
      <c r="AD1" s="3528" t="s">
        <v>1063</v>
      </c>
      <c r="AE1" s="3529"/>
      <c r="AF1" s="3529"/>
      <c r="AG1" s="3529"/>
      <c r="AH1" s="352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9" t="s">
        <v>2766</v>
      </c>
      <c r="D1" s="3540"/>
      <c r="E1" s="3540"/>
      <c r="F1" s="3540"/>
      <c r="G1" s="3540"/>
      <c r="H1" s="3540"/>
      <c r="I1" s="3540"/>
      <c r="J1" s="3540"/>
      <c r="K1" s="3540"/>
      <c r="L1" s="3540"/>
      <c r="M1" s="3540"/>
      <c r="N1" s="3540"/>
      <c r="O1" s="3540"/>
      <c r="P1" s="3540"/>
      <c r="Q1" s="3540"/>
      <c r="R1" s="3540"/>
      <c r="S1" s="354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6" t="s">
        <v>33</v>
      </c>
      <c r="D22" s="3537"/>
      <c r="E22" s="3537"/>
      <c r="F22" s="3537"/>
      <c r="G22" s="3537"/>
      <c r="H22" s="3537"/>
      <c r="I22" s="3537"/>
      <c r="J22" s="3537"/>
      <c r="K22" s="3537"/>
      <c r="L22" s="3537"/>
      <c r="M22" s="3537"/>
      <c r="N22" s="3537"/>
      <c r="O22" s="3537"/>
      <c r="P22" s="3537"/>
      <c r="Q22" s="353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8"/>
      <c r="B4" s="3213" t="s">
        <v>1535</v>
      </c>
      <c r="C4" s="3213"/>
      <c r="D4" s="3213"/>
      <c r="E4" s="1648"/>
    </row>
    <row r="5" spans="1:5" ht="16.5" thickTop="1">
      <c r="A5" s="1646"/>
      <c r="B5" s="3211" t="s">
        <v>1527</v>
      </c>
      <c r="C5" s="1649" t="s">
        <v>1528</v>
      </c>
      <c r="D5" s="959">
        <f ca="1">结果表!H101</f>
        <v>57147</v>
      </c>
      <c r="E5" s="1646"/>
    </row>
    <row r="6" spans="1:5" ht="15.75">
      <c r="A6" s="1646"/>
      <c r="B6" s="3211"/>
      <c r="C6" s="1649" t="s">
        <v>1529</v>
      </c>
      <c r="D6" s="959" t="str">
        <f ca="1">NUMBERSTRING(INT(D5*10000),2)&amp;"元整"</f>
        <v>伍亿柒仟壹佰肆拾柒万元整</v>
      </c>
      <c r="E6" s="1646"/>
    </row>
    <row r="7" spans="1:5" ht="15.75">
      <c r="A7" s="1646"/>
      <c r="B7" s="3216"/>
      <c r="C7" s="1650" t="s">
        <v>1530</v>
      </c>
      <c r="D7" s="960">
        <f ca="1">结果表!H102</f>
        <v>7596</v>
      </c>
      <c r="E7" s="1646"/>
    </row>
    <row r="8" spans="1:5" ht="15.75">
      <c r="A8" s="1646"/>
      <c r="B8" s="3217" t="str">
        <f>结果表!E103</f>
        <v>2.估价师知悉的法定优先受偿款</v>
      </c>
      <c r="C8" s="1651" t="s">
        <v>1531</v>
      </c>
      <c r="D8" s="960">
        <f>结果表!H103</f>
        <v>0</v>
      </c>
      <c r="E8" s="1646"/>
    </row>
    <row r="9" spans="1:5" ht="15.75">
      <c r="A9" s="1646"/>
      <c r="B9" s="321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0" t="str">
        <f>结果表!E107</f>
        <v>3.房地产抵押价值</v>
      </c>
      <c r="C13" s="1654" t="s">
        <v>1528</v>
      </c>
      <c r="D13" s="962">
        <f ca="1">结果表!H107</f>
        <v>57147</v>
      </c>
      <c r="E13" s="1646"/>
    </row>
    <row r="14" spans="1:5" ht="15.75">
      <c r="A14" s="1646"/>
      <c r="B14" s="3211"/>
      <c r="C14" s="1649" t="s">
        <v>1529</v>
      </c>
      <c r="D14" s="959" t="str">
        <f ca="1">NUMBERSTRING(INT(D13*10000),2)&amp;"元整"</f>
        <v>伍亿柒仟壹佰肆拾柒万元整</v>
      </c>
      <c r="E14" s="1646"/>
    </row>
    <row r="15" spans="1:5" ht="15">
      <c r="A15" s="1646"/>
      <c r="B15" s="3216"/>
      <c r="C15" s="1650" t="s">
        <v>1539</v>
      </c>
      <c r="D15" s="968">
        <f ca="1">结果表!H108</f>
        <v>7596</v>
      </c>
      <c r="E15" s="1646"/>
    </row>
    <row r="16" spans="1:5" ht="15">
      <c r="A16" s="1646"/>
      <c r="B16" s="3217" t="str">
        <f>结果表!E109</f>
        <v>——</v>
      </c>
      <c r="C16" s="1654" t="s">
        <v>1540</v>
      </c>
      <c r="D16" s="1655" t="str">
        <f>结果表!H109</f>
        <v>——</v>
      </c>
      <c r="E16" s="1646"/>
    </row>
    <row r="17" spans="1:5" ht="15.75">
      <c r="A17" s="1646"/>
      <c r="B17" s="3218"/>
      <c r="C17" s="1649" t="s">
        <v>1541</v>
      </c>
      <c r="D17" s="959" t="e">
        <f>NUMBERSTRING(INT(D16*10000),2)&amp;"元整"</f>
        <v>#VALUE!</v>
      </c>
      <c r="E17" s="1646"/>
    </row>
    <row r="18" spans="1:5" ht="15">
      <c r="A18" s="1646"/>
      <c r="B18" s="3219"/>
      <c r="C18" s="1650" t="s">
        <v>1530</v>
      </c>
      <c r="D18" s="968" t="str">
        <f>结果表!H110</f>
        <v>——</v>
      </c>
      <c r="E18" s="1646"/>
    </row>
    <row r="19" spans="1:5" ht="15.75">
      <c r="A19" s="1646"/>
      <c r="B19" s="3210" t="str">
        <f>结果表!E111</f>
        <v>——</v>
      </c>
      <c r="C19" s="1654" t="s">
        <v>1528</v>
      </c>
      <c r="D19" s="960" t="str">
        <f>结果表!H111</f>
        <v>——</v>
      </c>
      <c r="E19" s="1646"/>
    </row>
    <row r="20" spans="1:5" ht="15.75">
      <c r="A20" s="1646"/>
      <c r="B20" s="3211"/>
      <c r="C20" s="1649" t="s">
        <v>1541</v>
      </c>
      <c r="D20" s="959" t="e">
        <f>NUMBERSTRING(INT(D19*10000),2)&amp;"元整"</f>
        <v>#VALUE!</v>
      </c>
      <c r="E20" s="1646"/>
    </row>
    <row r="21" spans="1:5" ht="15.75" thickBot="1">
      <c r="A21" s="1646"/>
      <c r="B21" s="321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398" t="s">
        <v>121</v>
      </c>
    </row>
    <row r="43" spans="1:7" ht="13.5" customHeight="1">
      <c r="A43" s="888" t="s">
        <v>792</v>
      </c>
      <c r="B43" s="221" t="s">
        <v>1032</v>
      </c>
      <c r="C43" s="244">
        <f ca="1">ROUND(IF('数据-取费表'!B22&lt;=1,C39*F22*'数据-取费表'!B21/2,C39*(POWER((1+F22),'数据-取费表'!B21/2)-1)),0)</f>
        <v>35</v>
      </c>
      <c r="D43" s="244"/>
      <c r="E43" s="244"/>
      <c r="F43" s="245"/>
      <c r="G43" s="3399"/>
    </row>
    <row r="44" spans="1:7" ht="13.5" customHeight="1">
      <c r="A44" s="888" t="s">
        <v>793</v>
      </c>
      <c r="B44" s="221" t="s">
        <v>1034</v>
      </c>
      <c r="C44" s="244">
        <f ca="1">ROUND(IF('数据-取费表'!B22&lt;=1,C40*F22*'数据-取费表'!B21/2,C40*(POWER((1+F22),'数据-取费表'!B21/2)-1)),4)</f>
        <v>1.1000000000000001E-3</v>
      </c>
      <c r="D44" s="244"/>
      <c r="E44" s="244"/>
      <c r="F44" s="245"/>
      <c r="G44" s="3400"/>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5"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2" t="s">
        <v>156</v>
      </c>
      <c r="B1" s="3542"/>
      <c r="C1" s="3542"/>
      <c r="D1" s="3542"/>
      <c r="E1" s="3542"/>
      <c r="F1" s="35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3" t="s">
        <v>169</v>
      </c>
      <c r="B2" s="3543"/>
      <c r="C2" s="3543"/>
      <c r="D2" s="3543"/>
      <c r="E2" s="3543"/>
      <c r="F2" s="35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2" t="s">
        <v>839</v>
      </c>
      <c r="B1" s="35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1546</v>
      </c>
      <c r="B2" s="3230" t="s">
        <v>1547</v>
      </c>
      <c r="C2" s="3230" t="s">
        <v>1548</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24"/>
      <c r="B3" s="3224"/>
      <c r="C3" s="3224"/>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t="e">
        <f ca="1">结果表!D118</f>
        <v>#REF!</v>
      </c>
      <c r="E4" s="963" t="e">
        <f ca="1">结果表!E118</f>
        <v>#REF!</v>
      </c>
      <c r="F4" s="963" t="e">
        <f ca="1">结果表!F118</f>
        <v>#REF!</v>
      </c>
      <c r="G4" s="963" t="e">
        <f ca="1">结果表!G118</f>
        <v>#REF!</v>
      </c>
      <c r="H4" s="963">
        <f ca="1">结果表!H118</f>
        <v>57147</v>
      </c>
      <c r="I4" s="963">
        <f ca="1">结果表!I118</f>
        <v>7596</v>
      </c>
    </row>
    <row r="5" spans="1:9" ht="30" customHeight="1">
      <c r="A5" s="3224" t="s">
        <v>1545</v>
      </c>
      <c r="B5" s="3224"/>
      <c r="C5" s="3224"/>
      <c r="D5" s="3225" t="e">
        <f ca="1">结果表!D119</f>
        <v>#REF!</v>
      </c>
      <c r="E5" s="3225"/>
      <c r="F5" s="3225" t="e">
        <f ca="1">结果表!F119</f>
        <v>#REF!</v>
      </c>
      <c r="G5" s="3225"/>
      <c r="H5" s="3225" t="str">
        <f ca="1">结果表!H119</f>
        <v>伍亿柒仟壹佰肆拾柒万元整</v>
      </c>
      <c r="I5" s="3225"/>
    </row>
    <row r="6" spans="1:9" ht="15.75">
      <c r="A6" s="3223" t="str">
        <f>结果表!A120</f>
        <v>估价师知悉的法定优先受偿款</v>
      </c>
      <c r="B6" s="3223"/>
      <c r="C6" s="3223"/>
      <c r="D6" s="3223">
        <f>结果表!D120</f>
        <v>0</v>
      </c>
      <c r="E6" s="3223"/>
      <c r="F6" s="3223"/>
      <c r="G6" s="3223"/>
      <c r="H6" s="3223"/>
      <c r="I6" s="3223"/>
    </row>
    <row r="7" spans="1:9" ht="15">
      <c r="A7" s="3224" t="s">
        <v>1545</v>
      </c>
      <c r="B7" s="3224"/>
      <c r="C7" s="3224"/>
      <c r="D7" s="3226" t="str">
        <f>结果表!D121</f>
        <v>零元整</v>
      </c>
      <c r="E7" s="3227"/>
      <c r="F7" s="3227"/>
      <c r="G7" s="3227"/>
      <c r="H7" s="3227"/>
      <c r="I7" s="3228"/>
    </row>
    <row r="8" spans="1:9" ht="15.75">
      <c r="A8" s="3223" t="str">
        <f>结果表!A122</f>
        <v>房地产抵押价值</v>
      </c>
      <c r="B8" s="3223"/>
      <c r="C8" s="3223"/>
      <c r="D8" s="3223">
        <f ca="1">结果表!D122</f>
        <v>57147</v>
      </c>
      <c r="E8" s="3223"/>
      <c r="F8" s="3223"/>
      <c r="G8" s="3223"/>
      <c r="H8" s="3223"/>
      <c r="I8" s="3223"/>
    </row>
    <row r="9" spans="1:9" ht="15">
      <c r="A9" s="3224" t="s">
        <v>1545</v>
      </c>
      <c r="B9" s="3224"/>
      <c r="C9" s="3224"/>
      <c r="D9" s="3225" t="str">
        <f ca="1">结果表!D123</f>
        <v>伍亿柒仟壹佰肆拾柒万元整</v>
      </c>
      <c r="E9" s="3225"/>
      <c r="F9" s="3225"/>
      <c r="G9" s="3225"/>
      <c r="H9" s="3225"/>
      <c r="I9" s="3225"/>
    </row>
    <row r="10" spans="1:9" ht="15.75">
      <c r="A10" s="3223" t="str">
        <f>结果表!A124</f>
        <v/>
      </c>
      <c r="B10" s="3223"/>
      <c r="C10" s="3223"/>
      <c r="D10" s="3223" t="str">
        <f>结果表!D124</f>
        <v>——</v>
      </c>
      <c r="E10" s="3223"/>
      <c r="F10" s="3223"/>
      <c r="G10" s="3223"/>
      <c r="H10" s="3223"/>
      <c r="I10" s="3223"/>
    </row>
    <row r="11" spans="1:9" ht="15">
      <c r="A11" s="3224" t="s">
        <v>1545</v>
      </c>
      <c r="B11" s="3224"/>
      <c r="C11" s="3224"/>
      <c r="D11" s="3225" t="e">
        <f>结果表!D125</f>
        <v>#VALUE!</v>
      </c>
      <c r="E11" s="3225"/>
      <c r="F11" s="3225"/>
      <c r="G11" s="3225"/>
      <c r="H11" s="3225"/>
      <c r="I11" s="3225"/>
    </row>
    <row r="12" spans="1:9" ht="15.75">
      <c r="A12" s="3223" t="str">
        <f>结果表!A126</f>
        <v/>
      </c>
      <c r="B12" s="3223"/>
      <c r="C12" s="3223"/>
      <c r="D12" s="3223" t="str">
        <f>结果表!D126</f>
        <v>——</v>
      </c>
      <c r="E12" s="3223"/>
      <c r="F12" s="3223"/>
      <c r="G12" s="3223"/>
      <c r="H12" s="3223"/>
      <c r="I12" s="3223"/>
    </row>
    <row r="13" spans="1:9" ht="15.75" thickBot="1">
      <c r="A13" s="3220" t="s">
        <v>1545</v>
      </c>
      <c r="B13" s="3220"/>
      <c r="C13" s="3220"/>
      <c r="D13" s="3221" t="e">
        <f>结果表!D127</f>
        <v>#VALUE!</v>
      </c>
      <c r="E13" s="3221"/>
      <c r="F13" s="3221"/>
      <c r="G13" s="3221"/>
      <c r="H13" s="3221"/>
      <c r="I13" s="3221"/>
    </row>
    <row r="14" spans="1:9" ht="15" thickTop="1">
      <c r="A14" s="3222" t="s">
        <v>1550</v>
      </c>
      <c r="B14" s="3222"/>
      <c r="C14" s="3222"/>
      <c r="D14" s="3222"/>
      <c r="E14" s="3222"/>
      <c r="F14" s="3222"/>
      <c r="G14" s="3222"/>
      <c r="H14" s="3222"/>
      <c r="I14" s="322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7" t="s">
        <v>1567</v>
      </c>
      <c r="B1" s="3237"/>
      <c r="C1" s="3237"/>
      <c r="D1" s="3237"/>
    </row>
    <row r="2" spans="1:4" ht="18">
      <c r="A2" s="3238" t="s">
        <v>1551</v>
      </c>
      <c r="B2" s="3238"/>
      <c r="C2" s="3238"/>
      <c r="D2" s="3238"/>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8" t="s">
        <v>1557</v>
      </c>
      <c r="B6" s="3238"/>
      <c r="C6" s="3238"/>
      <c r="D6" s="3238"/>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9" t="s">
        <v>1560</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1" t="str">
        <f>IF(项目基本情况!B8="抵押","4.本次评估估价师所知悉的法定优先受偿款情况说明如下：","——")</f>
        <v>4.本次评估估价师所知悉的法定优先受偿款情况说明如下：</v>
      </c>
      <c r="B14" s="3236"/>
      <c r="C14" s="3236"/>
      <c r="D14" s="3236"/>
    </row>
    <row r="15" spans="1:4" ht="42" customHeight="1">
      <c r="A15" s="32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3" t="s">
        <v>1561</v>
      </c>
      <c r="B16" s="3233"/>
      <c r="C16" s="3233"/>
      <c r="D16" s="3233"/>
    </row>
    <row r="17" spans="1:4" ht="144" customHeight="1">
      <c r="A17" s="3233" t="s">
        <v>1562</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4"/>
      <c r="C21" s="3234"/>
      <c r="D21" s="3234"/>
    </row>
    <row r="22" spans="1:4" ht="18.75" customHeight="1">
      <c r="A22" s="3235" t="s">
        <v>1563</v>
      </c>
      <c r="B22" s="3235"/>
      <c r="C22" s="3235"/>
      <c r="D22" s="3235"/>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5" t="s">
        <v>1574</v>
      </c>
      <c r="B15" s="3240" t="s">
        <v>136</v>
      </c>
      <c r="C15" s="3241"/>
    </row>
    <row r="16" spans="1:7" ht="13.5">
      <c r="A16" s="3246"/>
      <c r="B16" s="3240" t="s">
        <v>69</v>
      </c>
      <c r="C16" s="3241"/>
    </row>
    <row r="17" spans="1:3" ht="13.5">
      <c r="A17" s="3246"/>
      <c r="B17" s="3243" t="s">
        <v>1575</v>
      </c>
      <c r="C17" s="1687" t="s">
        <v>1574</v>
      </c>
    </row>
    <row r="18" spans="1:3" ht="13.5">
      <c r="A18" s="3246"/>
      <c r="B18" s="3243"/>
      <c r="C18" s="1687" t="s">
        <v>1576</v>
      </c>
    </row>
    <row r="19" spans="1:3" ht="13.5">
      <c r="A19" s="3246"/>
      <c r="B19" s="3243"/>
      <c r="C19" s="1687" t="s">
        <v>1577</v>
      </c>
    </row>
    <row r="20" spans="1:3" ht="13.5">
      <c r="A20" s="3247"/>
      <c r="B20" s="3242" t="s">
        <v>1578</v>
      </c>
      <c r="C20" s="3241"/>
    </row>
    <row r="21" spans="1:3" ht="13.5">
      <c r="A21" s="1688" t="s">
        <v>1579</v>
      </c>
      <c r="B21" s="1689"/>
      <c r="C21" s="1690"/>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7" t="s">
        <v>1585</v>
      </c>
    </row>
    <row r="26" spans="1:3" ht="13.5">
      <c r="A26" s="3244"/>
      <c r="B26" s="3243"/>
      <c r="C26" s="1687" t="s">
        <v>1586</v>
      </c>
    </row>
    <row r="27" spans="1:3" ht="13.5">
      <c r="A27" s="3244"/>
      <c r="B27" s="3243"/>
      <c r="C27" s="1687" t="s">
        <v>1587</v>
      </c>
    </row>
    <row r="28" spans="1:3" ht="13.5">
      <c r="A28" s="3244"/>
      <c r="B28" s="3243"/>
      <c r="C28" s="1687" t="s">
        <v>1588</v>
      </c>
    </row>
    <row r="29" spans="1:3" ht="13.5">
      <c r="A29" s="3244"/>
      <c r="B29" s="3243"/>
      <c r="C29" s="1687" t="s">
        <v>1589</v>
      </c>
    </row>
    <row r="30" spans="1:3" ht="13.5">
      <c r="A30" s="3244"/>
      <c r="B30" s="3243"/>
      <c r="C30" s="1687" t="s">
        <v>1590</v>
      </c>
    </row>
    <row r="31" spans="1:3" ht="13.5">
      <c r="A31" s="3244"/>
      <c r="B31" s="3243"/>
      <c r="C31" s="1687" t="s">
        <v>1591</v>
      </c>
    </row>
    <row r="32" spans="1:3" ht="13.5">
      <c r="A32" s="3244"/>
      <c r="B32" s="3243"/>
      <c r="C32" s="1687" t="s">
        <v>1592</v>
      </c>
    </row>
    <row r="33" spans="1:3" ht="13.5">
      <c r="A33" s="3244"/>
      <c r="B33" s="324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44644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8" t="s">
        <v>2843</v>
      </c>
      <c r="B17" s="3248"/>
      <c r="C17" s="3248"/>
      <c r="D17" s="3248"/>
      <c r="E17" s="3248"/>
      <c r="F17" s="3248"/>
      <c r="G17" s="3248"/>
      <c r="H17" s="3248"/>
    </row>
    <row r="18" spans="1:8" ht="24" customHeight="1">
      <c r="A18" s="3249" t="s">
        <v>2844</v>
      </c>
      <c r="B18" s="3249"/>
      <c r="C18" s="3249"/>
      <c r="D18" s="2536"/>
      <c r="E18" s="3250" t="s">
        <v>2845</v>
      </c>
      <c r="F18" s="3249"/>
      <c r="G18" s="3249"/>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2022-03-24T04:20:45Z</dcterms:modified>
</cp:coreProperties>
</file>