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15" yWindow="5610" windowWidth="19230" windowHeight="567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办公" sheetId="34" r:id="rId21"/>
    <sheet name="不动产收益法 (车库)" sheetId="69" r:id="rId22"/>
    <sheet name="不动产收益法" sheetId="15"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20"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AH8" i="1" l="1"/>
  <c r="B13" i="68"/>
  <c r="B14" s="1"/>
  <c r="B7"/>
  <c r="Q73" i="69" l="1"/>
  <c r="Q60"/>
  <c r="D60"/>
  <c r="Q59"/>
  <c r="K59"/>
  <c r="Q52"/>
  <c r="J50"/>
  <c r="M47"/>
  <c r="F33"/>
  <c r="F60" s="1"/>
  <c r="F23"/>
  <c r="F21"/>
  <c r="F20"/>
  <c r="M19"/>
  <c r="F18"/>
  <c r="F17"/>
  <c r="F15"/>
  <c r="AL15" i="3"/>
  <c r="AN19"/>
  <c r="M18"/>
  <c r="G21" i="6" s="1"/>
  <c r="AT17" i="3"/>
  <c r="AN16"/>
  <c r="K14"/>
  <c r="F20" i="6" s="1"/>
  <c r="I13" i="3"/>
  <c r="F19" i="6" s="1"/>
  <c r="D4" i="68"/>
  <c r="D5"/>
  <c r="D3" i="4"/>
  <c r="P75" i="69" l="1"/>
  <c r="P62"/>
  <c r="D23"/>
  <c r="D22"/>
  <c r="D24"/>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F12" i="67"/>
  <c r="B11"/>
  <c r="E12"/>
  <c r="F9"/>
  <c r="F13"/>
  <c r="F11"/>
  <c r="B8"/>
  <c r="B10"/>
  <c r="B13"/>
  <c r="B9"/>
  <c r="E13"/>
  <c r="B12"/>
  <c r="F10"/>
  <c r="E8"/>
  <c r="E9"/>
  <c r="F8"/>
  <c r="F14"/>
  <c r="E11"/>
  <c r="E14"/>
  <c r="E10"/>
  <c r="B14"/>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c r="AG18"/>
  <c r="AH18"/>
  <c r="AH19"/>
  <c r="AG19"/>
  <c r="AE19"/>
  <c r="AF19" s="1"/>
  <c r="AD19"/>
  <c r="AD20"/>
  <c r="AE20"/>
  <c r="AF20"/>
  <c r="AG20"/>
  <c r="AH20"/>
  <c r="S2" i="31" l="1"/>
  <c r="M2"/>
  <c r="N2"/>
  <c r="O2"/>
  <c r="P2"/>
  <c r="Q2"/>
  <c r="R2"/>
  <c r="C3" i="65" l="1"/>
  <c r="C1"/>
  <c r="N1" s="1"/>
  <c r="N7"/>
  <c r="H1" l="1"/>
  <c r="B76" i="63"/>
  <c r="N3" i="65"/>
  <c r="I7"/>
  <c r="N5"/>
  <c r="N6"/>
  <c r="N4"/>
  <c r="C4" l="1"/>
  <c r="B39" i="1" s="1"/>
  <c r="J7" i="65"/>
  <c r="I4"/>
  <c r="J5"/>
  <c r="I3"/>
  <c r="J4"/>
  <c r="J6"/>
  <c r="I6"/>
  <c r="J3"/>
  <c r="I5"/>
  <c r="J1" l="1"/>
  <c r="E20" i="46"/>
  <c r="F11" i="69"/>
  <c r="M11"/>
  <c r="J10" s="1"/>
  <c r="M5" i="54"/>
  <c r="A23" i="51"/>
  <c r="E3" i="65"/>
  <c r="F17" i="11" l="1"/>
  <c r="C52" i="69"/>
  <c r="Y12" i="46"/>
  <c r="AA9"/>
  <c r="AB9"/>
  <c r="AB10" s="1"/>
  <c r="AC9"/>
  <c r="AD9"/>
  <c r="AE9"/>
  <c r="AF9"/>
  <c r="AF10" s="1"/>
  <c r="AG9"/>
  <c r="AH9"/>
  <c r="AI9"/>
  <c r="AJ9"/>
  <c r="AJ10" s="1"/>
  <c r="Z9"/>
  <c r="Z10" s="1"/>
  <c r="AI10"/>
  <c r="AH10"/>
  <c r="AG10"/>
  <c r="AE10"/>
  <c r="AD10"/>
  <c r="AC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P16"/>
  <c r="AA16" s="1"/>
  <c r="O16"/>
  <c r="Y16" s="1"/>
  <c r="Z16" s="1"/>
  <c r="N16"/>
  <c r="Q15"/>
  <c r="AB15" s="1"/>
  <c r="P15"/>
  <c r="AA15" s="1"/>
  <c r="O15"/>
  <c r="Y15" s="1"/>
  <c r="Z15" s="1"/>
  <c r="N15"/>
  <c r="Q14"/>
  <c r="AB14" s="1"/>
  <c r="P14"/>
  <c r="AA14" s="1"/>
  <c r="O14"/>
  <c r="Y14" s="1"/>
  <c r="Z14" s="1"/>
  <c r="N14"/>
  <c r="Q13"/>
  <c r="P13"/>
  <c r="O13"/>
  <c r="N13"/>
  <c r="D13"/>
  <c r="Q12"/>
  <c r="AB12" s="1"/>
  <c r="P12"/>
  <c r="AA12" s="1"/>
  <c r="O12"/>
  <c r="N12"/>
  <c r="Q11"/>
  <c r="AB11" s="1"/>
  <c r="P11"/>
  <c r="AA11" s="1"/>
  <c r="O11"/>
  <c r="N11"/>
  <c r="Q10"/>
  <c r="AB10" s="1"/>
  <c r="P10"/>
  <c r="AA10" s="1"/>
  <c r="O10"/>
  <c r="N10"/>
  <c r="Q9"/>
  <c r="P9"/>
  <c r="AA9" s="1"/>
  <c r="O9"/>
  <c r="N9"/>
  <c r="D9"/>
  <c r="C14" l="1"/>
  <c r="Y13"/>
  <c r="Z13" s="1"/>
  <c r="B18"/>
  <c r="B19" s="1"/>
  <c r="B20" s="1"/>
  <c r="S20" s="1"/>
  <c r="X17"/>
  <c r="F59"/>
  <c r="F58" s="1"/>
  <c r="E14"/>
  <c r="E15" s="1"/>
  <c r="E16" s="1"/>
  <c r="U16" s="1"/>
  <c r="AA13"/>
  <c r="C18"/>
  <c r="Y17"/>
  <c r="Z17" s="1"/>
  <c r="D8"/>
  <c r="T8"/>
  <c r="C7"/>
  <c r="B10"/>
  <c r="X9"/>
  <c r="X10"/>
  <c r="X11"/>
  <c r="X12"/>
  <c r="F14"/>
  <c r="F15" s="1"/>
  <c r="F16" s="1"/>
  <c r="V16" s="1"/>
  <c r="AB13"/>
  <c r="AB16"/>
  <c r="E18"/>
  <c r="E19" s="1"/>
  <c r="E20" s="1"/>
  <c r="U20" s="1"/>
  <c r="AA17"/>
  <c r="B47"/>
  <c r="U8"/>
  <c r="E7"/>
  <c r="E6" s="1"/>
  <c r="E5" s="1"/>
  <c r="E4" s="1"/>
  <c r="S8"/>
  <c r="B7"/>
  <c r="B6" s="1"/>
  <c r="B5" s="1"/>
  <c r="B4" s="1"/>
  <c r="F10"/>
  <c r="AB9"/>
  <c r="C10"/>
  <c r="C11" s="1"/>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9"/>
  <c r="F20" s="1"/>
  <c r="V20" s="1"/>
  <c r="F23"/>
  <c r="F24" s="1"/>
  <c r="V24" s="1"/>
  <c r="F27"/>
  <c r="F28" s="1"/>
  <c r="V28" s="1"/>
  <c r="F35"/>
  <c r="F36" s="1"/>
  <c r="V36" s="1"/>
  <c r="F39"/>
  <c r="F40" s="1"/>
  <c r="V40" s="1"/>
  <c r="F43"/>
  <c r="F44" s="1"/>
  <c r="V44" s="1"/>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10" i="59" l="1"/>
  <c r="D7"/>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Z18" i="36" l="1"/>
  <c r="Q18"/>
  <c r="C18"/>
  <c r="D66"/>
  <c r="F18" s="1"/>
  <c r="AA18" s="1"/>
  <c r="Z18" i="35"/>
  <c r="Q18"/>
  <c r="F18"/>
  <c r="AA18" s="1"/>
  <c r="C18"/>
  <c r="D68"/>
  <c r="E68" s="1"/>
  <c r="F68" s="1"/>
  <c r="G68" s="1"/>
  <c r="Q21" i="37"/>
  <c r="Z21" s="1"/>
  <c r="F21"/>
  <c r="AA21" s="1"/>
  <c r="C21"/>
  <c r="D77"/>
  <c r="E77" s="1"/>
  <c r="F77" s="1"/>
  <c r="G77" s="1"/>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A12"/>
  <c r="R12" s="1"/>
  <c r="A13"/>
  <c r="K13" s="1"/>
  <c r="M13" s="1"/>
  <c r="A7"/>
  <c r="A8"/>
  <c r="A9"/>
  <c r="A10"/>
  <c r="R10" s="1"/>
  <c r="A11"/>
  <c r="A6"/>
  <c r="T4"/>
  <c r="K12"/>
  <c r="M12" s="1"/>
  <c r="G79" i="36"/>
  <c r="G85" i="35"/>
  <c r="G97" i="37"/>
  <c r="G110" i="34"/>
  <c r="G109" i="33"/>
  <c r="L2" i="31"/>
  <c r="K2"/>
  <c r="J2"/>
  <c r="I2"/>
  <c r="H2"/>
  <c r="G2"/>
  <c r="F2"/>
  <c r="E2"/>
  <c r="D2"/>
  <c r="C2"/>
  <c r="D60" i="15"/>
  <c r="G19" i="20"/>
  <c r="B84" i="46" s="1"/>
  <c r="BT112" i="3"/>
  <c r="BS112"/>
  <c r="BR112"/>
  <c r="BQ112"/>
  <c r="BP112"/>
  <c r="BO112"/>
  <c r="BN112"/>
  <c r="BL112" s="1"/>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G111" s="1"/>
  <c r="H111"/>
  <c r="BT110"/>
  <c r="BS110"/>
  <c r="BR110"/>
  <c r="BQ110"/>
  <c r="BP110"/>
  <c r="BO110"/>
  <c r="BN110"/>
  <c r="BM110"/>
  <c r="BL110"/>
  <c r="BK110"/>
  <c r="BJ110"/>
  <c r="BI110"/>
  <c r="BH110"/>
  <c r="BG110"/>
  <c r="BF110"/>
  <c r="BE110"/>
  <c r="BD110"/>
  <c r="BC110"/>
  <c r="BA110" s="1"/>
  <c r="BB110"/>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G108" s="1"/>
  <c r="H108"/>
  <c r="BT107"/>
  <c r="BS107"/>
  <c r="BR107"/>
  <c r="BQ107"/>
  <c r="BP107"/>
  <c r="BO107"/>
  <c r="BN107"/>
  <c r="BM107"/>
  <c r="BL107"/>
  <c r="BK107"/>
  <c r="BJ107"/>
  <c r="BI107"/>
  <c r="BH107"/>
  <c r="BG107"/>
  <c r="BF107"/>
  <c r="BE107"/>
  <c r="BD107"/>
  <c r="BC107"/>
  <c r="BA107" s="1"/>
  <c r="BB107"/>
  <c r="AX107"/>
  <c r="AW107"/>
  <c r="AV107"/>
  <c r="AC107"/>
  <c r="H107"/>
  <c r="G107" s="1"/>
  <c r="BT106"/>
  <c r="BS106"/>
  <c r="BR106"/>
  <c r="BQ106"/>
  <c r="BP106"/>
  <c r="BO106"/>
  <c r="BN106"/>
  <c r="BM106"/>
  <c r="BL106" s="1"/>
  <c r="BK106"/>
  <c r="BJ106"/>
  <c r="BI106"/>
  <c r="BH106"/>
  <c r="BG106"/>
  <c r="BF106"/>
  <c r="BE106"/>
  <c r="BD106"/>
  <c r="BC106"/>
  <c r="BB106"/>
  <c r="BA106" s="1"/>
  <c r="AX106"/>
  <c r="AW106"/>
  <c r="AV106"/>
  <c r="AC106"/>
  <c r="G106" s="1"/>
  <c r="H106"/>
  <c r="BT105"/>
  <c r="BS105"/>
  <c r="BR105"/>
  <c r="BQ105"/>
  <c r="BP105"/>
  <c r="BO105"/>
  <c r="BN105"/>
  <c r="BM105"/>
  <c r="BL105"/>
  <c r="BK105"/>
  <c r="BJ105"/>
  <c r="BI105"/>
  <c r="BH105"/>
  <c r="BG105"/>
  <c r="BF105"/>
  <c r="BE105"/>
  <c r="BD105"/>
  <c r="BC105"/>
  <c r="BA105" s="1"/>
  <c r="AZ105" s="1"/>
  <c r="BB105"/>
  <c r="AX105"/>
  <c r="AW105"/>
  <c r="AV105"/>
  <c r="AC105"/>
  <c r="H105"/>
  <c r="G105" s="1"/>
  <c r="BT104"/>
  <c r="BS104"/>
  <c r="BR104"/>
  <c r="BQ104"/>
  <c r="BP104"/>
  <c r="BO104"/>
  <c r="BN104"/>
  <c r="BL104" s="1"/>
  <c r="BM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L101" s="1"/>
  <c r="BM10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L98" s="1"/>
  <c r="BM98"/>
  <c r="BK98"/>
  <c r="BJ98"/>
  <c r="BI98"/>
  <c r="BH98"/>
  <c r="BG98"/>
  <c r="BF98"/>
  <c r="BE98"/>
  <c r="BD98"/>
  <c r="BC98"/>
  <c r="BB98"/>
  <c r="BA98" s="1"/>
  <c r="AX98"/>
  <c r="AW98"/>
  <c r="AV98"/>
  <c r="AC98"/>
  <c r="H98"/>
  <c r="G98"/>
  <c r="BT97"/>
  <c r="BS97"/>
  <c r="BR97"/>
  <c r="BQ97"/>
  <c r="BP97"/>
  <c r="BO97"/>
  <c r="BN97"/>
  <c r="BM97"/>
  <c r="BL97" s="1"/>
  <c r="BK97"/>
  <c r="BJ97"/>
  <c r="BI97"/>
  <c r="BH97"/>
  <c r="BG97"/>
  <c r="BF97"/>
  <c r="BE97"/>
  <c r="BD97"/>
  <c r="BC97"/>
  <c r="BB97"/>
  <c r="BA97"/>
  <c r="AX97"/>
  <c r="AW97"/>
  <c r="AV97"/>
  <c r="AC97"/>
  <c r="G97" s="1"/>
  <c r="H97"/>
  <c r="BT96"/>
  <c r="BS96"/>
  <c r="BR96"/>
  <c r="BQ96"/>
  <c r="BP96"/>
  <c r="BO96"/>
  <c r="BN96"/>
  <c r="BM96"/>
  <c r="BL96"/>
  <c r="BK96"/>
  <c r="BJ96"/>
  <c r="BI96"/>
  <c r="BH96"/>
  <c r="BG96"/>
  <c r="BF96"/>
  <c r="BE96"/>
  <c r="BD96"/>
  <c r="BC96"/>
  <c r="BA96" s="1"/>
  <c r="AZ96" s="1"/>
  <c r="BB96"/>
  <c r="AX96"/>
  <c r="AW96"/>
  <c r="AV96"/>
  <c r="AC96"/>
  <c r="H96"/>
  <c r="G96" s="1"/>
  <c r="BT95"/>
  <c r="BS95"/>
  <c r="BR95"/>
  <c r="BQ95"/>
  <c r="BP95"/>
  <c r="BO95"/>
  <c r="BN95"/>
  <c r="BL95" s="1"/>
  <c r="BM95"/>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X94"/>
  <c r="AW94"/>
  <c r="AV94"/>
  <c r="AC94"/>
  <c r="G94" s="1"/>
  <c r="H94"/>
  <c r="BT93"/>
  <c r="BS93"/>
  <c r="BR93"/>
  <c r="BQ93"/>
  <c r="BP93"/>
  <c r="BO93"/>
  <c r="BN93"/>
  <c r="BM93"/>
  <c r="BL93"/>
  <c r="BK93"/>
  <c r="BJ93"/>
  <c r="BI93"/>
  <c r="BH93"/>
  <c r="BG93"/>
  <c r="BF93"/>
  <c r="BE93"/>
  <c r="BD93"/>
  <c r="BC93"/>
  <c r="BA93" s="1"/>
  <c r="AZ93" s="1"/>
  <c r="BB93"/>
  <c r="AX93"/>
  <c r="AW93"/>
  <c r="AV93"/>
  <c r="AC93"/>
  <c r="H93"/>
  <c r="G93" s="1"/>
  <c r="BT92"/>
  <c r="BS92"/>
  <c r="BR92"/>
  <c r="BQ92"/>
  <c r="BP92"/>
  <c r="BO92"/>
  <c r="BN92"/>
  <c r="BL92" s="1"/>
  <c r="BM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s="1"/>
  <c r="AX91"/>
  <c r="AW91"/>
  <c r="AV91"/>
  <c r="AC91"/>
  <c r="G91" s="1"/>
  <c r="H91"/>
  <c r="BT90"/>
  <c r="BS90"/>
  <c r="BR90"/>
  <c r="BQ90"/>
  <c r="BP90"/>
  <c r="BO90"/>
  <c r="BN90"/>
  <c r="BM90"/>
  <c r="BL90"/>
  <c r="BK90"/>
  <c r="BJ90"/>
  <c r="BI90"/>
  <c r="BH90"/>
  <c r="BG90"/>
  <c r="BF90"/>
  <c r="BE90"/>
  <c r="BD90"/>
  <c r="BC90"/>
  <c r="BA90" s="1"/>
  <c r="BB90"/>
  <c r="AX90"/>
  <c r="AW90"/>
  <c r="AV90"/>
  <c r="AC90"/>
  <c r="H90"/>
  <c r="G90" s="1"/>
  <c r="BT89"/>
  <c r="BS89"/>
  <c r="BR89"/>
  <c r="BQ89"/>
  <c r="BP89"/>
  <c r="BO89"/>
  <c r="BN89"/>
  <c r="BM89"/>
  <c r="BL89" s="1"/>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G88" s="1"/>
  <c r="H88"/>
  <c r="BT87"/>
  <c r="BS87"/>
  <c r="BR87"/>
  <c r="BQ87"/>
  <c r="BP87"/>
  <c r="BO87"/>
  <c r="BN87"/>
  <c r="BM87"/>
  <c r="BL87"/>
  <c r="BK87"/>
  <c r="BJ87"/>
  <c r="BI87"/>
  <c r="BH87"/>
  <c r="BG87"/>
  <c r="BF87"/>
  <c r="BE87"/>
  <c r="BD87"/>
  <c r="BC87"/>
  <c r="BA87" s="1"/>
  <c r="AZ87" s="1"/>
  <c r="BB87"/>
  <c r="AX87"/>
  <c r="AW87"/>
  <c r="AV87"/>
  <c r="AC87"/>
  <c r="H87"/>
  <c r="G87" s="1"/>
  <c r="BT86"/>
  <c r="BS86"/>
  <c r="BR86"/>
  <c r="BQ86"/>
  <c r="BP86"/>
  <c r="BO86"/>
  <c r="BN86"/>
  <c r="BL86" s="1"/>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c r="AX85"/>
  <c r="AW85"/>
  <c r="AV85"/>
  <c r="AC85"/>
  <c r="G85" s="1"/>
  <c r="H85"/>
  <c r="BT84"/>
  <c r="BS84"/>
  <c r="BR84"/>
  <c r="BQ84"/>
  <c r="BP84"/>
  <c r="BO84"/>
  <c r="BN84"/>
  <c r="BM84"/>
  <c r="BL84"/>
  <c r="BK84"/>
  <c r="BJ84"/>
  <c r="BI84"/>
  <c r="BH84"/>
  <c r="BG84"/>
  <c r="BF84"/>
  <c r="BE84"/>
  <c r="BD84"/>
  <c r="BC84"/>
  <c r="BA84" s="1"/>
  <c r="BB84"/>
  <c r="AX84"/>
  <c r="AW84"/>
  <c r="AV84"/>
  <c r="AC84"/>
  <c r="H84"/>
  <c r="G84" s="1"/>
  <c r="BT83"/>
  <c r="BS83"/>
  <c r="BR83"/>
  <c r="BQ83"/>
  <c r="BP83"/>
  <c r="BO83"/>
  <c r="BN83"/>
  <c r="BM83"/>
  <c r="BL83" s="1"/>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L81" s="1"/>
  <c r="BM81"/>
  <c r="BK81"/>
  <c r="BJ81"/>
  <c r="BI81"/>
  <c r="BH81"/>
  <c r="BG81"/>
  <c r="BF81"/>
  <c r="BE81"/>
  <c r="BD81"/>
  <c r="BC81"/>
  <c r="BB81"/>
  <c r="BA81" s="1"/>
  <c r="AZ81" s="1"/>
  <c r="AX81"/>
  <c r="AW81"/>
  <c r="AV81"/>
  <c r="AC81"/>
  <c r="H81"/>
  <c r="G81" s="1"/>
  <c r="BT80"/>
  <c r="BS80"/>
  <c r="BR80"/>
  <c r="BQ80"/>
  <c r="BP80"/>
  <c r="BO80"/>
  <c r="BN80"/>
  <c r="BM80"/>
  <c r="BL80" s="1"/>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BA79"/>
  <c r="AX79"/>
  <c r="AW79"/>
  <c r="AV79"/>
  <c r="AC79"/>
  <c r="H79"/>
  <c r="G79" s="1"/>
  <c r="BT78"/>
  <c r="BS78"/>
  <c r="BR78"/>
  <c r="BQ78"/>
  <c r="BP78"/>
  <c r="BO78"/>
  <c r="BN78"/>
  <c r="BL78" s="1"/>
  <c r="BM78"/>
  <c r="BK78"/>
  <c r="BJ78"/>
  <c r="BI78"/>
  <c r="BH78"/>
  <c r="BG78"/>
  <c r="BF78"/>
  <c r="BE78"/>
  <c r="BD78"/>
  <c r="BC78"/>
  <c r="BB78"/>
  <c r="BA78" s="1"/>
  <c r="AX78"/>
  <c r="AW78"/>
  <c r="AV78"/>
  <c r="AC78"/>
  <c r="H78"/>
  <c r="G78"/>
  <c r="BT77"/>
  <c r="BS77"/>
  <c r="BR77"/>
  <c r="BQ77"/>
  <c r="BP77"/>
  <c r="BO77"/>
  <c r="BN77"/>
  <c r="BM77"/>
  <c r="BL77" s="1"/>
  <c r="BK77"/>
  <c r="BJ77"/>
  <c r="BI77"/>
  <c r="BH77"/>
  <c r="BG77"/>
  <c r="BF77"/>
  <c r="BE77"/>
  <c r="BD77"/>
  <c r="BC77"/>
  <c r="BB77"/>
  <c r="BA77"/>
  <c r="AZ77" s="1"/>
  <c r="AX77"/>
  <c r="AW77"/>
  <c r="AV77"/>
  <c r="AC77"/>
  <c r="G77" s="1"/>
  <c r="H77"/>
  <c r="BT76"/>
  <c r="BS76"/>
  <c r="BR76"/>
  <c r="BQ76"/>
  <c r="BP76"/>
  <c r="BO76"/>
  <c r="BN76"/>
  <c r="BM76"/>
  <c r="BL76"/>
  <c r="BK76"/>
  <c r="BJ76"/>
  <c r="BI76"/>
  <c r="BH76"/>
  <c r="BG76"/>
  <c r="BF76"/>
  <c r="BE76"/>
  <c r="BD76"/>
  <c r="BC76"/>
  <c r="BA76" s="1"/>
  <c r="AZ76" s="1"/>
  <c r="BB76"/>
  <c r="AX76"/>
  <c r="AW76"/>
  <c r="AV76"/>
  <c r="AC76"/>
  <c r="H76"/>
  <c r="G76" s="1"/>
  <c r="BT75"/>
  <c r="BS75"/>
  <c r="BR75"/>
  <c r="BQ75"/>
  <c r="BP75"/>
  <c r="BO75"/>
  <c r="BN75"/>
  <c r="BL75" s="1"/>
  <c r="BM75"/>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BA74" s="1"/>
  <c r="AX74"/>
  <c r="AW74"/>
  <c r="AV74"/>
  <c r="AC74"/>
  <c r="G74" s="1"/>
  <c r="H74"/>
  <c r="BT73"/>
  <c r="BS73"/>
  <c r="BR73"/>
  <c r="BQ73"/>
  <c r="BP73"/>
  <c r="BO73"/>
  <c r="BN73"/>
  <c r="BM73"/>
  <c r="BL73"/>
  <c r="BK73"/>
  <c r="BJ73"/>
  <c r="BI73"/>
  <c r="BH73"/>
  <c r="BG73"/>
  <c r="BF73"/>
  <c r="BE73"/>
  <c r="BD73"/>
  <c r="BC73"/>
  <c r="BA73" s="1"/>
  <c r="AZ73" s="1"/>
  <c r="BB73"/>
  <c r="AX73"/>
  <c r="AW73"/>
  <c r="AV73"/>
  <c r="AC73"/>
  <c r="H73"/>
  <c r="G73" s="1"/>
  <c r="BT72"/>
  <c r="BS72"/>
  <c r="BR72"/>
  <c r="BQ72"/>
  <c r="BP72"/>
  <c r="BO72"/>
  <c r="BN72"/>
  <c r="BL72" s="1"/>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X71"/>
  <c r="AW71"/>
  <c r="AV71"/>
  <c r="AC71"/>
  <c r="G71" s="1"/>
  <c r="H71"/>
  <c r="BT70"/>
  <c r="BS70"/>
  <c r="BR70"/>
  <c r="BQ70"/>
  <c r="BP70"/>
  <c r="BO70"/>
  <c r="BN70"/>
  <c r="BM70"/>
  <c r="BL70"/>
  <c r="BK70"/>
  <c r="BJ70"/>
  <c r="BI70"/>
  <c r="BH70"/>
  <c r="BG70"/>
  <c r="BF70"/>
  <c r="BE70"/>
  <c r="BD70"/>
  <c r="BC70"/>
  <c r="BA70" s="1"/>
  <c r="BB70"/>
  <c r="AX70"/>
  <c r="AW70"/>
  <c r="AV70"/>
  <c r="AC70"/>
  <c r="H70"/>
  <c r="G70" s="1"/>
  <c r="BT69"/>
  <c r="BS69"/>
  <c r="BR69"/>
  <c r="BQ69"/>
  <c r="BP69"/>
  <c r="BO69"/>
  <c r="BN69"/>
  <c r="BM69"/>
  <c r="BL69" s="1"/>
  <c r="BK69"/>
  <c r="BJ69"/>
  <c r="BI69"/>
  <c r="BH69"/>
  <c r="BG69"/>
  <c r="BF69"/>
  <c r="BE69"/>
  <c r="BD69"/>
  <c r="BC69"/>
  <c r="BB69"/>
  <c r="BA69" s="1"/>
  <c r="AX69"/>
  <c r="AW69"/>
  <c r="AV69"/>
  <c r="AC69"/>
  <c r="H69"/>
  <c r="G69"/>
  <c r="BT68"/>
  <c r="BS68"/>
  <c r="BR68"/>
  <c r="BQ68"/>
  <c r="BP68"/>
  <c r="BO68"/>
  <c r="BN68"/>
  <c r="BM68"/>
  <c r="BL68" s="1"/>
  <c r="BK68"/>
  <c r="BJ68"/>
  <c r="BI68"/>
  <c r="BH68"/>
  <c r="BG68"/>
  <c r="BF68"/>
  <c r="BE68"/>
  <c r="BD68"/>
  <c r="BC68"/>
  <c r="BB68"/>
  <c r="BA68"/>
  <c r="AZ68" s="1"/>
  <c r="AX68"/>
  <c r="AW68"/>
  <c r="AV68"/>
  <c r="AC68"/>
  <c r="G68" s="1"/>
  <c r="H68"/>
  <c r="BT67"/>
  <c r="BS67"/>
  <c r="BR67"/>
  <c r="BQ67"/>
  <c r="BP67"/>
  <c r="BO67"/>
  <c r="BN67"/>
  <c r="BM67"/>
  <c r="BL67"/>
  <c r="BK67"/>
  <c r="BJ67"/>
  <c r="BI67"/>
  <c r="BH67"/>
  <c r="BG67"/>
  <c r="BF67"/>
  <c r="BE67"/>
  <c r="BD67"/>
  <c r="BC67"/>
  <c r="BA67" s="1"/>
  <c r="AZ67" s="1"/>
  <c r="BB67"/>
  <c r="AX67"/>
  <c r="AW67"/>
  <c r="AV67"/>
  <c r="AC67"/>
  <c r="H67"/>
  <c r="G67" s="1"/>
  <c r="BT66"/>
  <c r="BS66"/>
  <c r="BR66"/>
  <c r="BQ66"/>
  <c r="BP66"/>
  <c r="BO66"/>
  <c r="BN66"/>
  <c r="BL66" s="1"/>
  <c r="BM66"/>
  <c r="BK66"/>
  <c r="BJ66"/>
  <c r="BI66"/>
  <c r="BH66"/>
  <c r="BG66"/>
  <c r="BF66"/>
  <c r="BE66"/>
  <c r="BD66"/>
  <c r="BC66"/>
  <c r="BB66"/>
  <c r="BA66" s="1"/>
  <c r="AX66"/>
  <c r="AW66"/>
  <c r="AV66"/>
  <c r="AC66"/>
  <c r="H66"/>
  <c r="G66"/>
  <c r="BT65"/>
  <c r="BS65"/>
  <c r="BR65"/>
  <c r="BQ65"/>
  <c r="BP65"/>
  <c r="BO65"/>
  <c r="BN65"/>
  <c r="BM65"/>
  <c r="BL65" s="1"/>
  <c r="BK65"/>
  <c r="BJ65"/>
  <c r="BI65"/>
  <c r="BH65"/>
  <c r="BG65"/>
  <c r="BF65"/>
  <c r="BE65"/>
  <c r="BD65"/>
  <c r="BC65"/>
  <c r="BB65"/>
  <c r="BA65"/>
  <c r="AZ65" s="1"/>
  <c r="AX65"/>
  <c r="AW65"/>
  <c r="AV65"/>
  <c r="AC65"/>
  <c r="G65" s="1"/>
  <c r="H65"/>
  <c r="BT64"/>
  <c r="BS64"/>
  <c r="BR64"/>
  <c r="BQ64"/>
  <c r="BP64"/>
  <c r="BO64"/>
  <c r="BN64"/>
  <c r="BM64"/>
  <c r="BL64"/>
  <c r="BK64"/>
  <c r="BJ64"/>
  <c r="BI64"/>
  <c r="BH64"/>
  <c r="BG64"/>
  <c r="BF64"/>
  <c r="BE64"/>
  <c r="BD64"/>
  <c r="BC64"/>
  <c r="BA64" s="1"/>
  <c r="AZ64" s="1"/>
  <c r="BB64"/>
  <c r="AX64"/>
  <c r="AW64"/>
  <c r="AV64"/>
  <c r="AC64"/>
  <c r="H64"/>
  <c r="G64" s="1"/>
  <c r="BT63"/>
  <c r="BS63"/>
  <c r="BR63"/>
  <c r="BQ63"/>
  <c r="BP63"/>
  <c r="BO63"/>
  <c r="BN63"/>
  <c r="BL63" s="1"/>
  <c r="BM63"/>
  <c r="BK63"/>
  <c r="BJ63"/>
  <c r="BI63"/>
  <c r="BH63"/>
  <c r="BG63"/>
  <c r="BF63"/>
  <c r="BE63"/>
  <c r="BD63"/>
  <c r="BC63"/>
  <c r="BB63"/>
  <c r="BA63" s="1"/>
  <c r="AX63"/>
  <c r="AW63"/>
  <c r="AV63"/>
  <c r="AC63"/>
  <c r="H63"/>
  <c r="G63"/>
  <c r="BT62"/>
  <c r="BS62"/>
  <c r="BR62"/>
  <c r="BQ62"/>
  <c r="BP62"/>
  <c r="BO62"/>
  <c r="BN62"/>
  <c r="BM62"/>
  <c r="BL62" s="1"/>
  <c r="BK62"/>
  <c r="BJ62"/>
  <c r="BI62"/>
  <c r="BH62"/>
  <c r="BG62"/>
  <c r="BF62"/>
  <c r="BE62"/>
  <c r="BD62"/>
  <c r="BC62"/>
  <c r="BB62"/>
  <c r="BA62"/>
  <c r="AZ62" s="1"/>
  <c r="AX62"/>
  <c r="AW62"/>
  <c r="AV62"/>
  <c r="AC62"/>
  <c r="G62" s="1"/>
  <c r="H62"/>
  <c r="BT61"/>
  <c r="BS61"/>
  <c r="BR61"/>
  <c r="BQ61"/>
  <c r="BP61"/>
  <c r="BO61"/>
  <c r="BN61"/>
  <c r="BM61"/>
  <c r="BL61"/>
  <c r="BK61"/>
  <c r="BJ61"/>
  <c r="BI61"/>
  <c r="BH61"/>
  <c r="BG61"/>
  <c r="BF61"/>
  <c r="BE61"/>
  <c r="BD61"/>
  <c r="BC61"/>
  <c r="BA61" s="1"/>
  <c r="AZ61" s="1"/>
  <c r="BB61"/>
  <c r="AX61"/>
  <c r="AW61"/>
  <c r="AV61"/>
  <c r="AC61"/>
  <c r="H61"/>
  <c r="G61" s="1"/>
  <c r="BT60"/>
  <c r="BS60"/>
  <c r="BR60"/>
  <c r="BQ60"/>
  <c r="BP60"/>
  <c r="BO60"/>
  <c r="BN60"/>
  <c r="BL60" s="1"/>
  <c r="BM60"/>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BA59" s="1"/>
  <c r="AX59"/>
  <c r="AW59"/>
  <c r="AV59"/>
  <c r="AC59"/>
  <c r="G59" s="1"/>
  <c r="H59"/>
  <c r="BT58"/>
  <c r="BS58"/>
  <c r="BR58"/>
  <c r="BQ58"/>
  <c r="BP58"/>
  <c r="BO58"/>
  <c r="BN58"/>
  <c r="BM58"/>
  <c r="BL58"/>
  <c r="BK58"/>
  <c r="BJ58"/>
  <c r="BI58"/>
  <c r="BH58"/>
  <c r="BG58"/>
  <c r="BF58"/>
  <c r="BE58"/>
  <c r="BD58"/>
  <c r="BC58"/>
  <c r="BA58" s="1"/>
  <c r="AZ58" s="1"/>
  <c r="BB58"/>
  <c r="AX58"/>
  <c r="AW58"/>
  <c r="AV58"/>
  <c r="AC58"/>
  <c r="H58"/>
  <c r="G58" s="1"/>
  <c r="BT57"/>
  <c r="BS57"/>
  <c r="BR57"/>
  <c r="BQ57"/>
  <c r="BP57"/>
  <c r="BO57"/>
  <c r="BN57"/>
  <c r="BL57" s="1"/>
  <c r="BM57"/>
  <c r="BK57"/>
  <c r="BJ57"/>
  <c r="BI57"/>
  <c r="BH57"/>
  <c r="BG57"/>
  <c r="BF57"/>
  <c r="BE57"/>
  <c r="BD57"/>
  <c r="BC57"/>
  <c r="BB57"/>
  <c r="BA57" s="1"/>
  <c r="AX57"/>
  <c r="AW57"/>
  <c r="AV57"/>
  <c r="AC57"/>
  <c r="H57"/>
  <c r="G57" s="1"/>
  <c r="BT56"/>
  <c r="BS56"/>
  <c r="BR56"/>
  <c r="BQ56"/>
  <c r="BP56"/>
  <c r="BO56"/>
  <c r="BN56"/>
  <c r="BM56"/>
  <c r="BL56" s="1"/>
  <c r="BK56"/>
  <c r="BJ56"/>
  <c r="BI56"/>
  <c r="BH56"/>
  <c r="BG56"/>
  <c r="BF56"/>
  <c r="BE56"/>
  <c r="BD56"/>
  <c r="BC56"/>
  <c r="BB56"/>
  <c r="BA56" s="1"/>
  <c r="AX56"/>
  <c r="AW56"/>
  <c r="AV56"/>
  <c r="AC56"/>
  <c r="G56" s="1"/>
  <c r="H56"/>
  <c r="BT55"/>
  <c r="BS55"/>
  <c r="BR55"/>
  <c r="BQ55"/>
  <c r="BP55"/>
  <c r="BO55"/>
  <c r="BN55"/>
  <c r="BM55"/>
  <c r="BL55"/>
  <c r="BK55"/>
  <c r="BJ55"/>
  <c r="BI55"/>
  <c r="BH55"/>
  <c r="BG55"/>
  <c r="BF55"/>
  <c r="BE55"/>
  <c r="BD55"/>
  <c r="BC55"/>
  <c r="BA55" s="1"/>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c r="AZ53" s="1"/>
  <c r="AX53"/>
  <c r="AW53"/>
  <c r="AV53"/>
  <c r="AC53"/>
  <c r="G53" s="1"/>
  <c r="H53"/>
  <c r="BT52"/>
  <c r="BS52"/>
  <c r="BR52"/>
  <c r="BQ52"/>
  <c r="BP52"/>
  <c r="BO52"/>
  <c r="BN52"/>
  <c r="BM52"/>
  <c r="BL52"/>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s="1"/>
  <c r="AX51"/>
  <c r="AW51"/>
  <c r="AV51"/>
  <c r="AC51"/>
  <c r="H51"/>
  <c r="G51"/>
  <c r="BT50"/>
  <c r="BS50"/>
  <c r="BR50"/>
  <c r="BQ50"/>
  <c r="BP50"/>
  <c r="BO50"/>
  <c r="BN50"/>
  <c r="BM50"/>
  <c r="BL50" s="1"/>
  <c r="BK50"/>
  <c r="BJ50"/>
  <c r="BI50"/>
  <c r="BH50"/>
  <c r="BG50"/>
  <c r="BF50"/>
  <c r="BE50"/>
  <c r="BD50"/>
  <c r="BC50"/>
  <c r="BB50"/>
  <c r="BA50"/>
  <c r="AX50"/>
  <c r="AW50"/>
  <c r="AV50"/>
  <c r="AC50"/>
  <c r="G50" s="1"/>
  <c r="H50"/>
  <c r="BT49"/>
  <c r="BS49"/>
  <c r="BR49"/>
  <c r="BQ49"/>
  <c r="BP49"/>
  <c r="BO49"/>
  <c r="BN49"/>
  <c r="BM49"/>
  <c r="BL49"/>
  <c r="BK49"/>
  <c r="BJ49"/>
  <c r="BI49"/>
  <c r="BH49"/>
  <c r="BG49"/>
  <c r="BF49"/>
  <c r="BE49"/>
  <c r="BD49"/>
  <c r="BC49"/>
  <c r="BA49" s="1"/>
  <c r="AZ49" s="1"/>
  <c r="BB49"/>
  <c r="AX49"/>
  <c r="AW49"/>
  <c r="AV49"/>
  <c r="AC49"/>
  <c r="H49"/>
  <c r="BT48"/>
  <c r="BS48"/>
  <c r="BR48"/>
  <c r="BQ48"/>
  <c r="BP48"/>
  <c r="BO48"/>
  <c r="BN48"/>
  <c r="BL48" s="1"/>
  <c r="BM48"/>
  <c r="BK48"/>
  <c r="BJ48"/>
  <c r="BI48"/>
  <c r="BH48"/>
  <c r="BG48"/>
  <c r="BF48"/>
  <c r="BE48"/>
  <c r="BD48"/>
  <c r="BC48"/>
  <c r="BB48"/>
  <c r="AX48"/>
  <c r="AW48"/>
  <c r="AV48"/>
  <c r="AC48"/>
  <c r="H48"/>
  <c r="G48"/>
  <c r="BT47"/>
  <c r="BS47"/>
  <c r="BR47"/>
  <c r="BQ47"/>
  <c r="BP47"/>
  <c r="BO47"/>
  <c r="BN47"/>
  <c r="BM47"/>
  <c r="BL47" s="1"/>
  <c r="BK47"/>
  <c r="BJ47"/>
  <c r="BI47"/>
  <c r="BH47"/>
  <c r="BG47"/>
  <c r="BF47"/>
  <c r="BE47"/>
  <c r="BD47"/>
  <c r="BC47"/>
  <c r="BB47"/>
  <c r="BA47"/>
  <c r="AX47"/>
  <c r="AW47"/>
  <c r="AV47"/>
  <c r="AC47"/>
  <c r="H47"/>
  <c r="BT46"/>
  <c r="BS46"/>
  <c r="BR46"/>
  <c r="BQ46"/>
  <c r="BP46"/>
  <c r="BO46"/>
  <c r="BN46"/>
  <c r="BL46" s="1"/>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BA45" s="1"/>
  <c r="AX45"/>
  <c r="AW45"/>
  <c r="AV45"/>
  <c r="AC45"/>
  <c r="H45"/>
  <c r="G45"/>
  <c r="BT44"/>
  <c r="BS44"/>
  <c r="BR44"/>
  <c r="BQ44"/>
  <c r="BP44"/>
  <c r="BO44"/>
  <c r="BN44"/>
  <c r="BM44"/>
  <c r="BL44" s="1"/>
  <c r="BK44"/>
  <c r="BJ44"/>
  <c r="BI44"/>
  <c r="BH44"/>
  <c r="BG44"/>
  <c r="BF44"/>
  <c r="BE44"/>
  <c r="BD44"/>
  <c r="BC44"/>
  <c r="BB44"/>
  <c r="BA44"/>
  <c r="AX44"/>
  <c r="AW44"/>
  <c r="AV44"/>
  <c r="AC44"/>
  <c r="G44" s="1"/>
  <c r="H44"/>
  <c r="BT43"/>
  <c r="BS43"/>
  <c r="BR43"/>
  <c r="BQ43"/>
  <c r="BP43"/>
  <c r="BO43"/>
  <c r="BN43"/>
  <c r="BM43"/>
  <c r="BL43"/>
  <c r="BK43"/>
  <c r="BJ43"/>
  <c r="BI43"/>
  <c r="BH43"/>
  <c r="BG43"/>
  <c r="BF43"/>
  <c r="BE43"/>
  <c r="BD43"/>
  <c r="BC43"/>
  <c r="BA43" s="1"/>
  <c r="BB43"/>
  <c r="AX43"/>
  <c r="AW43"/>
  <c r="AV43"/>
  <c r="AC43"/>
  <c r="H43"/>
  <c r="G43" s="1"/>
  <c r="BT42"/>
  <c r="BS42"/>
  <c r="BR42"/>
  <c r="BQ42"/>
  <c r="BP42"/>
  <c r="BO42"/>
  <c r="BN42"/>
  <c r="BM42"/>
  <c r="BL42" s="1"/>
  <c r="BK42"/>
  <c r="BJ42"/>
  <c r="BI42"/>
  <c r="BH42"/>
  <c r="BG42"/>
  <c r="BF42"/>
  <c r="BE42"/>
  <c r="BD42"/>
  <c r="BC42"/>
  <c r="BB42"/>
  <c r="BA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L40" s="1"/>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c r="AX39"/>
  <c r="AW39"/>
  <c r="AV39"/>
  <c r="AC39"/>
  <c r="H39"/>
  <c r="BT38"/>
  <c r="BS38"/>
  <c r="BR38"/>
  <c r="BQ38"/>
  <c r="BP38"/>
  <c r="BO38"/>
  <c r="BN38"/>
  <c r="BM38"/>
  <c r="BL38"/>
  <c r="BK38"/>
  <c r="BJ38"/>
  <c r="BI38"/>
  <c r="BH38"/>
  <c r="BG38"/>
  <c r="BF38"/>
  <c r="BE38"/>
  <c r="BD38"/>
  <c r="BC38"/>
  <c r="BB38"/>
  <c r="BA38" s="1"/>
  <c r="AZ38" s="1"/>
  <c r="AX38"/>
  <c r="AW38"/>
  <c r="AV38"/>
  <c r="AC38"/>
  <c r="H38"/>
  <c r="G38" s="1"/>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s="1"/>
  <c r="AZ36" s="1"/>
  <c r="AX36"/>
  <c r="AW36"/>
  <c r="AV36"/>
  <c r="AC36"/>
  <c r="H36"/>
  <c r="G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BA33" s="1"/>
  <c r="AZ33" s="1"/>
  <c r="AX33"/>
  <c r="AW33"/>
  <c r="AV33"/>
  <c r="AC33"/>
  <c r="H33"/>
  <c r="G33"/>
  <c r="BT32"/>
  <c r="BS32"/>
  <c r="BR32"/>
  <c r="BQ32"/>
  <c r="BP32"/>
  <c r="BO32"/>
  <c r="BN32"/>
  <c r="BM32"/>
  <c r="BL32"/>
  <c r="BK32"/>
  <c r="BJ32"/>
  <c r="BI32"/>
  <c r="BH32"/>
  <c r="BG32"/>
  <c r="BF32"/>
  <c r="BE32"/>
  <c r="BD32"/>
  <c r="BA32" s="1"/>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s="1"/>
  <c r="BK30"/>
  <c r="BJ30"/>
  <c r="BI30"/>
  <c r="BH30"/>
  <c r="BG30"/>
  <c r="BF30"/>
  <c r="BE30"/>
  <c r="BD30"/>
  <c r="BC30"/>
  <c r="BB30"/>
  <c r="BA30"/>
  <c r="AX30"/>
  <c r="AW30"/>
  <c r="AV30"/>
  <c r="AC30"/>
  <c r="G30" s="1"/>
  <c r="H30"/>
  <c r="BT29"/>
  <c r="BS29"/>
  <c r="BR29"/>
  <c r="BQ29"/>
  <c r="BP29"/>
  <c r="BO29"/>
  <c r="BL29" s="1"/>
  <c r="AZ29" s="1"/>
  <c r="BN29"/>
  <c r="BM29"/>
  <c r="BK29"/>
  <c r="BJ29"/>
  <c r="BI29"/>
  <c r="BH29"/>
  <c r="BG29"/>
  <c r="BF29"/>
  <c r="BE29"/>
  <c r="BD29"/>
  <c r="BC29"/>
  <c r="BA29" s="1"/>
  <c r="BB29"/>
  <c r="AX29"/>
  <c r="AW29"/>
  <c r="AV29"/>
  <c r="AC29"/>
  <c r="H29"/>
  <c r="BT28"/>
  <c r="BS28"/>
  <c r="BR28"/>
  <c r="BQ28"/>
  <c r="BP28"/>
  <c r="BO28"/>
  <c r="BN28"/>
  <c r="BL28" s="1"/>
  <c r="BM28"/>
  <c r="BK28"/>
  <c r="BJ28"/>
  <c r="BI28"/>
  <c r="BH28"/>
  <c r="BG28"/>
  <c r="BF28"/>
  <c r="BE28"/>
  <c r="BD28"/>
  <c r="BC28"/>
  <c r="BB28"/>
  <c r="AX28"/>
  <c r="AW28"/>
  <c r="AV28"/>
  <c r="AC28"/>
  <c r="H28"/>
  <c r="G28" s="1"/>
  <c r="BT27"/>
  <c r="BS27"/>
  <c r="BR27"/>
  <c r="BQ27"/>
  <c r="BP27"/>
  <c r="BO27"/>
  <c r="BN27"/>
  <c r="BM27"/>
  <c r="BK27"/>
  <c r="BJ27"/>
  <c r="BI27"/>
  <c r="BH27"/>
  <c r="BG27"/>
  <c r="BF27"/>
  <c r="BE27"/>
  <c r="BD27"/>
  <c r="BC27"/>
  <c r="BB27"/>
  <c r="BA27"/>
  <c r="AX27"/>
  <c r="AW27"/>
  <c r="AV27"/>
  <c r="AC27"/>
  <c r="G27" s="1"/>
  <c r="H27"/>
  <c r="BT26"/>
  <c r="BS26"/>
  <c r="BR26"/>
  <c r="BQ26"/>
  <c r="BP26"/>
  <c r="BO26"/>
  <c r="BN26"/>
  <c r="BM26"/>
  <c r="BL26" s="1"/>
  <c r="BK26"/>
  <c r="BJ26"/>
  <c r="BI26"/>
  <c r="BH26"/>
  <c r="BG26"/>
  <c r="BF26"/>
  <c r="BE26"/>
  <c r="BD26"/>
  <c r="BC26"/>
  <c r="BA26" s="1"/>
  <c r="BB26"/>
  <c r="AX26"/>
  <c r="AW26"/>
  <c r="AV26"/>
  <c r="AC26"/>
  <c r="H26"/>
  <c r="G26" s="1"/>
  <c r="BT25"/>
  <c r="BS25"/>
  <c r="BR25"/>
  <c r="BQ25"/>
  <c r="BP25"/>
  <c r="BO25"/>
  <c r="BN25"/>
  <c r="BL25" s="1"/>
  <c r="BM25"/>
  <c r="BK25"/>
  <c r="BJ25"/>
  <c r="BI25"/>
  <c r="BH25"/>
  <c r="BG25"/>
  <c r="BF25"/>
  <c r="BE25"/>
  <c r="BD25"/>
  <c r="BC25"/>
  <c r="BB25"/>
  <c r="AX25"/>
  <c r="AW25"/>
  <c r="AV25"/>
  <c r="AC25"/>
  <c r="G25" s="1"/>
  <c r="H25"/>
  <c r="BT24"/>
  <c r="BS24"/>
  <c r="BR24"/>
  <c r="BQ24"/>
  <c r="BP24"/>
  <c r="BO24"/>
  <c r="BN24"/>
  <c r="BM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L22" s="1"/>
  <c r="BM22"/>
  <c r="BK22"/>
  <c r="BJ22"/>
  <c r="BI22"/>
  <c r="BH22"/>
  <c r="BG22"/>
  <c r="BF22"/>
  <c r="BE22"/>
  <c r="BD22"/>
  <c r="BC22"/>
  <c r="BB22"/>
  <c r="BA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G204" s="1"/>
  <c r="H204"/>
  <c r="BT203"/>
  <c r="BS203"/>
  <c r="BR203"/>
  <c r="BQ203"/>
  <c r="BP203"/>
  <c r="BO203"/>
  <c r="BN203"/>
  <c r="BM203"/>
  <c r="BL203" s="1"/>
  <c r="BK203"/>
  <c r="BJ203"/>
  <c r="BI203"/>
  <c r="BH203"/>
  <c r="BG203"/>
  <c r="BF203"/>
  <c r="BE203"/>
  <c r="BD203"/>
  <c r="BC203"/>
  <c r="BA203" s="1"/>
  <c r="BB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A201" s="1"/>
  <c r="BB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L199" s="1"/>
  <c r="BM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G197" s="1"/>
  <c r="H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L194" s="1"/>
  <c r="BM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A193" s="1"/>
  <c r="BB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L191" s="1"/>
  <c r="BM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G189" s="1"/>
  <c r="H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L186" s="1"/>
  <c r="BM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A185" s="1"/>
  <c r="BB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L183" s="1"/>
  <c r="BM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G181" s="1"/>
  <c r="H181"/>
  <c r="BT180"/>
  <c r="BS180"/>
  <c r="BR180"/>
  <c r="BQ180"/>
  <c r="BP180"/>
  <c r="BO180"/>
  <c r="BN180"/>
  <c r="BM180"/>
  <c r="BL180" s="1"/>
  <c r="BK180"/>
  <c r="BJ180"/>
  <c r="BI180"/>
  <c r="BH180"/>
  <c r="BG180"/>
  <c r="BF180"/>
  <c r="BE180"/>
  <c r="BD180"/>
  <c r="BC180"/>
  <c r="BA180" s="1"/>
  <c r="BB180"/>
  <c r="AX180"/>
  <c r="AW180"/>
  <c r="AV180"/>
  <c r="AC180"/>
  <c r="H180"/>
  <c r="BT179"/>
  <c r="BS179"/>
  <c r="BR179"/>
  <c r="BQ179"/>
  <c r="BP179"/>
  <c r="BO179"/>
  <c r="BN179"/>
  <c r="BM179"/>
  <c r="BK179"/>
  <c r="BJ179"/>
  <c r="BI179"/>
  <c r="BH179"/>
  <c r="BG179"/>
  <c r="BF179"/>
  <c r="BE179"/>
  <c r="BD179"/>
  <c r="BC179"/>
  <c r="BA179" s="1"/>
  <c r="BB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L177" s="1"/>
  <c r="BM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G176" s="1"/>
  <c r="H176"/>
  <c r="BT175"/>
  <c r="BS175"/>
  <c r="BR175"/>
  <c r="BQ175"/>
  <c r="BP175"/>
  <c r="BO175"/>
  <c r="BN175"/>
  <c r="BM175"/>
  <c r="BL175" s="1"/>
  <c r="BK175"/>
  <c r="BJ175"/>
  <c r="BI175"/>
  <c r="BH175"/>
  <c r="BG175"/>
  <c r="BF175"/>
  <c r="BE175"/>
  <c r="BD175"/>
  <c r="BC175"/>
  <c r="BA175" s="1"/>
  <c r="BB175"/>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L173" s="1"/>
  <c r="BM173"/>
  <c r="BK173"/>
  <c r="BJ173"/>
  <c r="BI173"/>
  <c r="BH173"/>
  <c r="BG173"/>
  <c r="BF173"/>
  <c r="BE173"/>
  <c r="BD173"/>
  <c r="BC173"/>
  <c r="BB173"/>
  <c r="AX173"/>
  <c r="AW173"/>
  <c r="AV173"/>
  <c r="AC173"/>
  <c r="G173" s="1"/>
  <c r="H173"/>
  <c r="BT172"/>
  <c r="BS172"/>
  <c r="BR172"/>
  <c r="BQ172"/>
  <c r="BP172"/>
  <c r="BO172"/>
  <c r="BN172"/>
  <c r="BM172"/>
  <c r="BL172" s="1"/>
  <c r="BK172"/>
  <c r="BJ172"/>
  <c r="BI172"/>
  <c r="BH172"/>
  <c r="BG172"/>
  <c r="BF172"/>
  <c r="BE172"/>
  <c r="BD172"/>
  <c r="BC172"/>
  <c r="BA172" s="1"/>
  <c r="AZ172" s="1"/>
  <c r="BB172"/>
  <c r="AX172"/>
  <c r="AW172"/>
  <c r="AV172"/>
  <c r="AC172"/>
  <c r="H172"/>
  <c r="G172" s="1"/>
  <c r="BT171"/>
  <c r="BS171"/>
  <c r="BR171"/>
  <c r="BQ171"/>
  <c r="BP171"/>
  <c r="BO171"/>
  <c r="BN171"/>
  <c r="BL171" s="1"/>
  <c r="BM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A170" s="1"/>
  <c r="BB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L168" s="1"/>
  <c r="BM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G166" s="1"/>
  <c r="H166"/>
  <c r="BT165"/>
  <c r="BS165"/>
  <c r="BR165"/>
  <c r="BQ165"/>
  <c r="BP165"/>
  <c r="BO165"/>
  <c r="BL165" s="1"/>
  <c r="BN165"/>
  <c r="BM165"/>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L163" s="1"/>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A162" s="1"/>
  <c r="BB162"/>
  <c r="AX162"/>
  <c r="AW162"/>
  <c r="AV162"/>
  <c r="AC162"/>
  <c r="G162" s="1"/>
  <c r="H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G160" s="1"/>
  <c r="H160"/>
  <c r="BT159"/>
  <c r="BS159"/>
  <c r="BR159"/>
  <c r="BQ159"/>
  <c r="BP159"/>
  <c r="BO159"/>
  <c r="BN159"/>
  <c r="BM159"/>
  <c r="BL159" s="1"/>
  <c r="BK159"/>
  <c r="BJ159"/>
  <c r="BI159"/>
  <c r="BH159"/>
  <c r="BG159"/>
  <c r="BF159"/>
  <c r="BE159"/>
  <c r="BD159"/>
  <c r="BC159"/>
  <c r="BA159" s="1"/>
  <c r="BB159"/>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L157" s="1"/>
  <c r="BM157"/>
  <c r="BK157"/>
  <c r="BJ157"/>
  <c r="BI157"/>
  <c r="BH157"/>
  <c r="BG157"/>
  <c r="BF157"/>
  <c r="BE157"/>
  <c r="BD157"/>
  <c r="BC157"/>
  <c r="BB157"/>
  <c r="AX157"/>
  <c r="AW157"/>
  <c r="AV157"/>
  <c r="AC157"/>
  <c r="G157" s="1"/>
  <c r="H157"/>
  <c r="BT156"/>
  <c r="BS156"/>
  <c r="BR156"/>
  <c r="BQ156"/>
  <c r="BP156"/>
  <c r="BO156"/>
  <c r="BN156"/>
  <c r="BM156"/>
  <c r="BL156" s="1"/>
  <c r="BK156"/>
  <c r="BJ156"/>
  <c r="BI156"/>
  <c r="BH156"/>
  <c r="BG156"/>
  <c r="BF156"/>
  <c r="BE156"/>
  <c r="BD156"/>
  <c r="BC156"/>
  <c r="BA156" s="1"/>
  <c r="AZ156" s="1"/>
  <c r="BB156"/>
  <c r="AX156"/>
  <c r="AW156"/>
  <c r="AV156"/>
  <c r="AC156"/>
  <c r="H156"/>
  <c r="G156" s="1"/>
  <c r="BT155"/>
  <c r="BS155"/>
  <c r="BR155"/>
  <c r="BQ155"/>
  <c r="BP155"/>
  <c r="BO155"/>
  <c r="BN155"/>
  <c r="BL155" s="1"/>
  <c r="BM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A154" s="1"/>
  <c r="BB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L152" s="1"/>
  <c r="BM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A151" s="1"/>
  <c r="BB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L149" s="1"/>
  <c r="BM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G143" s="1"/>
  <c r="H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G141" s="1"/>
  <c r="H141"/>
  <c r="BT140"/>
  <c r="BS140"/>
  <c r="BR140"/>
  <c r="BQ140"/>
  <c r="BP140"/>
  <c r="BO140"/>
  <c r="BN140"/>
  <c r="BM140"/>
  <c r="BL140" s="1"/>
  <c r="BK140"/>
  <c r="BJ140"/>
  <c r="BI140"/>
  <c r="BH140"/>
  <c r="BG140"/>
  <c r="BF140"/>
  <c r="BE140"/>
  <c r="BD140"/>
  <c r="BC140"/>
  <c r="BA140" s="1"/>
  <c r="BB140"/>
  <c r="AX140"/>
  <c r="AW140"/>
  <c r="AV140"/>
  <c r="AC140"/>
  <c r="H140"/>
  <c r="BT139"/>
  <c r="BS139"/>
  <c r="BR139"/>
  <c r="BQ139"/>
  <c r="BP139"/>
  <c r="BO139"/>
  <c r="BN139"/>
  <c r="BM139"/>
  <c r="BK139"/>
  <c r="BJ139"/>
  <c r="BI139"/>
  <c r="BH139"/>
  <c r="BG139"/>
  <c r="BF139"/>
  <c r="BE139"/>
  <c r="BD139"/>
  <c r="BC139"/>
  <c r="BA139" s="1"/>
  <c r="BB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L137" s="1"/>
  <c r="BM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G135" s="1"/>
  <c r="H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G133" s="1"/>
  <c r="H133"/>
  <c r="BT132"/>
  <c r="BS132"/>
  <c r="BR132"/>
  <c r="BQ132"/>
  <c r="BP132"/>
  <c r="BO132"/>
  <c r="BN132"/>
  <c r="BM132"/>
  <c r="BL132" s="1"/>
  <c r="BK132"/>
  <c r="BJ132"/>
  <c r="BI132"/>
  <c r="BH132"/>
  <c r="BG132"/>
  <c r="BF132"/>
  <c r="BE132"/>
  <c r="BD132"/>
  <c r="BC132"/>
  <c r="BA132" s="1"/>
  <c r="AZ132" s="1"/>
  <c r="BB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L130" s="1"/>
  <c r="BM130"/>
  <c r="BK130"/>
  <c r="BJ130"/>
  <c r="BI130"/>
  <c r="BH130"/>
  <c r="BG130"/>
  <c r="BF130"/>
  <c r="BE130"/>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BA128" s="1"/>
  <c r="AX128"/>
  <c r="AW128"/>
  <c r="AV128"/>
  <c r="AC128"/>
  <c r="H128"/>
  <c r="BT127"/>
  <c r="BS127"/>
  <c r="BR127"/>
  <c r="BQ127"/>
  <c r="BP127"/>
  <c r="BO127"/>
  <c r="BN127"/>
  <c r="BM127"/>
  <c r="BK127"/>
  <c r="BJ127"/>
  <c r="BI127"/>
  <c r="BH127"/>
  <c r="BG127"/>
  <c r="BF127"/>
  <c r="BE127"/>
  <c r="BD127"/>
  <c r="BC127"/>
  <c r="BA127" s="1"/>
  <c r="BB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L125" s="1"/>
  <c r="BM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G123" s="1"/>
  <c r="H123"/>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L121" s="1"/>
  <c r="BM121"/>
  <c r="BK121"/>
  <c r="BJ121"/>
  <c r="BI121"/>
  <c r="BH121"/>
  <c r="BG121"/>
  <c r="BF121"/>
  <c r="BE121"/>
  <c r="BD121"/>
  <c r="BC121"/>
  <c r="BB121"/>
  <c r="BA121" s="1"/>
  <c r="AX121"/>
  <c r="AW121"/>
  <c r="AV121"/>
  <c r="AC121"/>
  <c r="H121"/>
  <c r="G121" s="1"/>
  <c r="BT120"/>
  <c r="BS120"/>
  <c r="BR120"/>
  <c r="BQ120"/>
  <c r="BP120"/>
  <c r="BO120"/>
  <c r="BN120"/>
  <c r="BL120" s="1"/>
  <c r="AZ120" s="1"/>
  <c r="BM120"/>
  <c r="BK120"/>
  <c r="BJ120"/>
  <c r="BI120"/>
  <c r="BH120"/>
  <c r="BG120"/>
  <c r="BF120"/>
  <c r="BE120"/>
  <c r="BD120"/>
  <c r="BC120"/>
  <c r="BB120"/>
  <c r="BA120" s="1"/>
  <c r="AX120"/>
  <c r="AW120"/>
  <c r="AV120"/>
  <c r="AC120"/>
  <c r="H120"/>
  <c r="BT119"/>
  <c r="BS119"/>
  <c r="BR119"/>
  <c r="BQ119"/>
  <c r="BP119"/>
  <c r="BO119"/>
  <c r="BN119"/>
  <c r="BM119"/>
  <c r="BK119"/>
  <c r="BJ119"/>
  <c r="BI119"/>
  <c r="BH119"/>
  <c r="BG119"/>
  <c r="BF119"/>
  <c r="BE119"/>
  <c r="BD119"/>
  <c r="BC119"/>
  <c r="BB119"/>
  <c r="BA119"/>
  <c r="AX119"/>
  <c r="AW119"/>
  <c r="AV119"/>
  <c r="AC119"/>
  <c r="G119" s="1"/>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L117" s="1"/>
  <c r="BM117"/>
  <c r="BK117"/>
  <c r="BJ117"/>
  <c r="BI117"/>
  <c r="BH117"/>
  <c r="BG117"/>
  <c r="BF117"/>
  <c r="BE117"/>
  <c r="BD117"/>
  <c r="BC117"/>
  <c r="BB117"/>
  <c r="BA117" s="1"/>
  <c r="AZ117" s="1"/>
  <c r="AX117"/>
  <c r="AW117"/>
  <c r="AV117"/>
  <c r="AC117"/>
  <c r="G117" s="1"/>
  <c r="H117"/>
  <c r="BT116"/>
  <c r="BS116"/>
  <c r="BR116"/>
  <c r="BQ116"/>
  <c r="BP116"/>
  <c r="BO116"/>
  <c r="BN116"/>
  <c r="BM116"/>
  <c r="BK116"/>
  <c r="BJ116"/>
  <c r="BI116"/>
  <c r="BH116"/>
  <c r="BG116"/>
  <c r="BF116"/>
  <c r="BE116"/>
  <c r="BD116"/>
  <c r="BC116"/>
  <c r="BA116" s="1"/>
  <c r="BB116"/>
  <c r="AX116"/>
  <c r="AW116"/>
  <c r="AV116"/>
  <c r="AC116"/>
  <c r="H116"/>
  <c r="BT115"/>
  <c r="BS115"/>
  <c r="BR115"/>
  <c r="BQ115"/>
  <c r="BP115"/>
  <c r="BO115"/>
  <c r="BN115"/>
  <c r="BM115"/>
  <c r="BK115"/>
  <c r="BJ115"/>
  <c r="BI115"/>
  <c r="BH115"/>
  <c r="BG115"/>
  <c r="BF115"/>
  <c r="BE115"/>
  <c r="BD115"/>
  <c r="BC115"/>
  <c r="BA115" s="1"/>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L113" s="1"/>
  <c r="BM113"/>
  <c r="BK113"/>
  <c r="BJ113"/>
  <c r="BI113"/>
  <c r="BH113"/>
  <c r="BG113"/>
  <c r="BF113"/>
  <c r="BE113"/>
  <c r="BD113"/>
  <c r="BC113"/>
  <c r="BB113"/>
  <c r="BA113" s="1"/>
  <c r="AZ113" s="1"/>
  <c r="AX113"/>
  <c r="AW113"/>
  <c r="AV113"/>
  <c r="AC113"/>
  <c r="H113"/>
  <c r="G113" s="1"/>
  <c r="BT296"/>
  <c r="BS296"/>
  <c r="BR296"/>
  <c r="BQ296"/>
  <c r="BP296"/>
  <c r="BO296"/>
  <c r="BN296"/>
  <c r="BM296"/>
  <c r="BL296" s="1"/>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s="1"/>
  <c r="BT294"/>
  <c r="BS294"/>
  <c r="BR294"/>
  <c r="BQ294"/>
  <c r="BP294"/>
  <c r="BO294"/>
  <c r="BL294" s="1"/>
  <c r="BN294"/>
  <c r="BM294"/>
  <c r="BK294"/>
  <c r="BJ294"/>
  <c r="BI294"/>
  <c r="BH294"/>
  <c r="BG294"/>
  <c r="BF294"/>
  <c r="BE294"/>
  <c r="BD294"/>
  <c r="BC294"/>
  <c r="BB294"/>
  <c r="BA294" s="1"/>
  <c r="AZ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L291" s="1"/>
  <c r="BN291"/>
  <c r="BM29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c r="BK289"/>
  <c r="BJ289"/>
  <c r="BI289"/>
  <c r="BH289"/>
  <c r="BG289"/>
  <c r="BF289"/>
  <c r="BE289"/>
  <c r="BD289"/>
  <c r="BA289" s="1"/>
  <c r="BC289"/>
  <c r="BB289"/>
  <c r="AX289"/>
  <c r="AW289"/>
  <c r="AV289"/>
  <c r="AC289"/>
  <c r="H289"/>
  <c r="G289" s="1"/>
  <c r="BT288"/>
  <c r="BS288"/>
  <c r="BR288"/>
  <c r="BQ288"/>
  <c r="BP288"/>
  <c r="BO288"/>
  <c r="BN288"/>
  <c r="BM288"/>
  <c r="BL288" s="1"/>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L285" s="1"/>
  <c r="BK285"/>
  <c r="BJ285"/>
  <c r="BI285"/>
  <c r="BH285"/>
  <c r="BG285"/>
  <c r="BF285"/>
  <c r="BE285"/>
  <c r="BD285"/>
  <c r="BC285"/>
  <c r="BB285"/>
  <c r="BA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L283" s="1"/>
  <c r="BN283"/>
  <c r="BM283"/>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BA282" s="1"/>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A278" s="1"/>
  <c r="BC278"/>
  <c r="BB278"/>
  <c r="AX278"/>
  <c r="AW278"/>
  <c r="AV278"/>
  <c r="AC278"/>
  <c r="H278"/>
  <c r="G278" s="1"/>
  <c r="BT277"/>
  <c r="BS277"/>
  <c r="BR277"/>
  <c r="BQ277"/>
  <c r="BP277"/>
  <c r="BO277"/>
  <c r="BN277"/>
  <c r="BM277"/>
  <c r="BL277" s="1"/>
  <c r="BK277"/>
  <c r="BJ277"/>
  <c r="BI277"/>
  <c r="BH277"/>
  <c r="BG277"/>
  <c r="BF277"/>
  <c r="BE277"/>
  <c r="BD277"/>
  <c r="BC277"/>
  <c r="BB277"/>
  <c r="BA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BA274" s="1"/>
  <c r="AX274"/>
  <c r="AW274"/>
  <c r="AV274"/>
  <c r="AC274"/>
  <c r="H274"/>
  <c r="G274"/>
  <c r="BT273"/>
  <c r="BS273"/>
  <c r="BR273"/>
  <c r="BQ273"/>
  <c r="BP273"/>
  <c r="BO273"/>
  <c r="BN273"/>
  <c r="BM273"/>
  <c r="BL273"/>
  <c r="BK273"/>
  <c r="BJ273"/>
  <c r="BI273"/>
  <c r="BH273"/>
  <c r="BG273"/>
  <c r="BF273"/>
  <c r="BE273"/>
  <c r="BD273"/>
  <c r="BA273" s="1"/>
  <c r="BC273"/>
  <c r="BB273"/>
  <c r="AX273"/>
  <c r="AW273"/>
  <c r="AV273"/>
  <c r="AC273"/>
  <c r="H273"/>
  <c r="G273" s="1"/>
  <c r="BT272"/>
  <c r="BS272"/>
  <c r="BR272"/>
  <c r="BQ272"/>
  <c r="BP272"/>
  <c r="BO272"/>
  <c r="BN272"/>
  <c r="BM272"/>
  <c r="BL272" s="1"/>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A270" s="1"/>
  <c r="BC270"/>
  <c r="BB270"/>
  <c r="AX270"/>
  <c r="AW270"/>
  <c r="AV270"/>
  <c r="AC270"/>
  <c r="H270"/>
  <c r="G270" s="1"/>
  <c r="BT269"/>
  <c r="BS269"/>
  <c r="BR269"/>
  <c r="BQ269"/>
  <c r="BP269"/>
  <c r="BO269"/>
  <c r="BN269"/>
  <c r="BM269"/>
  <c r="BL269" s="1"/>
  <c r="BK269"/>
  <c r="BJ269"/>
  <c r="BI269"/>
  <c r="BH269"/>
  <c r="BG269"/>
  <c r="BF269"/>
  <c r="BE269"/>
  <c r="BD269"/>
  <c r="BC269"/>
  <c r="BB269"/>
  <c r="BA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L267" s="1"/>
  <c r="BN267"/>
  <c r="BM267"/>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s="1"/>
  <c r="BT264"/>
  <c r="BS264"/>
  <c r="BR264"/>
  <c r="BQ264"/>
  <c r="BP264"/>
  <c r="BO264"/>
  <c r="BL264" s="1"/>
  <c r="BN264"/>
  <c r="BM264"/>
  <c r="BK264"/>
  <c r="BJ264"/>
  <c r="BI264"/>
  <c r="BH264"/>
  <c r="BG264"/>
  <c r="BF264"/>
  <c r="BE264"/>
  <c r="BD264"/>
  <c r="BC264"/>
  <c r="BB264"/>
  <c r="BA264" s="1"/>
  <c r="AZ264" s="1"/>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G263"/>
  <c r="BT262"/>
  <c r="BS262"/>
  <c r="BR262"/>
  <c r="BQ262"/>
  <c r="BP262"/>
  <c r="BO262"/>
  <c r="BN262"/>
  <c r="BM262"/>
  <c r="BL262"/>
  <c r="BK262"/>
  <c r="BJ262"/>
  <c r="BI262"/>
  <c r="BH262"/>
  <c r="BG262"/>
  <c r="BF262"/>
  <c r="BE262"/>
  <c r="BD262"/>
  <c r="BA262" s="1"/>
  <c r="AZ262" s="1"/>
  <c r="BC262"/>
  <c r="BB262"/>
  <c r="AX262"/>
  <c r="AW262"/>
  <c r="AV262"/>
  <c r="AC262"/>
  <c r="H262"/>
  <c r="G262" s="1"/>
  <c r="BT261"/>
  <c r="BS261"/>
  <c r="BR261"/>
  <c r="BQ261"/>
  <c r="BP261"/>
  <c r="BO261"/>
  <c r="BL261" s="1"/>
  <c r="BN261"/>
  <c r="BM261"/>
  <c r="BK261"/>
  <c r="BJ261"/>
  <c r="BI261"/>
  <c r="BH261"/>
  <c r="BG261"/>
  <c r="BF261"/>
  <c r="BE261"/>
  <c r="BD261"/>
  <c r="BC261"/>
  <c r="BB261"/>
  <c r="BA261" s="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L259" s="1"/>
  <c r="BN259"/>
  <c r="BM259"/>
  <c r="BK259"/>
  <c r="BJ259"/>
  <c r="BI259"/>
  <c r="BH259"/>
  <c r="BG259"/>
  <c r="BF259"/>
  <c r="BE259"/>
  <c r="BD259"/>
  <c r="BC259"/>
  <c r="BB259"/>
  <c r="BA259" s="1"/>
  <c r="AZ259" s="1"/>
  <c r="AX259"/>
  <c r="AW259"/>
  <c r="AV259"/>
  <c r="AC259"/>
  <c r="H259"/>
  <c r="G259" s="1"/>
  <c r="BT258"/>
  <c r="BS258"/>
  <c r="BR258"/>
  <c r="BQ258"/>
  <c r="BP258"/>
  <c r="BO258"/>
  <c r="BN258"/>
  <c r="BM258"/>
  <c r="BL258" s="1"/>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L256" s="1"/>
  <c r="BN256"/>
  <c r="BM256"/>
  <c r="BK256"/>
  <c r="BJ256"/>
  <c r="BI256"/>
  <c r="BH256"/>
  <c r="BG256"/>
  <c r="BF256"/>
  <c r="BE256"/>
  <c r="BD256"/>
  <c r="BC256"/>
  <c r="BB256"/>
  <c r="BA256" s="1"/>
  <c r="AZ256" s="1"/>
  <c r="AX256"/>
  <c r="AW256"/>
  <c r="AV256"/>
  <c r="AC256"/>
  <c r="H256"/>
  <c r="G256" s="1"/>
  <c r="BT255"/>
  <c r="BS255"/>
  <c r="BR255"/>
  <c r="BQ255"/>
  <c r="BP255"/>
  <c r="BO255"/>
  <c r="BN255"/>
  <c r="BM255"/>
  <c r="BL255" s="1"/>
  <c r="BK255"/>
  <c r="BJ255"/>
  <c r="BI255"/>
  <c r="BH255"/>
  <c r="BG255"/>
  <c r="BF255"/>
  <c r="BE255"/>
  <c r="BD255"/>
  <c r="BC255"/>
  <c r="BB255"/>
  <c r="BA255" s="1"/>
  <c r="AX255"/>
  <c r="AW255"/>
  <c r="AV255"/>
  <c r="AC255"/>
  <c r="H255"/>
  <c r="G255"/>
  <c r="BT254"/>
  <c r="BS254"/>
  <c r="BR254"/>
  <c r="BQ254"/>
  <c r="BP254"/>
  <c r="BO254"/>
  <c r="BN254"/>
  <c r="BM254"/>
  <c r="BL254"/>
  <c r="BK254"/>
  <c r="BJ254"/>
  <c r="BI254"/>
  <c r="BH254"/>
  <c r="BG254"/>
  <c r="BF254"/>
  <c r="BE254"/>
  <c r="BD254"/>
  <c r="BA254" s="1"/>
  <c r="BC254"/>
  <c r="BB254"/>
  <c r="AZ254"/>
  <c r="AX254"/>
  <c r="AW254"/>
  <c r="AV254"/>
  <c r="AC254"/>
  <c r="H254"/>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BT251"/>
  <c r="BS251"/>
  <c r="BR251"/>
  <c r="BQ251"/>
  <c r="BP251"/>
  <c r="BO251"/>
  <c r="BL251" s="1"/>
  <c r="BN251"/>
  <c r="BM25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BA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s="1"/>
  <c r="BT248"/>
  <c r="BS248"/>
  <c r="BR248"/>
  <c r="BQ248"/>
  <c r="BP248"/>
  <c r="BO248"/>
  <c r="BN248"/>
  <c r="BM248"/>
  <c r="BL248"/>
  <c r="BK248"/>
  <c r="BJ248"/>
  <c r="BI248"/>
  <c r="BH248"/>
  <c r="BG248"/>
  <c r="BF248"/>
  <c r="BE248"/>
  <c r="BD248"/>
  <c r="BC248"/>
  <c r="BB248"/>
  <c r="BA248" s="1"/>
  <c r="AZ248"/>
  <c r="AX248"/>
  <c r="AW248"/>
  <c r="AV248"/>
  <c r="AC248"/>
  <c r="H248"/>
  <c r="BT247"/>
  <c r="BS247"/>
  <c r="BR247"/>
  <c r="BQ247"/>
  <c r="BP247"/>
  <c r="BO247"/>
  <c r="BN247"/>
  <c r="BM247"/>
  <c r="BK247"/>
  <c r="BJ247"/>
  <c r="BI247"/>
  <c r="BH247"/>
  <c r="BG247"/>
  <c r="BF247"/>
  <c r="BE247"/>
  <c r="BD247"/>
  <c r="BC247"/>
  <c r="BB247"/>
  <c r="BA247" s="1"/>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Z243"/>
  <c r="AX243"/>
  <c r="AW243"/>
  <c r="AV243"/>
  <c r="AC243"/>
  <c r="H243"/>
  <c r="BT242"/>
  <c r="BS242"/>
  <c r="BR242"/>
  <c r="BQ242"/>
  <c r="BP242"/>
  <c r="BO242"/>
  <c r="BN242"/>
  <c r="BM242"/>
  <c r="BK242"/>
  <c r="BJ242"/>
  <c r="BI242"/>
  <c r="BH242"/>
  <c r="BG242"/>
  <c r="BF242"/>
  <c r="BE242"/>
  <c r="BD242"/>
  <c r="BC242"/>
  <c r="BB242"/>
  <c r="BA242" s="1"/>
  <c r="AX242"/>
  <c r="AW242"/>
  <c r="AV242"/>
  <c r="AC242"/>
  <c r="H242"/>
  <c r="G242" s="1"/>
  <c r="BT241"/>
  <c r="BS241"/>
  <c r="BR241"/>
  <c r="BQ241"/>
  <c r="BP241"/>
  <c r="BO241"/>
  <c r="BN241"/>
  <c r="BM241"/>
  <c r="BK241"/>
  <c r="BJ241"/>
  <c r="BI241"/>
  <c r="BH241"/>
  <c r="BG241"/>
  <c r="BF241"/>
  <c r="BE241"/>
  <c r="BD241"/>
  <c r="BC241"/>
  <c r="BB241"/>
  <c r="BA241"/>
  <c r="AX241"/>
  <c r="AW241"/>
  <c r="AV241"/>
  <c r="AC241"/>
  <c r="H241"/>
  <c r="BT240"/>
  <c r="BS240"/>
  <c r="BR240"/>
  <c r="BQ240"/>
  <c r="BP240"/>
  <c r="BO240"/>
  <c r="BL240" s="1"/>
  <c r="BN240"/>
  <c r="BM240"/>
  <c r="BK240"/>
  <c r="BJ240"/>
  <c r="BI240"/>
  <c r="BH240"/>
  <c r="BG240"/>
  <c r="BF240"/>
  <c r="BE240"/>
  <c r="BD240"/>
  <c r="BC240"/>
  <c r="BB240"/>
  <c r="BA240" s="1"/>
  <c r="AZ240" s="1"/>
  <c r="AX240"/>
  <c r="AW240"/>
  <c r="AV240"/>
  <c r="AC240"/>
  <c r="H240"/>
  <c r="BT239"/>
  <c r="BS239"/>
  <c r="BR239"/>
  <c r="BQ239"/>
  <c r="BP239"/>
  <c r="BO239"/>
  <c r="BN239"/>
  <c r="BM239"/>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AZ238" s="1"/>
  <c r="BC238"/>
  <c r="BB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K236"/>
  <c r="BJ236"/>
  <c r="BI236"/>
  <c r="BH236"/>
  <c r="BG236"/>
  <c r="BF236"/>
  <c r="BE236"/>
  <c r="BD236"/>
  <c r="BC236"/>
  <c r="BB236"/>
  <c r="BA236"/>
  <c r="AX236"/>
  <c r="AW236"/>
  <c r="AV236"/>
  <c r="AC236"/>
  <c r="H236"/>
  <c r="BT235"/>
  <c r="BS235"/>
  <c r="BR235"/>
  <c r="BQ235"/>
  <c r="BP235"/>
  <c r="BO235"/>
  <c r="BN235"/>
  <c r="BL235" s="1"/>
  <c r="BM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BT232"/>
  <c r="BS232"/>
  <c r="BR232"/>
  <c r="BQ232"/>
  <c r="BP232"/>
  <c r="BO232"/>
  <c r="BN232"/>
  <c r="BL232" s="1"/>
  <c r="BM232"/>
  <c r="BK232"/>
  <c r="BJ232"/>
  <c r="BI232"/>
  <c r="BH232"/>
  <c r="BG232"/>
  <c r="BF232"/>
  <c r="BE232"/>
  <c r="BD232"/>
  <c r="BC232"/>
  <c r="BB232"/>
  <c r="BA232" s="1"/>
  <c r="AZ232" s="1"/>
  <c r="AX232"/>
  <c r="AW232"/>
  <c r="AV232"/>
  <c r="AC232"/>
  <c r="G232" s="1"/>
  <c r="H232"/>
  <c r="BT231"/>
  <c r="BS231"/>
  <c r="BR231"/>
  <c r="BQ231"/>
  <c r="BP231"/>
  <c r="BO231"/>
  <c r="BN231"/>
  <c r="BM231"/>
  <c r="BK231"/>
  <c r="BJ231"/>
  <c r="BI231"/>
  <c r="BH231"/>
  <c r="BG231"/>
  <c r="BF231"/>
  <c r="BE231"/>
  <c r="BD231"/>
  <c r="BC231"/>
  <c r="BB231"/>
  <c r="BA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BT229"/>
  <c r="BS229"/>
  <c r="BR229"/>
  <c r="BQ229"/>
  <c r="BP229"/>
  <c r="BO229"/>
  <c r="BN229"/>
  <c r="BL229" s="1"/>
  <c r="BM229"/>
  <c r="BK229"/>
  <c r="BJ229"/>
  <c r="BI229"/>
  <c r="BH229"/>
  <c r="BG229"/>
  <c r="BF229"/>
  <c r="BE229"/>
  <c r="BD229"/>
  <c r="BC229"/>
  <c r="BB229"/>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L227" s="1"/>
  <c r="BN227"/>
  <c r="BM227"/>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L222" s="1"/>
  <c r="BM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G221" s="1"/>
  <c r="H221"/>
  <c r="BT220"/>
  <c r="BS220"/>
  <c r="BR220"/>
  <c r="BQ220"/>
  <c r="BP220"/>
  <c r="BO220"/>
  <c r="BN220"/>
  <c r="BM220"/>
  <c r="BL220" s="1"/>
  <c r="BK220"/>
  <c r="BJ220"/>
  <c r="BI220"/>
  <c r="BH220"/>
  <c r="BG220"/>
  <c r="BF220"/>
  <c r="BE220"/>
  <c r="BD220"/>
  <c r="BC220"/>
  <c r="BA220" s="1"/>
  <c r="BB220"/>
  <c r="AX220"/>
  <c r="AW220"/>
  <c r="AV220"/>
  <c r="AC220"/>
  <c r="H220"/>
  <c r="G220"/>
  <c r="BT219"/>
  <c r="BS219"/>
  <c r="BR219"/>
  <c r="BQ219"/>
  <c r="BP219"/>
  <c r="BO219"/>
  <c r="BN219"/>
  <c r="BM219"/>
  <c r="BL219" s="1"/>
  <c r="BK219"/>
  <c r="BJ219"/>
  <c r="BI219"/>
  <c r="BH219"/>
  <c r="BG219"/>
  <c r="BF219"/>
  <c r="BE219"/>
  <c r="BD219"/>
  <c r="BC219"/>
  <c r="BB219"/>
  <c r="BA219"/>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G218" s="1"/>
  <c r="H218"/>
  <c r="BT217"/>
  <c r="BS217"/>
  <c r="BR217"/>
  <c r="BQ217"/>
  <c r="BP217"/>
  <c r="BO217"/>
  <c r="BN217"/>
  <c r="BM217"/>
  <c r="BL217" s="1"/>
  <c r="BK217"/>
  <c r="BJ217"/>
  <c r="BI217"/>
  <c r="BH217"/>
  <c r="BG217"/>
  <c r="BF217"/>
  <c r="BE217"/>
  <c r="BD217"/>
  <c r="BC217"/>
  <c r="BA217" s="1"/>
  <c r="BB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L214" s="1"/>
  <c r="BM214"/>
  <c r="BK214"/>
  <c r="BJ214"/>
  <c r="BI214"/>
  <c r="BH214"/>
  <c r="BG214"/>
  <c r="BF214"/>
  <c r="BE214"/>
  <c r="BD214"/>
  <c r="BC214"/>
  <c r="BB214"/>
  <c r="BA214" s="1"/>
  <c r="AZ214" s="1"/>
  <c r="AX214"/>
  <c r="AW214"/>
  <c r="AV214"/>
  <c r="AC214"/>
  <c r="H214"/>
  <c r="G214"/>
  <c r="BT213"/>
  <c r="BS213"/>
  <c r="BR213"/>
  <c r="BQ213"/>
  <c r="BP213"/>
  <c r="BO213"/>
  <c r="BN213"/>
  <c r="BM213"/>
  <c r="BL213" s="1"/>
  <c r="BK213"/>
  <c r="BJ213"/>
  <c r="BI213"/>
  <c r="BH213"/>
  <c r="BG213"/>
  <c r="BF213"/>
  <c r="BE213"/>
  <c r="BD213"/>
  <c r="BC213"/>
  <c r="BB213"/>
  <c r="BA213"/>
  <c r="AX213"/>
  <c r="AW213"/>
  <c r="AV213"/>
  <c r="AC213"/>
  <c r="G213" s="1"/>
  <c r="H213"/>
  <c r="BT212"/>
  <c r="BS212"/>
  <c r="BR212"/>
  <c r="BQ212"/>
  <c r="BP212"/>
  <c r="BO212"/>
  <c r="BN212"/>
  <c r="BM212"/>
  <c r="BL212" s="1"/>
  <c r="BK212"/>
  <c r="BJ212"/>
  <c r="BI212"/>
  <c r="BH212"/>
  <c r="BG212"/>
  <c r="BF212"/>
  <c r="BE212"/>
  <c r="BD212"/>
  <c r="BC212"/>
  <c r="BA212" s="1"/>
  <c r="BB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G210" s="1"/>
  <c r="H210"/>
  <c r="BT209"/>
  <c r="BS209"/>
  <c r="BR209"/>
  <c r="BQ209"/>
  <c r="BP209"/>
  <c r="BO209"/>
  <c r="BN209"/>
  <c r="BM209"/>
  <c r="BL209" s="1"/>
  <c r="BK209"/>
  <c r="BJ209"/>
  <c r="BI209"/>
  <c r="BH209"/>
  <c r="BG209"/>
  <c r="BF209"/>
  <c r="BE209"/>
  <c r="BD209"/>
  <c r="BC209"/>
  <c r="BA209" s="1"/>
  <c r="BB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L206" s="1"/>
  <c r="BM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G205" s="1"/>
  <c r="H205"/>
  <c r="BT388"/>
  <c r="BS388"/>
  <c r="BR388"/>
  <c r="BQ388"/>
  <c r="BP388"/>
  <c r="BO388"/>
  <c r="BN388"/>
  <c r="BM388"/>
  <c r="BL388" s="1"/>
  <c r="BK388"/>
  <c r="BJ388"/>
  <c r="BI388"/>
  <c r="BH388"/>
  <c r="BG388"/>
  <c r="BF388"/>
  <c r="BE388"/>
  <c r="BD388"/>
  <c r="BC388"/>
  <c r="BA388" s="1"/>
  <c r="BB388"/>
  <c r="AX388"/>
  <c r="AW388"/>
  <c r="AV388"/>
  <c r="AC388"/>
  <c r="H388"/>
  <c r="G388"/>
  <c r="BT387"/>
  <c r="BS387"/>
  <c r="BR387"/>
  <c r="BQ387"/>
  <c r="BP387"/>
  <c r="BO387"/>
  <c r="BN387"/>
  <c r="BM387"/>
  <c r="BL387" s="1"/>
  <c r="BK387"/>
  <c r="BJ387"/>
  <c r="BI387"/>
  <c r="BH387"/>
  <c r="BG387"/>
  <c r="BF387"/>
  <c r="BE387"/>
  <c r="BD387"/>
  <c r="BC387"/>
  <c r="BB387"/>
  <c r="BA387"/>
  <c r="AX387"/>
  <c r="AW387"/>
  <c r="AV387"/>
  <c r="AC387"/>
  <c r="H387"/>
  <c r="G387" s="1"/>
  <c r="BT386"/>
  <c r="BS386"/>
  <c r="BR386"/>
  <c r="BQ386"/>
  <c r="BP386"/>
  <c r="BO386"/>
  <c r="BN386"/>
  <c r="BL386" s="1"/>
  <c r="BM386"/>
  <c r="BK386"/>
  <c r="BJ386"/>
  <c r="BI386"/>
  <c r="BH386"/>
  <c r="BG386"/>
  <c r="BF386"/>
  <c r="BE386"/>
  <c r="BD386"/>
  <c r="BC386"/>
  <c r="BB386"/>
  <c r="BA386" s="1"/>
  <c r="AZ386" s="1"/>
  <c r="AX386"/>
  <c r="AW386"/>
  <c r="AV386"/>
  <c r="AC386"/>
  <c r="G386" s="1"/>
  <c r="H386"/>
  <c r="BT385"/>
  <c r="BS385"/>
  <c r="BR385"/>
  <c r="BQ385"/>
  <c r="BP385"/>
  <c r="BO385"/>
  <c r="BN385"/>
  <c r="BM385"/>
  <c r="BL385" s="1"/>
  <c r="BK385"/>
  <c r="BJ385"/>
  <c r="BI385"/>
  <c r="BH385"/>
  <c r="BG385"/>
  <c r="BF385"/>
  <c r="BE385"/>
  <c r="BD385"/>
  <c r="BC385"/>
  <c r="BA385" s="1"/>
  <c r="BB385"/>
  <c r="AX385"/>
  <c r="AW385"/>
  <c r="AV385"/>
  <c r="AC385"/>
  <c r="H385"/>
  <c r="BT384"/>
  <c r="BS384"/>
  <c r="BR384"/>
  <c r="BQ384"/>
  <c r="BP384"/>
  <c r="BO384"/>
  <c r="BN384"/>
  <c r="BL384" s="1"/>
  <c r="BM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s="1"/>
  <c r="BK369"/>
  <c r="BJ369"/>
  <c r="BI369"/>
  <c r="BH369"/>
  <c r="BG369"/>
  <c r="BF369"/>
  <c r="BE369"/>
  <c r="BD369"/>
  <c r="BC369"/>
  <c r="BB369"/>
  <c r="BA369" s="1"/>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s="1"/>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L348" s="1"/>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L346" s="1"/>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A341" s="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L335" s="1"/>
  <c r="BN335"/>
  <c r="BM335"/>
  <c r="BK335"/>
  <c r="BJ335"/>
  <c r="BI335"/>
  <c r="BH335"/>
  <c r="BG335"/>
  <c r="BF335"/>
  <c r="BE335"/>
  <c r="BD335"/>
  <c r="BC335"/>
  <c r="BB335"/>
  <c r="BA335" s="1"/>
  <c r="AX335"/>
  <c r="AW335"/>
  <c r="AV335"/>
  <c r="AC335"/>
  <c r="H335"/>
  <c r="BT334"/>
  <c r="BS334"/>
  <c r="BR334"/>
  <c r="BQ334"/>
  <c r="BP334"/>
  <c r="BO334"/>
  <c r="BN334"/>
  <c r="BM334"/>
  <c r="BL334"/>
  <c r="BK334"/>
  <c r="BJ334"/>
  <c r="BI334"/>
  <c r="BH334"/>
  <c r="BG334"/>
  <c r="BF334"/>
  <c r="BE334"/>
  <c r="BD334"/>
  <c r="BA334" s="1"/>
  <c r="AZ334" s="1"/>
  <c r="BC334"/>
  <c r="BB334"/>
  <c r="AX334"/>
  <c r="AW334"/>
  <c r="AV334"/>
  <c r="AC334"/>
  <c r="H334"/>
  <c r="BT333"/>
  <c r="BS333"/>
  <c r="BR333"/>
  <c r="BQ333"/>
  <c r="BP333"/>
  <c r="BO333"/>
  <c r="BN333"/>
  <c r="BM333"/>
  <c r="BK333"/>
  <c r="BJ333"/>
  <c r="BI333"/>
  <c r="BH333"/>
  <c r="BG333"/>
  <c r="BF333"/>
  <c r="BE333"/>
  <c r="BD333"/>
  <c r="BC333"/>
  <c r="BB333"/>
  <c r="BA333"/>
  <c r="AX333"/>
  <c r="AW333"/>
  <c r="AV333"/>
  <c r="AC333"/>
  <c r="H333"/>
  <c r="G333" s="1"/>
  <c r="BT332"/>
  <c r="BS332"/>
  <c r="BR332"/>
  <c r="BQ332"/>
  <c r="BP332"/>
  <c r="BO332"/>
  <c r="BN332"/>
  <c r="BL332" s="1"/>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L330" s="1"/>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A325" s="1"/>
  <c r="BB325"/>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L319" s="1"/>
  <c r="BM319"/>
  <c r="BK319"/>
  <c r="BJ319"/>
  <c r="BI319"/>
  <c r="BH319"/>
  <c r="BG319"/>
  <c r="BF319"/>
  <c r="BE319"/>
  <c r="BD319"/>
  <c r="BC319"/>
  <c r="BB319"/>
  <c r="BA319" s="1"/>
  <c r="AX319"/>
  <c r="AW319"/>
  <c r="AV319"/>
  <c r="AC319"/>
  <c r="H319"/>
  <c r="BT318"/>
  <c r="BS318"/>
  <c r="BR318"/>
  <c r="BQ318"/>
  <c r="BP318"/>
  <c r="BO318"/>
  <c r="BN318"/>
  <c r="BM318"/>
  <c r="BL318"/>
  <c r="BK318"/>
  <c r="BJ318"/>
  <c r="BI318"/>
  <c r="BH318"/>
  <c r="BG318"/>
  <c r="BF318"/>
  <c r="BE318"/>
  <c r="BD318"/>
  <c r="BC318"/>
  <c r="BA318" s="1"/>
  <c r="AZ318" s="1"/>
  <c r="BB318"/>
  <c r="AX318"/>
  <c r="AW318"/>
  <c r="AV318"/>
  <c r="AC318"/>
  <c r="H318"/>
  <c r="BT317"/>
  <c r="BS317"/>
  <c r="BR317"/>
  <c r="BQ317"/>
  <c r="BP317"/>
  <c r="BO317"/>
  <c r="BN317"/>
  <c r="BM317"/>
  <c r="BK317"/>
  <c r="BJ317"/>
  <c r="BI317"/>
  <c r="BH317"/>
  <c r="BG317"/>
  <c r="BF317"/>
  <c r="BE317"/>
  <c r="BD317"/>
  <c r="BC317"/>
  <c r="BB317"/>
  <c r="BA317"/>
  <c r="AX317"/>
  <c r="AW317"/>
  <c r="AV317"/>
  <c r="AC317"/>
  <c r="H317"/>
  <c r="G317" s="1"/>
  <c r="BT316"/>
  <c r="BS316"/>
  <c r="BR316"/>
  <c r="BQ316"/>
  <c r="BP316"/>
  <c r="BO316"/>
  <c r="BN316"/>
  <c r="BL316" s="1"/>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G315" s="1"/>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A311" s="1"/>
  <c r="BB31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s="1"/>
  <c r="BT308"/>
  <c r="BS308"/>
  <c r="BR308"/>
  <c r="BQ308"/>
  <c r="BP308"/>
  <c r="BO308"/>
  <c r="BN308"/>
  <c r="BL308" s="1"/>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L306" s="1"/>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A301" s="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L480" s="1"/>
  <c r="BM480"/>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BA479" s="1"/>
  <c r="AX479"/>
  <c r="AW479"/>
  <c r="AV479"/>
  <c r="AC479"/>
  <c r="G479" s="1"/>
  <c r="H479"/>
  <c r="BT478"/>
  <c r="BS478"/>
  <c r="BR478"/>
  <c r="BQ478"/>
  <c r="BP478"/>
  <c r="BO478"/>
  <c r="BN478"/>
  <c r="BM478"/>
  <c r="BL478"/>
  <c r="BK478"/>
  <c r="BJ478"/>
  <c r="BI478"/>
  <c r="BH478"/>
  <c r="BG478"/>
  <c r="BF478"/>
  <c r="BE478"/>
  <c r="BD478"/>
  <c r="BC478"/>
  <c r="BA478" s="1"/>
  <c r="AZ478" s="1"/>
  <c r="BB478"/>
  <c r="AX478"/>
  <c r="AW478"/>
  <c r="AV478"/>
  <c r="AC478"/>
  <c r="H478"/>
  <c r="G478" s="1"/>
  <c r="BT477"/>
  <c r="BS477"/>
  <c r="BR477"/>
  <c r="BQ477"/>
  <c r="BP477"/>
  <c r="BO477"/>
  <c r="BN477"/>
  <c r="BL477" s="1"/>
  <c r="BM477"/>
  <c r="BK477"/>
  <c r="BJ477"/>
  <c r="BI477"/>
  <c r="BH477"/>
  <c r="BG477"/>
  <c r="BF477"/>
  <c r="BE477"/>
  <c r="BD477"/>
  <c r="BC477"/>
  <c r="BB477"/>
  <c r="BA477" s="1"/>
  <c r="AX477"/>
  <c r="AW477"/>
  <c r="AV477"/>
  <c r="AC477"/>
  <c r="H477"/>
  <c r="G477"/>
  <c r="BT476"/>
  <c r="BS476"/>
  <c r="BR476"/>
  <c r="BQ476"/>
  <c r="BP476"/>
  <c r="BO476"/>
  <c r="BN476"/>
  <c r="BM476"/>
  <c r="BL476" s="1"/>
  <c r="BK476"/>
  <c r="BJ476"/>
  <c r="BI476"/>
  <c r="BH476"/>
  <c r="BG476"/>
  <c r="BF476"/>
  <c r="BE476"/>
  <c r="BD476"/>
  <c r="BC476"/>
  <c r="BB476"/>
  <c r="BA476"/>
  <c r="AX476"/>
  <c r="AW476"/>
  <c r="AV476"/>
  <c r="AC476"/>
  <c r="G476" s="1"/>
  <c r="H476"/>
  <c r="BT475"/>
  <c r="BS475"/>
  <c r="BR475"/>
  <c r="BQ475"/>
  <c r="BP475"/>
  <c r="BO475"/>
  <c r="BN475"/>
  <c r="BM475"/>
  <c r="BL475"/>
  <c r="BK475"/>
  <c r="BJ475"/>
  <c r="BI475"/>
  <c r="BH475"/>
  <c r="BG475"/>
  <c r="BF475"/>
  <c r="BE475"/>
  <c r="BD475"/>
  <c r="BC475"/>
  <c r="BA475" s="1"/>
  <c r="BB475"/>
  <c r="AX475"/>
  <c r="AW475"/>
  <c r="AV475"/>
  <c r="AC475"/>
  <c r="H475"/>
  <c r="G475" s="1"/>
  <c r="BT474"/>
  <c r="BS474"/>
  <c r="BR474"/>
  <c r="BQ474"/>
  <c r="BP474"/>
  <c r="BO474"/>
  <c r="BN474"/>
  <c r="BM474"/>
  <c r="BL474" s="1"/>
  <c r="BK474"/>
  <c r="BJ474"/>
  <c r="BI474"/>
  <c r="BH474"/>
  <c r="BG474"/>
  <c r="BF474"/>
  <c r="BE474"/>
  <c r="BD474"/>
  <c r="BC474"/>
  <c r="BB474"/>
  <c r="BA474" s="1"/>
  <c r="AX474"/>
  <c r="AW474"/>
  <c r="AV474"/>
  <c r="AC474"/>
  <c r="G474" s="1"/>
  <c r="H474"/>
  <c r="BT473"/>
  <c r="BS473"/>
  <c r="BR473"/>
  <c r="BQ473"/>
  <c r="BP473"/>
  <c r="BO473"/>
  <c r="BN473"/>
  <c r="BM473"/>
  <c r="BL473"/>
  <c r="BK473"/>
  <c r="BJ473"/>
  <c r="BI473"/>
  <c r="BH473"/>
  <c r="BG473"/>
  <c r="BF473"/>
  <c r="BE473"/>
  <c r="BD473"/>
  <c r="BC473"/>
  <c r="BA473" s="1"/>
  <c r="AZ473" s="1"/>
  <c r="BB473"/>
  <c r="AX473"/>
  <c r="AW473"/>
  <c r="AV473"/>
  <c r="AC473"/>
  <c r="H473"/>
  <c r="G473" s="1"/>
  <c r="BT472"/>
  <c r="BS472"/>
  <c r="BR472"/>
  <c r="BQ472"/>
  <c r="BP472"/>
  <c r="BO472"/>
  <c r="BN472"/>
  <c r="BL472" s="1"/>
  <c r="BM472"/>
  <c r="BK472"/>
  <c r="BJ472"/>
  <c r="BI472"/>
  <c r="BH472"/>
  <c r="BG472"/>
  <c r="BF472"/>
  <c r="BE472"/>
  <c r="BD472"/>
  <c r="BC472"/>
  <c r="BB472"/>
  <c r="BA472" s="1"/>
  <c r="AX472"/>
  <c r="AW472"/>
  <c r="AV472"/>
  <c r="AC472"/>
  <c r="H472"/>
  <c r="G472" s="1"/>
  <c r="BT471"/>
  <c r="BS471"/>
  <c r="BR471"/>
  <c r="BQ471"/>
  <c r="BP471"/>
  <c r="BO471"/>
  <c r="BN471"/>
  <c r="BM471"/>
  <c r="BL471" s="1"/>
  <c r="BK471"/>
  <c r="BJ471"/>
  <c r="BI471"/>
  <c r="BH471"/>
  <c r="BG471"/>
  <c r="BF471"/>
  <c r="BE471"/>
  <c r="BD471"/>
  <c r="BC471"/>
  <c r="BB471"/>
  <c r="BA471" s="1"/>
  <c r="AX471"/>
  <c r="AW471"/>
  <c r="AV471"/>
  <c r="AC471"/>
  <c r="G471" s="1"/>
  <c r="H471"/>
  <c r="BT470"/>
  <c r="BS470"/>
  <c r="BR470"/>
  <c r="BQ470"/>
  <c r="BP470"/>
  <c r="BO470"/>
  <c r="BN470"/>
  <c r="BM470"/>
  <c r="BL470"/>
  <c r="BK470"/>
  <c r="BJ470"/>
  <c r="BI470"/>
  <c r="BH470"/>
  <c r="BG470"/>
  <c r="BF470"/>
  <c r="BE470"/>
  <c r="BD470"/>
  <c r="BC470"/>
  <c r="BA470" s="1"/>
  <c r="AZ470" s="1"/>
  <c r="BB470"/>
  <c r="AX470"/>
  <c r="AW470"/>
  <c r="AV470"/>
  <c r="AC470"/>
  <c r="H470"/>
  <c r="G470" s="1"/>
  <c r="BT469"/>
  <c r="BS469"/>
  <c r="BR469"/>
  <c r="BQ469"/>
  <c r="BP469"/>
  <c r="BO469"/>
  <c r="BN469"/>
  <c r="BL469" s="1"/>
  <c r="BM469"/>
  <c r="BK469"/>
  <c r="BJ469"/>
  <c r="BI469"/>
  <c r="BH469"/>
  <c r="BG469"/>
  <c r="BF469"/>
  <c r="BE469"/>
  <c r="BD469"/>
  <c r="BC469"/>
  <c r="BB469"/>
  <c r="BA469" s="1"/>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G468" s="1"/>
  <c r="H468"/>
  <c r="BT467"/>
  <c r="BS467"/>
  <c r="BR467"/>
  <c r="BQ467"/>
  <c r="BP467"/>
  <c r="BO467"/>
  <c r="BN467"/>
  <c r="BM467"/>
  <c r="BL467"/>
  <c r="BK467"/>
  <c r="BJ467"/>
  <c r="BI467"/>
  <c r="BH467"/>
  <c r="BG467"/>
  <c r="BF467"/>
  <c r="BE467"/>
  <c r="BD467"/>
  <c r="BC467"/>
  <c r="BA467" s="1"/>
  <c r="BB467"/>
  <c r="AX467"/>
  <c r="AW467"/>
  <c r="AV467"/>
  <c r="AC467"/>
  <c r="H467"/>
  <c r="G467" s="1"/>
  <c r="BT466"/>
  <c r="BS466"/>
  <c r="BR466"/>
  <c r="BQ466"/>
  <c r="BP466"/>
  <c r="BO466"/>
  <c r="BN466"/>
  <c r="BM466"/>
  <c r="BL466" s="1"/>
  <c r="BK466"/>
  <c r="BJ466"/>
  <c r="BI466"/>
  <c r="BH466"/>
  <c r="BG466"/>
  <c r="BF466"/>
  <c r="BE466"/>
  <c r="BD466"/>
  <c r="BC466"/>
  <c r="BB466"/>
  <c r="BA466" s="1"/>
  <c r="AX466"/>
  <c r="AW466"/>
  <c r="AV466"/>
  <c r="AC466"/>
  <c r="G466" s="1"/>
  <c r="H466"/>
  <c r="BT465"/>
  <c r="BS465"/>
  <c r="BR465"/>
  <c r="BQ465"/>
  <c r="BP465"/>
  <c r="BO465"/>
  <c r="BN465"/>
  <c r="BM465"/>
  <c r="BL465"/>
  <c r="BK465"/>
  <c r="BJ465"/>
  <c r="BI465"/>
  <c r="BH465"/>
  <c r="BG465"/>
  <c r="BF465"/>
  <c r="BE465"/>
  <c r="BD465"/>
  <c r="BC465"/>
  <c r="BA465" s="1"/>
  <c r="AZ465" s="1"/>
  <c r="BB465"/>
  <c r="AX465"/>
  <c r="AW465"/>
  <c r="AV465"/>
  <c r="AC465"/>
  <c r="H465"/>
  <c r="G465" s="1"/>
  <c r="BT464"/>
  <c r="BS464"/>
  <c r="BR464"/>
  <c r="BQ464"/>
  <c r="BP464"/>
  <c r="BO464"/>
  <c r="BN464"/>
  <c r="BL464" s="1"/>
  <c r="BM464"/>
  <c r="BK464"/>
  <c r="BJ464"/>
  <c r="BI464"/>
  <c r="BH464"/>
  <c r="BG464"/>
  <c r="BF464"/>
  <c r="BE464"/>
  <c r="BD464"/>
  <c r="BC464"/>
  <c r="BB464"/>
  <c r="BA464" s="1"/>
  <c r="AZ464" s="1"/>
  <c r="AX464"/>
  <c r="AW464"/>
  <c r="AV464"/>
  <c r="AC464"/>
  <c r="H464"/>
  <c r="G464" s="1"/>
  <c r="BT463"/>
  <c r="BS463"/>
  <c r="BR463"/>
  <c r="BQ463"/>
  <c r="BP463"/>
  <c r="BO463"/>
  <c r="BN463"/>
  <c r="BM463"/>
  <c r="BL463" s="1"/>
  <c r="BK463"/>
  <c r="BJ463"/>
  <c r="BI463"/>
  <c r="BH463"/>
  <c r="BG463"/>
  <c r="BF463"/>
  <c r="BE463"/>
  <c r="BD463"/>
  <c r="BC463"/>
  <c r="BB463"/>
  <c r="BA463" s="1"/>
  <c r="AX463"/>
  <c r="AW463"/>
  <c r="AV463"/>
  <c r="AC463"/>
  <c r="G463" s="1"/>
  <c r="H463"/>
  <c r="BT462"/>
  <c r="BS462"/>
  <c r="BR462"/>
  <c r="BQ462"/>
  <c r="BP462"/>
  <c r="BO462"/>
  <c r="BN462"/>
  <c r="BM462"/>
  <c r="BL462"/>
  <c r="BK462"/>
  <c r="BJ462"/>
  <c r="BI462"/>
  <c r="BH462"/>
  <c r="BG462"/>
  <c r="BF462"/>
  <c r="BE462"/>
  <c r="BD462"/>
  <c r="BC462"/>
  <c r="BA462" s="1"/>
  <c r="AZ462" s="1"/>
  <c r="BB462"/>
  <c r="AX462"/>
  <c r="AW462"/>
  <c r="AV462"/>
  <c r="AC462"/>
  <c r="H462"/>
  <c r="G462" s="1"/>
  <c r="BT461"/>
  <c r="BS461"/>
  <c r="BR461"/>
  <c r="BQ461"/>
  <c r="BP461"/>
  <c r="BO461"/>
  <c r="BN461"/>
  <c r="BL461" s="1"/>
  <c r="BM461"/>
  <c r="BK461"/>
  <c r="BJ461"/>
  <c r="BI461"/>
  <c r="BH461"/>
  <c r="BG461"/>
  <c r="BF461"/>
  <c r="BE461"/>
  <c r="BD461"/>
  <c r="BC461"/>
  <c r="BB461"/>
  <c r="BA461" s="1"/>
  <c r="AX461"/>
  <c r="AW461"/>
  <c r="AV461"/>
  <c r="AC461"/>
  <c r="H461"/>
  <c r="G461"/>
  <c r="BT460"/>
  <c r="BS460"/>
  <c r="BR460"/>
  <c r="BQ460"/>
  <c r="BP460"/>
  <c r="BO460"/>
  <c r="BN460"/>
  <c r="BM460"/>
  <c r="BL460" s="1"/>
  <c r="BK460"/>
  <c r="BJ460"/>
  <c r="BI460"/>
  <c r="BH460"/>
  <c r="BG460"/>
  <c r="BF460"/>
  <c r="BE460"/>
  <c r="BD460"/>
  <c r="BC460"/>
  <c r="BB460"/>
  <c r="BA460"/>
  <c r="AX460"/>
  <c r="AW460"/>
  <c r="AV460"/>
  <c r="AC460"/>
  <c r="G460" s="1"/>
  <c r="H460"/>
  <c r="BT459"/>
  <c r="BS459"/>
  <c r="BR459"/>
  <c r="BQ459"/>
  <c r="BP459"/>
  <c r="BO459"/>
  <c r="BN459"/>
  <c r="BM459"/>
  <c r="BL459"/>
  <c r="BK459"/>
  <c r="BJ459"/>
  <c r="BI459"/>
  <c r="BH459"/>
  <c r="BG459"/>
  <c r="BF459"/>
  <c r="BE459"/>
  <c r="BD459"/>
  <c r="BC459"/>
  <c r="BA459" s="1"/>
  <c r="BB459"/>
  <c r="AX459"/>
  <c r="AW459"/>
  <c r="AV459"/>
  <c r="AC459"/>
  <c r="H459"/>
  <c r="G459" s="1"/>
  <c r="BT458"/>
  <c r="BS458"/>
  <c r="BR458"/>
  <c r="BQ458"/>
  <c r="BP458"/>
  <c r="BO458"/>
  <c r="BN458"/>
  <c r="BM458"/>
  <c r="BL458" s="1"/>
  <c r="BK458"/>
  <c r="BJ458"/>
  <c r="BI458"/>
  <c r="BH458"/>
  <c r="BG458"/>
  <c r="BF458"/>
  <c r="BE458"/>
  <c r="BD458"/>
  <c r="BC458"/>
  <c r="BB458"/>
  <c r="BA458" s="1"/>
  <c r="AX458"/>
  <c r="AW458"/>
  <c r="AV458"/>
  <c r="AC458"/>
  <c r="G458" s="1"/>
  <c r="H458"/>
  <c r="BT457"/>
  <c r="BS457"/>
  <c r="BR457"/>
  <c r="BQ457"/>
  <c r="BP457"/>
  <c r="BO457"/>
  <c r="BN457"/>
  <c r="BM457"/>
  <c r="BL457"/>
  <c r="BK457"/>
  <c r="BJ457"/>
  <c r="BI457"/>
  <c r="BH457"/>
  <c r="BG457"/>
  <c r="BF457"/>
  <c r="BE457"/>
  <c r="BD457"/>
  <c r="BC457"/>
  <c r="BA457" s="1"/>
  <c r="AZ457" s="1"/>
  <c r="BB457"/>
  <c r="AX457"/>
  <c r="AW457"/>
  <c r="AV457"/>
  <c r="AC457"/>
  <c r="H457"/>
  <c r="G457" s="1"/>
  <c r="BT456"/>
  <c r="BS456"/>
  <c r="BR456"/>
  <c r="BQ456"/>
  <c r="BP456"/>
  <c r="BO456"/>
  <c r="BN456"/>
  <c r="BL456" s="1"/>
  <c r="BM456"/>
  <c r="BK456"/>
  <c r="BJ456"/>
  <c r="BI456"/>
  <c r="BH456"/>
  <c r="BG456"/>
  <c r="BF456"/>
  <c r="BE456"/>
  <c r="BD456"/>
  <c r="BC456"/>
  <c r="BB456"/>
  <c r="BA456" s="1"/>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L454" s="1"/>
  <c r="BM454"/>
  <c r="BK454"/>
  <c r="BJ454"/>
  <c r="BI454"/>
  <c r="BH454"/>
  <c r="BG454"/>
  <c r="BF454"/>
  <c r="BE454"/>
  <c r="BD454"/>
  <c r="BC454"/>
  <c r="BB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G453" s="1"/>
  <c r="H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G448" s="1"/>
  <c r="H448"/>
  <c r="BT447"/>
  <c r="BS447"/>
  <c r="BR447"/>
  <c r="BQ447"/>
  <c r="BP447"/>
  <c r="BO447"/>
  <c r="BL447" s="1"/>
  <c r="AZ447" s="1"/>
  <c r="BN447"/>
  <c r="BM447"/>
  <c r="BK447"/>
  <c r="BJ447"/>
  <c r="BI447"/>
  <c r="BH447"/>
  <c r="BG447"/>
  <c r="BF447"/>
  <c r="BE447"/>
  <c r="BD447"/>
  <c r="BC447"/>
  <c r="BA447" s="1"/>
  <c r="BB447"/>
  <c r="AX447"/>
  <c r="AW447"/>
  <c r="AV447"/>
  <c r="AC447"/>
  <c r="H447"/>
  <c r="BT446"/>
  <c r="BS446"/>
  <c r="BR446"/>
  <c r="BQ446"/>
  <c r="BP446"/>
  <c r="BO446"/>
  <c r="BN446"/>
  <c r="BL446" s="1"/>
  <c r="BM446"/>
  <c r="BK446"/>
  <c r="BJ446"/>
  <c r="BI446"/>
  <c r="BH446"/>
  <c r="BG446"/>
  <c r="BF446"/>
  <c r="BE446"/>
  <c r="BD446"/>
  <c r="BC446"/>
  <c r="BB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G445" s="1"/>
  <c r="H445"/>
  <c r="BT444"/>
  <c r="BS444"/>
  <c r="BR444"/>
  <c r="BQ444"/>
  <c r="BP444"/>
  <c r="BO444"/>
  <c r="BN444"/>
  <c r="BM444"/>
  <c r="BL444"/>
  <c r="BK444"/>
  <c r="BJ444"/>
  <c r="BI444"/>
  <c r="BH444"/>
  <c r="BG444"/>
  <c r="BF444"/>
  <c r="BE444"/>
  <c r="BD444"/>
  <c r="BC444"/>
  <c r="BB444"/>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c r="BT442"/>
  <c r="BS442"/>
  <c r="BR442"/>
  <c r="BQ442"/>
  <c r="BP442"/>
  <c r="BO442"/>
  <c r="BN442"/>
  <c r="BM442"/>
  <c r="BL442"/>
  <c r="BK442"/>
  <c r="BJ442"/>
  <c r="BI442"/>
  <c r="BH442"/>
  <c r="BG442"/>
  <c r="BF442"/>
  <c r="BE442"/>
  <c r="BD442"/>
  <c r="BA442" s="1"/>
  <c r="BC442"/>
  <c r="BB442"/>
  <c r="AX442"/>
  <c r="AW442"/>
  <c r="AV442"/>
  <c r="AC442"/>
  <c r="H442"/>
  <c r="G442" s="1"/>
  <c r="BT441"/>
  <c r="BS441"/>
  <c r="BR441"/>
  <c r="BQ441"/>
  <c r="BP441"/>
  <c r="BO441"/>
  <c r="BN441"/>
  <c r="BM441"/>
  <c r="BK441"/>
  <c r="BJ441"/>
  <c r="BI441"/>
  <c r="BH441"/>
  <c r="BG441"/>
  <c r="BF441"/>
  <c r="BE441"/>
  <c r="BD441"/>
  <c r="BC441"/>
  <c r="BB441"/>
  <c r="BA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G440" s="1"/>
  <c r="H440"/>
  <c r="BT439"/>
  <c r="BS439"/>
  <c r="BR439"/>
  <c r="BQ439"/>
  <c r="BP439"/>
  <c r="BO439"/>
  <c r="BL439" s="1"/>
  <c r="BN439"/>
  <c r="BM439"/>
  <c r="BK439"/>
  <c r="BJ439"/>
  <c r="BI439"/>
  <c r="BH439"/>
  <c r="BG439"/>
  <c r="BF439"/>
  <c r="BE439"/>
  <c r="BD439"/>
  <c r="BC439"/>
  <c r="BA439" s="1"/>
  <c r="BB439"/>
  <c r="AX439"/>
  <c r="AW439"/>
  <c r="AV439"/>
  <c r="AC439"/>
  <c r="H439"/>
  <c r="G439" s="1"/>
  <c r="BT438"/>
  <c r="BS438"/>
  <c r="BR438"/>
  <c r="BQ438"/>
  <c r="BP438"/>
  <c r="BO438"/>
  <c r="BN438"/>
  <c r="BM438"/>
  <c r="BK438"/>
  <c r="BJ438"/>
  <c r="BI438"/>
  <c r="BH438"/>
  <c r="BG438"/>
  <c r="BF438"/>
  <c r="BE438"/>
  <c r="BD438"/>
  <c r="BC438"/>
  <c r="BB438"/>
  <c r="BA438"/>
  <c r="AX438"/>
  <c r="AW438"/>
  <c r="AV438"/>
  <c r="AC438"/>
  <c r="G438" s="1"/>
  <c r="H438"/>
  <c r="BT437"/>
  <c r="BS437"/>
  <c r="BR437"/>
  <c r="BQ437"/>
  <c r="BP437"/>
  <c r="BO437"/>
  <c r="BN437"/>
  <c r="BM437"/>
  <c r="BL437"/>
  <c r="BK437"/>
  <c r="BJ437"/>
  <c r="BI437"/>
  <c r="BH437"/>
  <c r="BG437"/>
  <c r="BF437"/>
  <c r="BE437"/>
  <c r="BD437"/>
  <c r="BC437"/>
  <c r="BB437"/>
  <c r="AX437"/>
  <c r="AW437"/>
  <c r="AV437"/>
  <c r="AC437"/>
  <c r="H437"/>
  <c r="G437" s="1"/>
  <c r="BT436"/>
  <c r="BS436"/>
  <c r="BR436"/>
  <c r="BQ436"/>
  <c r="BP436"/>
  <c r="BO436"/>
  <c r="BN436"/>
  <c r="BM436"/>
  <c r="BK436"/>
  <c r="BJ436"/>
  <c r="BI436"/>
  <c r="BH436"/>
  <c r="BG436"/>
  <c r="BF436"/>
  <c r="BE436"/>
  <c r="BD436"/>
  <c r="BC436"/>
  <c r="BB436"/>
  <c r="BA436" s="1"/>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G435" s="1"/>
  <c r="H435"/>
  <c r="BT434"/>
  <c r="BS434"/>
  <c r="BR434"/>
  <c r="BQ434"/>
  <c r="BP434"/>
  <c r="BO434"/>
  <c r="BL434" s="1"/>
  <c r="BN434"/>
  <c r="BM434"/>
  <c r="BK434"/>
  <c r="BJ434"/>
  <c r="BI434"/>
  <c r="BH434"/>
  <c r="BG434"/>
  <c r="BF434"/>
  <c r="BE434"/>
  <c r="BD434"/>
  <c r="BC434"/>
  <c r="BA434" s="1"/>
  <c r="BB434"/>
  <c r="AX434"/>
  <c r="AW434"/>
  <c r="AV434"/>
  <c r="AC434"/>
  <c r="H434"/>
  <c r="G434" s="1"/>
  <c r="BT433"/>
  <c r="BS433"/>
  <c r="BR433"/>
  <c r="BQ433"/>
  <c r="BP433"/>
  <c r="BO433"/>
  <c r="BN433"/>
  <c r="BM433"/>
  <c r="BK433"/>
  <c r="BJ433"/>
  <c r="BI433"/>
  <c r="BH433"/>
  <c r="BG433"/>
  <c r="BF433"/>
  <c r="BE433"/>
  <c r="BD433"/>
  <c r="BC433"/>
  <c r="BB433"/>
  <c r="BA433"/>
  <c r="AX433"/>
  <c r="AW433"/>
  <c r="AV433"/>
  <c r="AC433"/>
  <c r="G433" s="1"/>
  <c r="H433"/>
  <c r="BT432"/>
  <c r="BS432"/>
  <c r="BR432"/>
  <c r="BQ432"/>
  <c r="BP432"/>
  <c r="BO432"/>
  <c r="BN432"/>
  <c r="BM432"/>
  <c r="BL432"/>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BT429"/>
  <c r="BS429"/>
  <c r="BR429"/>
  <c r="BQ429"/>
  <c r="BP429"/>
  <c r="BO429"/>
  <c r="BN429"/>
  <c r="BM429"/>
  <c r="BL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G428" s="1"/>
  <c r="H428"/>
  <c r="BT427"/>
  <c r="BS427"/>
  <c r="BR427"/>
  <c r="BQ427"/>
  <c r="BP427"/>
  <c r="BO427"/>
  <c r="BN427"/>
  <c r="BM427"/>
  <c r="BL427" s="1"/>
  <c r="BK427"/>
  <c r="BJ427"/>
  <c r="BI427"/>
  <c r="BH427"/>
  <c r="BG427"/>
  <c r="BF427"/>
  <c r="BE427"/>
  <c r="BD427"/>
  <c r="BC427"/>
  <c r="BA427" s="1"/>
  <c r="BB427"/>
  <c r="AX427"/>
  <c r="AW427"/>
  <c r="AV427"/>
  <c r="AC427"/>
  <c r="H427"/>
  <c r="G427" s="1"/>
  <c r="BT426"/>
  <c r="BS426"/>
  <c r="BR426"/>
  <c r="BQ426"/>
  <c r="BP426"/>
  <c r="BO426"/>
  <c r="BN426"/>
  <c r="BL426" s="1"/>
  <c r="BM426"/>
  <c r="BK426"/>
  <c r="BJ426"/>
  <c r="BI426"/>
  <c r="BH426"/>
  <c r="BG426"/>
  <c r="BF426"/>
  <c r="BE426"/>
  <c r="BD426"/>
  <c r="BC426"/>
  <c r="BB426"/>
  <c r="AX426"/>
  <c r="AW426"/>
  <c r="AV426"/>
  <c r="AC426"/>
  <c r="H426"/>
  <c r="G426" s="1"/>
  <c r="BT425"/>
  <c r="BS425"/>
  <c r="BR425"/>
  <c r="BQ425"/>
  <c r="BP425"/>
  <c r="BO425"/>
  <c r="BN425"/>
  <c r="BL425" s="1"/>
  <c r="BM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Z424" s="1"/>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L422" s="1"/>
  <c r="BM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G421" s="1"/>
  <c r="H421"/>
  <c r="BT420"/>
  <c r="BS420"/>
  <c r="BR420"/>
  <c r="BQ420"/>
  <c r="BP420"/>
  <c r="BO420"/>
  <c r="BN420"/>
  <c r="BM420"/>
  <c r="BL420" s="1"/>
  <c r="BK420"/>
  <c r="BJ420"/>
  <c r="BI420"/>
  <c r="BH420"/>
  <c r="BG420"/>
  <c r="BF420"/>
  <c r="BE420"/>
  <c r="BD420"/>
  <c r="BC420"/>
  <c r="BA420" s="1"/>
  <c r="BB420"/>
  <c r="AX420"/>
  <c r="AW420"/>
  <c r="AV420"/>
  <c r="AC420"/>
  <c r="H420"/>
  <c r="G420" s="1"/>
  <c r="BT419"/>
  <c r="BS419"/>
  <c r="BR419"/>
  <c r="BQ419"/>
  <c r="BP419"/>
  <c r="BO419"/>
  <c r="BN419"/>
  <c r="BL419" s="1"/>
  <c r="BM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G418" s="1"/>
  <c r="H418"/>
  <c r="BT417"/>
  <c r="BS417"/>
  <c r="BR417"/>
  <c r="BQ417"/>
  <c r="BP417"/>
  <c r="BO417"/>
  <c r="BN417"/>
  <c r="BM417"/>
  <c r="BL417" s="1"/>
  <c r="BK417"/>
  <c r="BJ417"/>
  <c r="BI417"/>
  <c r="BH417"/>
  <c r="BG417"/>
  <c r="BF417"/>
  <c r="BE417"/>
  <c r="BD417"/>
  <c r="BC417"/>
  <c r="BA417" s="1"/>
  <c r="BB417"/>
  <c r="AX417"/>
  <c r="AW417"/>
  <c r="AV417"/>
  <c r="AC417"/>
  <c r="H417"/>
  <c r="G417" s="1"/>
  <c r="BT416"/>
  <c r="BS416"/>
  <c r="BR416"/>
  <c r="BQ416"/>
  <c r="BP416"/>
  <c r="BO416"/>
  <c r="BN416"/>
  <c r="BL416" s="1"/>
  <c r="BM416"/>
  <c r="BK416"/>
  <c r="BJ416"/>
  <c r="BI416"/>
  <c r="BH416"/>
  <c r="BG416"/>
  <c r="BF416"/>
  <c r="BE416"/>
  <c r="BD416"/>
  <c r="BC416"/>
  <c r="BB416"/>
  <c r="BA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G415" s="1"/>
  <c r="H415"/>
  <c r="BT414"/>
  <c r="BS414"/>
  <c r="BR414"/>
  <c r="BQ414"/>
  <c r="BP414"/>
  <c r="BO414"/>
  <c r="BL414" s="1"/>
  <c r="BN414"/>
  <c r="BM414"/>
  <c r="BK414"/>
  <c r="BJ414"/>
  <c r="BI414"/>
  <c r="BH414"/>
  <c r="BG414"/>
  <c r="BF414"/>
  <c r="BE414"/>
  <c r="BD414"/>
  <c r="BC414"/>
  <c r="BA414" s="1"/>
  <c r="BB414"/>
  <c r="AX414"/>
  <c r="AW414"/>
  <c r="AV414"/>
  <c r="AC414"/>
  <c r="H414"/>
  <c r="G414"/>
  <c r="BT413"/>
  <c r="BS413"/>
  <c r="BR413"/>
  <c r="BQ413"/>
  <c r="BP413"/>
  <c r="BO413"/>
  <c r="BN413"/>
  <c r="BM413"/>
  <c r="BL413" s="1"/>
  <c r="BK413"/>
  <c r="BJ413"/>
  <c r="BI413"/>
  <c r="BH413"/>
  <c r="BG413"/>
  <c r="BF413"/>
  <c r="BE413"/>
  <c r="BD413"/>
  <c r="BC413"/>
  <c r="BB413"/>
  <c r="BA413"/>
  <c r="AZ413" s="1"/>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G412" s="1"/>
  <c r="H412"/>
  <c r="BT411"/>
  <c r="BS411"/>
  <c r="BR411"/>
  <c r="BQ411"/>
  <c r="BP411"/>
  <c r="BO411"/>
  <c r="BN411"/>
  <c r="BM411"/>
  <c r="BL411" s="1"/>
  <c r="BK411"/>
  <c r="BJ411"/>
  <c r="BI411"/>
  <c r="BH411"/>
  <c r="BG411"/>
  <c r="BF411"/>
  <c r="BE411"/>
  <c r="BD411"/>
  <c r="BC411"/>
  <c r="BA411" s="1"/>
  <c r="AZ411" s="1"/>
  <c r="BB411"/>
  <c r="AX411"/>
  <c r="AW411"/>
  <c r="AV411"/>
  <c r="AC411"/>
  <c r="H411"/>
  <c r="G411" s="1"/>
  <c r="BT410"/>
  <c r="BS410"/>
  <c r="BR410"/>
  <c r="BQ410"/>
  <c r="BP410"/>
  <c r="BO410"/>
  <c r="BN410"/>
  <c r="BL410" s="1"/>
  <c r="BM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G409" s="1"/>
  <c r="H409"/>
  <c r="BT408"/>
  <c r="BS408"/>
  <c r="BR408"/>
  <c r="BQ408"/>
  <c r="BP408"/>
  <c r="BO408"/>
  <c r="BN408"/>
  <c r="BM408"/>
  <c r="BL408" s="1"/>
  <c r="BK408"/>
  <c r="BJ408"/>
  <c r="BI408"/>
  <c r="BH408"/>
  <c r="BG408"/>
  <c r="BF408"/>
  <c r="BE408"/>
  <c r="BD408"/>
  <c r="BC408"/>
  <c r="BA408" s="1"/>
  <c r="AZ408" s="1"/>
  <c r="BB408"/>
  <c r="AX408"/>
  <c r="AW408"/>
  <c r="AV408"/>
  <c r="AC408"/>
  <c r="H408"/>
  <c r="G408" s="1"/>
  <c r="BT407"/>
  <c r="BS407"/>
  <c r="BR407"/>
  <c r="BQ407"/>
  <c r="BP407"/>
  <c r="BO407"/>
  <c r="BN407"/>
  <c r="BL407" s="1"/>
  <c r="BM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s="1"/>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BA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s="1"/>
  <c r="BT402"/>
  <c r="BS402"/>
  <c r="BR402"/>
  <c r="BQ402"/>
  <c r="BP402"/>
  <c r="BO402"/>
  <c r="BL402" s="1"/>
  <c r="BN402"/>
  <c r="BM402"/>
  <c r="BK402"/>
  <c r="BJ402"/>
  <c r="BI402"/>
  <c r="BH402"/>
  <c r="BG402"/>
  <c r="BF402"/>
  <c r="BE402"/>
  <c r="BD402"/>
  <c r="BC402"/>
  <c r="BB402"/>
  <c r="BA402" s="1"/>
  <c r="AZ402" s="1"/>
  <c r="AX402"/>
  <c r="AW402"/>
  <c r="AV402"/>
  <c r="AC402"/>
  <c r="H402"/>
  <c r="G402" s="1"/>
  <c r="BT401"/>
  <c r="BS401"/>
  <c r="BR401"/>
  <c r="BQ401"/>
  <c r="BP401"/>
  <c r="BO401"/>
  <c r="BN401"/>
  <c r="BM401"/>
  <c r="BL401" s="1"/>
  <c r="BK401"/>
  <c r="BJ401"/>
  <c r="BI401"/>
  <c r="BH401"/>
  <c r="BG401"/>
  <c r="BF401"/>
  <c r="BE401"/>
  <c r="BD401"/>
  <c r="BC401"/>
  <c r="BB401"/>
  <c r="BA401" s="1"/>
  <c r="AX401"/>
  <c r="AW401"/>
  <c r="AV401"/>
  <c r="AC401"/>
  <c r="H401"/>
  <c r="G401"/>
  <c r="BT400"/>
  <c r="BS400"/>
  <c r="BR400"/>
  <c r="BQ400"/>
  <c r="BP400"/>
  <c r="BO400"/>
  <c r="BN400"/>
  <c r="BM400"/>
  <c r="BL400"/>
  <c r="BK400"/>
  <c r="BJ400"/>
  <c r="BI400"/>
  <c r="BH400"/>
  <c r="BG400"/>
  <c r="BF400"/>
  <c r="BE400"/>
  <c r="BD400"/>
  <c r="BA400" s="1"/>
  <c r="AZ400" s="1"/>
  <c r="BC400"/>
  <c r="BB400"/>
  <c r="AX400"/>
  <c r="AW400"/>
  <c r="AV400"/>
  <c r="AC400"/>
  <c r="H400"/>
  <c r="G400" s="1"/>
  <c r="BT399"/>
  <c r="BS399"/>
  <c r="BR399"/>
  <c r="BQ399"/>
  <c r="BP399"/>
  <c r="BO399"/>
  <c r="BN399"/>
  <c r="BL399" s="1"/>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s="1"/>
  <c r="BT397"/>
  <c r="BS397"/>
  <c r="BR397"/>
  <c r="BQ397"/>
  <c r="BP397"/>
  <c r="BO397"/>
  <c r="BN397"/>
  <c r="BL397" s="1"/>
  <c r="BM397"/>
  <c r="BK397"/>
  <c r="BJ397"/>
  <c r="BI397"/>
  <c r="BH397"/>
  <c r="BG397"/>
  <c r="BF397"/>
  <c r="BE397"/>
  <c r="BD397"/>
  <c r="BC397"/>
  <c r="BB397"/>
  <c r="BA397" s="1"/>
  <c r="AX397"/>
  <c r="AW397"/>
  <c r="AV397"/>
  <c r="AC397"/>
  <c r="H397"/>
  <c r="G397" s="1"/>
  <c r="BT396"/>
  <c r="BS396"/>
  <c r="BR396"/>
  <c r="BQ396"/>
  <c r="BP396"/>
  <c r="BO396"/>
  <c r="BN396"/>
  <c r="BM396"/>
  <c r="BL396" s="1"/>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c r="BT394"/>
  <c r="BS394"/>
  <c r="BR394"/>
  <c r="BQ394"/>
  <c r="BP394"/>
  <c r="BO394"/>
  <c r="BN394"/>
  <c r="BM394"/>
  <c r="BL394"/>
  <c r="BK394"/>
  <c r="BJ394"/>
  <c r="BI394"/>
  <c r="BH394"/>
  <c r="BG394"/>
  <c r="BF394"/>
  <c r="BE394"/>
  <c r="BD394"/>
  <c r="BA394" s="1"/>
  <c r="BC394"/>
  <c r="BB394"/>
  <c r="AX394"/>
  <c r="AW394"/>
  <c r="AV394"/>
  <c r="AC394"/>
  <c r="H394"/>
  <c r="G394" s="1"/>
  <c r="BT393"/>
  <c r="BS393"/>
  <c r="BR393"/>
  <c r="BQ393"/>
  <c r="BP393"/>
  <c r="BO393"/>
  <c r="BN393"/>
  <c r="BM393"/>
  <c r="BL393" s="1"/>
  <c r="BK393"/>
  <c r="BJ393"/>
  <c r="BI393"/>
  <c r="BH393"/>
  <c r="BG393"/>
  <c r="BF393"/>
  <c r="BE393"/>
  <c r="BD393"/>
  <c r="BC393"/>
  <c r="BB393"/>
  <c r="BA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c r="BT391"/>
  <c r="BS391"/>
  <c r="BR391"/>
  <c r="BQ391"/>
  <c r="BP391"/>
  <c r="BO391"/>
  <c r="BN391"/>
  <c r="BM391"/>
  <c r="BL391"/>
  <c r="BK391"/>
  <c r="BJ391"/>
  <c r="BI391"/>
  <c r="BH391"/>
  <c r="BG391"/>
  <c r="BF391"/>
  <c r="BE391"/>
  <c r="BD391"/>
  <c r="BA391" s="1"/>
  <c r="BC391"/>
  <c r="BB391"/>
  <c r="AX391"/>
  <c r="AW391"/>
  <c r="AV391"/>
  <c r="AC391"/>
  <c r="H391"/>
  <c r="G391" s="1"/>
  <c r="BT390"/>
  <c r="BS390"/>
  <c r="BR390"/>
  <c r="BQ390"/>
  <c r="BP390"/>
  <c r="BO390"/>
  <c r="BN390"/>
  <c r="BL390" s="1"/>
  <c r="BM390"/>
  <c r="BK390"/>
  <c r="BJ390"/>
  <c r="BI390"/>
  <c r="BH390"/>
  <c r="BG390"/>
  <c r="BF390"/>
  <c r="BE390"/>
  <c r="BD390"/>
  <c r="BC390"/>
  <c r="BB390"/>
  <c r="BA390" s="1"/>
  <c r="AX390"/>
  <c r="AW390"/>
  <c r="AV390"/>
  <c r="AC390"/>
  <c r="H390"/>
  <c r="G390"/>
  <c r="BT389"/>
  <c r="BS389"/>
  <c r="BR389"/>
  <c r="BQ389"/>
  <c r="BP389"/>
  <c r="BO389"/>
  <c r="BN389"/>
  <c r="BM389"/>
  <c r="BL389"/>
  <c r="BK389"/>
  <c r="BJ389"/>
  <c r="BI389"/>
  <c r="BH389"/>
  <c r="BG389"/>
  <c r="BF389"/>
  <c r="BE389"/>
  <c r="BD389"/>
  <c r="BA389" s="1"/>
  <c r="AZ389" s="1"/>
  <c r="BC389"/>
  <c r="BB389"/>
  <c r="AX389"/>
  <c r="AW389"/>
  <c r="AV389"/>
  <c r="AC389"/>
  <c r="H389"/>
  <c r="G389" s="1"/>
  <c r="H62" i="40"/>
  <c r="I62" s="1"/>
  <c r="C62" s="1"/>
  <c r="H61"/>
  <c r="I61" s="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E19"/>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E22" i="6"/>
  <c r="E23"/>
  <c r="E24"/>
  <c r="E25"/>
  <c r="E26"/>
  <c r="D38" i="4"/>
  <c r="C39" s="1"/>
  <c r="C35"/>
  <c r="E16" i="12"/>
  <c r="F14"/>
  <c r="F15"/>
  <c r="F17"/>
  <c r="E19"/>
  <c r="E21"/>
  <c r="E22"/>
  <c r="F23"/>
  <c r="F24"/>
  <c r="F25"/>
  <c r="C43" i="9"/>
  <c r="K47" s="1"/>
  <c r="I73"/>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H10"/>
  <c r="AB10" s="1"/>
  <c r="H11"/>
  <c r="AB11" s="1"/>
  <c r="H36"/>
  <c r="AB36" s="1"/>
  <c r="J10"/>
  <c r="AC10" s="1"/>
  <c r="J11"/>
  <c r="AC11" s="1"/>
  <c r="J36"/>
  <c r="AC36"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2" i="1"/>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I48" i="37"/>
  <c r="J48" s="1"/>
  <c r="G48"/>
  <c r="H48"/>
  <c r="E48"/>
  <c r="F48" s="1"/>
  <c r="I55" i="34"/>
  <c r="J55" s="1"/>
  <c r="G55"/>
  <c r="H55" s="1"/>
  <c r="E55"/>
  <c r="F55" s="1"/>
  <c r="I50" i="40"/>
  <c r="J50" s="1"/>
  <c r="G50"/>
  <c r="H50" s="1"/>
  <c r="E50"/>
  <c r="F50"/>
  <c r="I55" i="39"/>
  <c r="J55" s="1"/>
  <c r="G55"/>
  <c r="H55" s="1"/>
  <c r="E55"/>
  <c r="F55" s="1"/>
  <c r="I42" i="36"/>
  <c r="J42" s="1"/>
  <c r="G42"/>
  <c r="H42" s="1"/>
  <c r="E42"/>
  <c r="F42" s="1"/>
  <c r="I44" i="35"/>
  <c r="J44" s="1"/>
  <c r="G44"/>
  <c r="H44" s="1"/>
  <c r="E44"/>
  <c r="F44" s="1"/>
  <c r="I54" i="33"/>
  <c r="J54"/>
  <c r="G54"/>
  <c r="E54"/>
  <c r="F54" s="1"/>
  <c r="H14" i="3"/>
  <c r="AC14"/>
  <c r="H15"/>
  <c r="AC15"/>
  <c r="H16"/>
  <c r="AC16"/>
  <c r="G16" s="1"/>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G547" s="1"/>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G559" s="1"/>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F40" i="33"/>
  <c r="J41"/>
  <c r="AC41" s="1"/>
  <c r="D113"/>
  <c r="F37"/>
  <c r="AA37" s="1"/>
  <c r="D111"/>
  <c r="E111"/>
  <c r="F111" s="1"/>
  <c r="G111" s="1"/>
  <c r="H111" s="1"/>
  <c r="I111" s="1"/>
  <c r="J111" s="1"/>
  <c r="K111" s="1"/>
  <c r="L111" s="1"/>
  <c r="M111" s="1"/>
  <c r="S515" i="31"/>
  <c r="S517"/>
  <c r="S519"/>
  <c r="S521"/>
  <c r="S523"/>
  <c r="F41" i="21"/>
  <c r="J41"/>
  <c r="AC4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D98"/>
  <c r="E98" s="1"/>
  <c r="B97"/>
  <c r="D94"/>
  <c r="D92"/>
  <c r="D90"/>
  <c r="H21"/>
  <c r="AB21" s="1"/>
  <c r="D88"/>
  <c r="E88" s="1"/>
  <c r="D86"/>
  <c r="E86" s="1"/>
  <c r="J17"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D105"/>
  <c r="E105" s="1"/>
  <c r="F105" s="1"/>
  <c r="G105" s="1"/>
  <c r="H36"/>
  <c r="D103"/>
  <c r="J35"/>
  <c r="AC35" s="1"/>
  <c r="F97"/>
  <c r="E97"/>
  <c r="D97"/>
  <c r="C97"/>
  <c r="D96"/>
  <c r="E96" s="1"/>
  <c r="D94"/>
  <c r="M90"/>
  <c r="L90"/>
  <c r="K90"/>
  <c r="J90"/>
  <c r="I90"/>
  <c r="H90"/>
  <c r="G90"/>
  <c r="F90"/>
  <c r="E90"/>
  <c r="D90"/>
  <c r="C90"/>
  <c r="D89"/>
  <c r="B86"/>
  <c r="B84"/>
  <c r="H27" s="1"/>
  <c r="U27" s="1"/>
  <c r="B82"/>
  <c r="D79"/>
  <c r="E79" s="1"/>
  <c r="F79" s="1"/>
  <c r="G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c r="Q38"/>
  <c r="Z38" s="1"/>
  <c r="Q37"/>
  <c r="Z37"/>
  <c r="Q36"/>
  <c r="Z36" s="1"/>
  <c r="Q35"/>
  <c r="Z35" s="1"/>
  <c r="Q34"/>
  <c r="Z34" s="1"/>
  <c r="Q33"/>
  <c r="Z33" s="1"/>
  <c r="Q32"/>
  <c r="Z32" s="1"/>
  <c r="Q31"/>
  <c r="Z31" s="1"/>
  <c r="J31"/>
  <c r="Q30"/>
  <c r="Z30" s="1"/>
  <c r="J30"/>
  <c r="W30" s="1"/>
  <c r="H30"/>
  <c r="AB30" s="1"/>
  <c r="F30"/>
  <c r="Q29"/>
  <c r="Z29" s="1"/>
  <c r="H29"/>
  <c r="U29" s="1"/>
  <c r="Q28"/>
  <c r="Z28" s="1"/>
  <c r="Q27"/>
  <c r="Z27" s="1"/>
  <c r="Q26"/>
  <c r="Z26" s="1"/>
  <c r="J26"/>
  <c r="H26"/>
  <c r="AB26" s="1"/>
  <c r="F26"/>
  <c r="AA26" s="1"/>
  <c r="Q25"/>
  <c r="Z25"/>
  <c r="Q23"/>
  <c r="Z23"/>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F34" s="1"/>
  <c r="S34" s="1"/>
  <c r="D83"/>
  <c r="E83" s="1"/>
  <c r="F83" s="1"/>
  <c r="G83" s="1"/>
  <c r="H83" s="1"/>
  <c r="I83" s="1"/>
  <c r="J83" s="1"/>
  <c r="K83" s="1"/>
  <c r="L83" s="1"/>
  <c r="M83" s="1"/>
  <c r="D78"/>
  <c r="J26"/>
  <c r="W26" s="1"/>
  <c r="B75"/>
  <c r="B73"/>
  <c r="J24" s="1"/>
  <c r="W24" s="1"/>
  <c r="B71"/>
  <c r="H23" s="1"/>
  <c r="AB23" s="1"/>
  <c r="D70"/>
  <c r="H22"/>
  <c r="AB22" s="1"/>
  <c r="D68"/>
  <c r="E68" s="1"/>
  <c r="D64"/>
  <c r="E64" s="1"/>
  <c r="F64" s="1"/>
  <c r="G64" s="1"/>
  <c r="J16"/>
  <c r="D62"/>
  <c r="E62" s="1"/>
  <c r="B59"/>
  <c r="B57"/>
  <c r="J12" s="1"/>
  <c r="B55"/>
  <c r="F54"/>
  <c r="G54" s="1"/>
  <c r="H54" s="1"/>
  <c r="I54" s="1"/>
  <c r="J10"/>
  <c r="W10" s="1"/>
  <c r="C51"/>
  <c r="J9" s="1"/>
  <c r="AC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Q11"/>
  <c r="Z11" s="1"/>
  <c r="Q10"/>
  <c r="Z10" s="1"/>
  <c r="F10"/>
  <c r="AA10" s="1"/>
  <c r="Q9"/>
  <c r="Z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J34" s="1"/>
  <c r="AC34" s="1"/>
  <c r="B77"/>
  <c r="B75"/>
  <c r="F24" s="1"/>
  <c r="AA24" s="1"/>
  <c r="B73"/>
  <c r="J23" s="1"/>
  <c r="AC23" s="1"/>
  <c r="B57"/>
  <c r="B61"/>
  <c r="H13" s="1"/>
  <c r="U13" s="1"/>
  <c r="B59"/>
  <c r="H12" s="1"/>
  <c r="B131" i="34"/>
  <c r="B129"/>
  <c r="B127"/>
  <c r="H45" s="1"/>
  <c r="U45" s="1"/>
  <c r="B99"/>
  <c r="B97"/>
  <c r="H31" s="1"/>
  <c r="B95"/>
  <c r="B93"/>
  <c r="J29" s="1"/>
  <c r="AC29" s="1"/>
  <c r="B75"/>
  <c r="B73"/>
  <c r="B71"/>
  <c r="B130" i="33"/>
  <c r="F46" s="1"/>
  <c r="B128"/>
  <c r="H45" s="1"/>
  <c r="U45" s="1"/>
  <c r="B126"/>
  <c r="B98"/>
  <c r="F31" s="1"/>
  <c r="B96"/>
  <c r="B94"/>
  <c r="B74"/>
  <c r="J14" s="1"/>
  <c r="AC14" s="1"/>
  <c r="B72"/>
  <c r="B70"/>
  <c r="J12" s="1"/>
  <c r="W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F34"/>
  <c r="AA34" s="1"/>
  <c r="Q33"/>
  <c r="Z33" s="1"/>
  <c r="Q32"/>
  <c r="Z32" s="1"/>
  <c r="H32"/>
  <c r="AB32" s="1"/>
  <c r="F32"/>
  <c r="AA32" s="1"/>
  <c r="Q31"/>
  <c r="Z31" s="1"/>
  <c r="AC31"/>
  <c r="AB31"/>
  <c r="AA31"/>
  <c r="Q30"/>
  <c r="Z30" s="1"/>
  <c r="Q29"/>
  <c r="Z29" s="1"/>
  <c r="Q28"/>
  <c r="Z28" s="1"/>
  <c r="J28"/>
  <c r="H28"/>
  <c r="F28"/>
  <c r="AA28" s="1"/>
  <c r="Q27"/>
  <c r="Z27" s="1"/>
  <c r="Q26"/>
  <c r="Z26" s="1"/>
  <c r="Q25"/>
  <c r="Z25" s="1"/>
  <c r="Q24"/>
  <c r="Z24"/>
  <c r="Q23"/>
  <c r="Z23" s="1"/>
  <c r="Q22"/>
  <c r="Z22" s="1"/>
  <c r="Q20"/>
  <c r="Z20" s="1"/>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AC36" s="1"/>
  <c r="D107"/>
  <c r="E107" s="1"/>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s="1"/>
  <c r="AC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H9" s="1"/>
  <c r="AB9" s="1"/>
  <c r="P50"/>
  <c r="P49"/>
  <c r="V48"/>
  <c r="T48"/>
  <c r="R48"/>
  <c r="P48"/>
  <c r="Q47"/>
  <c r="Z47" s="1"/>
  <c r="Q46"/>
  <c r="Z46" s="1"/>
  <c r="Q45"/>
  <c r="Z45" s="1"/>
  <c r="Q44"/>
  <c r="Z44" s="1"/>
  <c r="H44"/>
  <c r="AB44" s="1"/>
  <c r="Q43"/>
  <c r="Z43" s="1"/>
  <c r="F43"/>
  <c r="AA43" s="1"/>
  <c r="Q42"/>
  <c r="Z42" s="1"/>
  <c r="Q41"/>
  <c r="Z41"/>
  <c r="Q40"/>
  <c r="Z40" s="1"/>
  <c r="F40"/>
  <c r="S40" s="1"/>
  <c r="Q39"/>
  <c r="Z39"/>
  <c r="J39"/>
  <c r="AC39" s="1"/>
  <c r="H39"/>
  <c r="U39" s="1"/>
  <c r="F39"/>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Q9"/>
  <c r="Z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E125" s="1"/>
  <c r="F125" s="1"/>
  <c r="G125" s="1"/>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F9" s="1"/>
  <c r="AA9" s="1"/>
  <c r="H54"/>
  <c r="P49"/>
  <c r="P48"/>
  <c r="V47"/>
  <c r="T47"/>
  <c r="R47"/>
  <c r="P47"/>
  <c r="Q46"/>
  <c r="Z46" s="1"/>
  <c r="Q45"/>
  <c r="Z45" s="1"/>
  <c r="Q44"/>
  <c r="Z44" s="1"/>
  <c r="Q43"/>
  <c r="Z43" s="1"/>
  <c r="Q42"/>
  <c r="Z42" s="1"/>
  <c r="J42"/>
  <c r="AC42" s="1"/>
  <c r="Q41"/>
  <c r="Z41"/>
  <c r="Q40"/>
  <c r="Z40" s="1"/>
  <c r="J40"/>
  <c r="AC40" s="1"/>
  <c r="H40"/>
  <c r="AA40"/>
  <c r="Q39"/>
  <c r="Z39" s="1"/>
  <c r="J39"/>
  <c r="AC39" s="1"/>
  <c r="Q38"/>
  <c r="Z38" s="1"/>
  <c r="J38"/>
  <c r="AC38" s="1"/>
  <c r="H38"/>
  <c r="AB38" s="1"/>
  <c r="F38"/>
  <c r="AA38" s="1"/>
  <c r="Q37"/>
  <c r="Z37" s="1"/>
  <c r="Q36"/>
  <c r="Z36"/>
  <c r="Q35"/>
  <c r="Z35" s="1"/>
  <c r="H35"/>
  <c r="AB35" s="1"/>
  <c r="Q34"/>
  <c r="Z34" s="1"/>
  <c r="Q33"/>
  <c r="Z33" s="1"/>
  <c r="J33"/>
  <c r="AC33" s="1"/>
  <c r="H33"/>
  <c r="AB33" s="1"/>
  <c r="F33"/>
  <c r="AA33" s="1"/>
  <c r="Q32"/>
  <c r="Z32" s="1"/>
  <c r="Q31"/>
  <c r="Z31"/>
  <c r="Q30"/>
  <c r="Z30" s="1"/>
  <c r="Q29"/>
  <c r="Z29"/>
  <c r="Q28"/>
  <c r="Z28" s="1"/>
  <c r="Q27"/>
  <c r="Z27"/>
  <c r="Q26"/>
  <c r="Z26" s="1"/>
  <c r="Q25"/>
  <c r="Z25"/>
  <c r="Q23"/>
  <c r="Z23" s="1"/>
  <c r="Q19"/>
  <c r="Z19" s="1"/>
  <c r="Q17"/>
  <c r="Z17" s="1"/>
  <c r="Q15"/>
  <c r="Z15" s="1"/>
  <c r="F15"/>
  <c r="AA15" s="1"/>
  <c r="Q14"/>
  <c r="Z14" s="1"/>
  <c r="Q13"/>
  <c r="Z13" s="1"/>
  <c r="Q12"/>
  <c r="Z12" s="1"/>
  <c r="H12"/>
  <c r="U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Q35"/>
  <c r="Z35" s="1"/>
  <c r="Q36"/>
  <c r="Z36"/>
  <c r="Q37"/>
  <c r="Z37" s="1"/>
  <c r="J38"/>
  <c r="W38" s="1"/>
  <c r="Q38"/>
  <c r="Z38" s="1"/>
  <c r="J39"/>
  <c r="AC39" s="1"/>
  <c r="Q39"/>
  <c r="Z39" s="1"/>
  <c r="Q40"/>
  <c r="Z40"/>
  <c r="Q41"/>
  <c r="Z41" s="1"/>
  <c r="Q42"/>
  <c r="Z42"/>
  <c r="J43"/>
  <c r="AC43" s="1"/>
  <c r="Q43"/>
  <c r="Z43" s="1"/>
  <c r="Q44"/>
  <c r="Z44" s="1"/>
  <c r="Q45"/>
  <c r="Z45" s="1"/>
  <c r="Q46"/>
  <c r="Z46" s="1"/>
  <c r="P47"/>
  <c r="R47"/>
  <c r="T47"/>
  <c r="V47"/>
  <c r="P48"/>
  <c r="P49"/>
  <c r="F8"/>
  <c r="E13" i="11"/>
  <c r="E12"/>
  <c r="BB12" i="3"/>
  <c r="F9" i="12"/>
  <c r="D9"/>
  <c r="E9"/>
  <c r="G9"/>
  <c r="K5" i="3"/>
  <c r="J5"/>
  <c r="BE10"/>
  <c r="BD13"/>
  <c r="BE13"/>
  <c r="BF13"/>
  <c r="BF5" s="1"/>
  <c r="BG13"/>
  <c r="BG5" s="1"/>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F29" i="36"/>
  <c r="AA29" s="1"/>
  <c r="F16"/>
  <c r="AA16" s="1"/>
  <c r="U22"/>
  <c r="W22"/>
  <c r="U26"/>
  <c r="AC31"/>
  <c r="J33"/>
  <c r="W33" s="1"/>
  <c r="AC27" i="35"/>
  <c r="U31"/>
  <c r="S34"/>
  <c r="S31"/>
  <c r="W31"/>
  <c r="F36" i="34"/>
  <c r="S36" s="1"/>
  <c r="W39"/>
  <c r="H39" i="33"/>
  <c r="AB39" s="1"/>
  <c r="F26"/>
  <c r="AA26" s="1"/>
  <c r="U33"/>
  <c r="W38"/>
  <c r="S40"/>
  <c r="S33"/>
  <c r="W33"/>
  <c r="W8" i="21"/>
  <c r="H39" i="37"/>
  <c r="AB39" s="1"/>
  <c r="S10" i="40"/>
  <c r="W10"/>
  <c r="S11"/>
  <c r="U11"/>
  <c r="S36"/>
  <c r="U36"/>
  <c r="S36" i="39"/>
  <c r="F11" i="21"/>
  <c r="S11" s="1"/>
  <c r="AC40"/>
  <c r="AA38"/>
  <c r="AB36"/>
  <c r="C29" i="39"/>
  <c r="U36"/>
  <c r="H32" i="33"/>
  <c r="AB32" s="1"/>
  <c r="H11" i="21"/>
  <c r="U11" s="1"/>
  <c r="J11"/>
  <c r="W11" s="1"/>
  <c r="F86" i="40"/>
  <c r="G86" s="1"/>
  <c r="AA12" i="33"/>
  <c r="U9" i="21"/>
  <c r="J27" i="36"/>
  <c r="W27" s="1"/>
  <c r="J34"/>
  <c r="J30" i="35"/>
  <c r="W30" s="1"/>
  <c r="F22"/>
  <c r="AA22" s="1"/>
  <c r="H10"/>
  <c r="U10" s="1"/>
  <c r="AC24" i="36"/>
  <c r="U29"/>
  <c r="E85"/>
  <c r="F85" s="1"/>
  <c r="G85" s="1"/>
  <c r="H85" s="1"/>
  <c r="I85" s="1"/>
  <c r="J85" s="1"/>
  <c r="K85" s="1"/>
  <c r="L85" s="1"/>
  <c r="M85" s="1"/>
  <c r="J29"/>
  <c r="AC29" s="1"/>
  <c r="F12"/>
  <c r="S12" s="1"/>
  <c r="F24"/>
  <c r="AA24" s="1"/>
  <c r="S10"/>
  <c r="AB8"/>
  <c r="H16" i="35"/>
  <c r="U16" s="1"/>
  <c r="H33"/>
  <c r="AB33" s="1"/>
  <c r="W8"/>
  <c r="AC8"/>
  <c r="F35" i="37"/>
  <c r="E101"/>
  <c r="F101"/>
  <c r="G101" s="1"/>
  <c r="H101" s="1"/>
  <c r="I101" s="1"/>
  <c r="J101" s="1"/>
  <c r="K101" s="1"/>
  <c r="L101" s="1"/>
  <c r="M101" s="1"/>
  <c r="J34"/>
  <c r="W34" s="1"/>
  <c r="H43" i="34"/>
  <c r="U42"/>
  <c r="E114"/>
  <c r="H36"/>
  <c r="U36" s="1"/>
  <c r="F33"/>
  <c r="S33" s="1"/>
  <c r="F19"/>
  <c r="AA19" s="1"/>
  <c r="W8"/>
  <c r="J28"/>
  <c r="W28" s="1"/>
  <c r="S38" i="33"/>
  <c r="E113"/>
  <c r="F36"/>
  <c r="S36" s="1"/>
  <c r="F19"/>
  <c r="S19" s="1"/>
  <c r="J19"/>
  <c r="S10" i="21"/>
  <c r="W40" i="33"/>
  <c r="F125" i="21"/>
  <c r="G125" s="1"/>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J29"/>
  <c r="AC29" s="1"/>
  <c r="H29"/>
  <c r="U29" s="1"/>
  <c r="F29"/>
  <c r="S29" s="1"/>
  <c r="H31"/>
  <c r="J45"/>
  <c r="W45" s="1"/>
  <c r="F45"/>
  <c r="AA45" s="1"/>
  <c r="H45"/>
  <c r="U45" s="1"/>
  <c r="F13" i="33"/>
  <c r="S13" s="1"/>
  <c r="J29"/>
  <c r="W29" s="1"/>
  <c r="J45"/>
  <c r="F45"/>
  <c r="S45" s="1"/>
  <c r="F11" i="35"/>
  <c r="S11" s="1"/>
  <c r="H28" i="36"/>
  <c r="U28" s="1"/>
  <c r="H32"/>
  <c r="AB32" s="1"/>
  <c r="J32"/>
  <c r="J11"/>
  <c r="W11" s="1"/>
  <c r="H13"/>
  <c r="AB13" s="1"/>
  <c r="J13"/>
  <c r="F13"/>
  <c r="S13" s="1"/>
  <c r="E89" i="37"/>
  <c r="F89" s="1"/>
  <c r="G89" s="1"/>
  <c r="H89" s="1"/>
  <c r="I89" s="1"/>
  <c r="J89" s="1"/>
  <c r="K89" s="1"/>
  <c r="L89" s="1"/>
  <c r="M89" s="1"/>
  <c r="J29"/>
  <c r="W29" s="1"/>
  <c r="F29"/>
  <c r="AA29" s="1"/>
  <c r="AB36"/>
  <c r="J37"/>
  <c r="AC37" s="1"/>
  <c r="H37"/>
  <c r="U37" s="1"/>
  <c r="H40"/>
  <c r="U40" s="1"/>
  <c r="J40"/>
  <c r="F40"/>
  <c r="AA40" s="1"/>
  <c r="H14" i="33"/>
  <c r="U14" s="1"/>
  <c r="H30"/>
  <c r="F30"/>
  <c r="S30" s="1"/>
  <c r="J30"/>
  <c r="H44"/>
  <c r="U44" s="1"/>
  <c r="J44"/>
  <c r="AC44" s="1"/>
  <c r="F44"/>
  <c r="S44" s="1"/>
  <c r="H46"/>
  <c r="AB46" s="1"/>
  <c r="H13" i="34"/>
  <c r="U13" s="1"/>
  <c r="J13"/>
  <c r="W13" s="1"/>
  <c r="F13"/>
  <c r="AA13" s="1"/>
  <c r="F29"/>
  <c r="S29" s="1"/>
  <c r="J31"/>
  <c r="AC31" s="1"/>
  <c r="F31"/>
  <c r="S31" s="1"/>
  <c r="J45"/>
  <c r="W45" s="1"/>
  <c r="F45"/>
  <c r="AA45" s="1"/>
  <c r="H47"/>
  <c r="U47" s="1"/>
  <c r="F47"/>
  <c r="AA47" s="1"/>
  <c r="J47"/>
  <c r="AC47" s="1"/>
  <c r="F13" i="35"/>
  <c r="S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AB13"/>
  <c r="J36" i="37"/>
  <c r="AC36" s="1"/>
  <c r="AB28" i="36"/>
  <c r="AB13" i="21"/>
  <c r="S46"/>
  <c r="U46"/>
  <c r="AC30"/>
  <c r="W30"/>
  <c r="AB30"/>
  <c r="S28"/>
  <c r="AA28"/>
  <c r="AB14"/>
  <c r="W14"/>
  <c r="AC14"/>
  <c r="W42"/>
  <c r="W31" i="34"/>
  <c r="U36" i="37"/>
  <c r="AB45" i="33"/>
  <c r="S45" i="21"/>
  <c r="AC28" i="33"/>
  <c r="U28" i="21"/>
  <c r="S19"/>
  <c r="G529" i="3"/>
  <c r="G521"/>
  <c r="G517"/>
  <c r="G513"/>
  <c r="G508"/>
  <c r="G499"/>
  <c r="G493"/>
  <c r="G485"/>
  <c r="G17"/>
  <c r="G565"/>
  <c r="G561"/>
  <c r="G557"/>
  <c r="G549"/>
  <c r="G545"/>
  <c r="G539"/>
  <c r="BL569"/>
  <c r="BL561"/>
  <c r="BL557"/>
  <c r="BL553"/>
  <c r="BL545"/>
  <c r="BL535"/>
  <c r="BL527"/>
  <c r="BL519"/>
  <c r="BL511"/>
  <c r="BL501"/>
  <c r="BL491"/>
  <c r="BL483"/>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AZ501" s="1"/>
  <c r="BA493"/>
  <c r="AZ493" s="1"/>
  <c r="BA487"/>
  <c r="BA19"/>
  <c r="BA566"/>
  <c r="BA562"/>
  <c r="BA560"/>
  <c r="BA558"/>
  <c r="BA556"/>
  <c r="BA554"/>
  <c r="BA550"/>
  <c r="BA546"/>
  <c r="BA544"/>
  <c r="BA540"/>
  <c r="BA536"/>
  <c r="BA532"/>
  <c r="BA528"/>
  <c r="BA524"/>
  <c r="BA520"/>
  <c r="BA516"/>
  <c r="BA512"/>
  <c r="BA508"/>
  <c r="BA502"/>
  <c r="BA498"/>
  <c r="BA492"/>
  <c r="AZ492" s="1"/>
  <c r="BA488"/>
  <c r="BA484"/>
  <c r="BA20"/>
  <c r="G566"/>
  <c r="G562"/>
  <c r="G560"/>
  <c r="G558"/>
  <c r="G556"/>
  <c r="G554"/>
  <c r="G550"/>
  <c r="G546"/>
  <c r="BL543"/>
  <c r="AZ543" s="1"/>
  <c r="BA542"/>
  <c r="AZ542" s="1"/>
  <c r="AC542"/>
  <c r="G542"/>
  <c r="BQ542"/>
  <c r="BL542" s="1"/>
  <c r="BQ568"/>
  <c r="BQ566"/>
  <c r="BQ564"/>
  <c r="BL564" s="1"/>
  <c r="BQ562"/>
  <c r="BL562" s="1"/>
  <c r="AZ562" s="1"/>
  <c r="BQ560"/>
  <c r="BL560"/>
  <c r="BQ558"/>
  <c r="BL558" s="1"/>
  <c r="AZ558" s="1"/>
  <c r="BQ556"/>
  <c r="BL556"/>
  <c r="AZ556" s="1"/>
  <c r="BQ554"/>
  <c r="BQ552"/>
  <c r="BL552"/>
  <c r="BQ550"/>
  <c r="BL550" s="1"/>
  <c r="BQ548"/>
  <c r="BQ546"/>
  <c r="BL546" s="1"/>
  <c r="BQ544"/>
  <c r="BL544" s="1"/>
  <c r="AZ544"/>
  <c r="G544"/>
  <c r="G538"/>
  <c r="G534"/>
  <c r="G530"/>
  <c r="G526"/>
  <c r="G522"/>
  <c r="BQ540"/>
  <c r="BL540"/>
  <c r="BQ538"/>
  <c r="BL538" s="1"/>
  <c r="BQ536"/>
  <c r="BQ534"/>
  <c r="BL534" s="1"/>
  <c r="BQ532"/>
  <c r="BL532" s="1"/>
  <c r="BQ530"/>
  <c r="BQ528"/>
  <c r="BQ526"/>
  <c r="BL526" s="1"/>
  <c r="BQ524"/>
  <c r="BL524" s="1"/>
  <c r="BQ522"/>
  <c r="BQ520"/>
  <c r="BL520"/>
  <c r="BQ518"/>
  <c r="BQ516"/>
  <c r="BL516" s="1"/>
  <c r="BQ514"/>
  <c r="BL514" s="1"/>
  <c r="BQ512"/>
  <c r="BQ510"/>
  <c r="BL510"/>
  <c r="BQ508"/>
  <c r="BL508" s="1"/>
  <c r="AC506"/>
  <c r="G506"/>
  <c r="BQ506"/>
  <c r="G502"/>
  <c r="G498"/>
  <c r="BQ504"/>
  <c r="BQ502"/>
  <c r="BL502" s="1"/>
  <c r="BQ500"/>
  <c r="BL500"/>
  <c r="BQ498"/>
  <c r="BQ496"/>
  <c r="AC494"/>
  <c r="BQ494"/>
  <c r="BL493"/>
  <c r="G492"/>
  <c r="G488"/>
  <c r="G484"/>
  <c r="G20"/>
  <c r="BQ492"/>
  <c r="BL492" s="1"/>
  <c r="BQ490"/>
  <c r="BQ488"/>
  <c r="BL488" s="1"/>
  <c r="BQ486"/>
  <c r="BQ484"/>
  <c r="BL484" s="1"/>
  <c r="BQ482"/>
  <c r="BL482" s="1"/>
  <c r="BQ20"/>
  <c r="BL20" s="1"/>
  <c r="AZ20" s="1"/>
  <c r="BQ18"/>
  <c r="S505" i="31"/>
  <c r="S503"/>
  <c r="S501"/>
  <c r="S499"/>
  <c r="O27"/>
  <c r="O28"/>
  <c r="O26"/>
  <c r="M27"/>
  <c r="M28"/>
  <c r="M26"/>
  <c r="I26"/>
  <c r="I25"/>
  <c r="S25"/>
  <c r="Q26"/>
  <c r="K26"/>
  <c r="I27"/>
  <c r="Q27"/>
  <c r="K27"/>
  <c r="I28"/>
  <c r="Q28"/>
  <c r="K28"/>
  <c r="AC28" i="34"/>
  <c r="H25" i="21"/>
  <c r="U25" s="1"/>
  <c r="F25"/>
  <c r="S25" s="1"/>
  <c r="J25"/>
  <c r="AC25" s="1"/>
  <c r="H43" i="33"/>
  <c r="U43" s="1"/>
  <c r="H17" i="37"/>
  <c r="U17" s="1"/>
  <c r="F23"/>
  <c r="S23" s="1"/>
  <c r="AB27"/>
  <c r="F39" i="33"/>
  <c r="E123"/>
  <c r="F42"/>
  <c r="AA42" s="1"/>
  <c r="H28" i="34"/>
  <c r="AB28" s="1"/>
  <c r="F22" i="36"/>
  <c r="S22" s="1"/>
  <c r="H35" i="34"/>
  <c r="U35" s="1"/>
  <c r="F41"/>
  <c r="S41" s="1"/>
  <c r="H41"/>
  <c r="U41" s="1"/>
  <c r="J41"/>
  <c r="F10" i="35"/>
  <c r="AA10" s="1"/>
  <c r="H24"/>
  <c r="AB24" s="1"/>
  <c r="H23" i="37"/>
  <c r="AB23" s="1"/>
  <c r="J32"/>
  <c r="AC32" s="1"/>
  <c r="F36"/>
  <c r="S36" s="1"/>
  <c r="F37"/>
  <c r="AA37" s="1"/>
  <c r="U23"/>
  <c r="F123" i="33"/>
  <c r="G123" s="1"/>
  <c r="H123" s="1"/>
  <c r="I123" s="1"/>
  <c r="J123" s="1"/>
  <c r="K123" s="1"/>
  <c r="L123" s="1"/>
  <c r="M123" s="1"/>
  <c r="H42"/>
  <c r="U42" s="1"/>
  <c r="J43"/>
  <c r="AC43" s="1"/>
  <c r="J23" i="37"/>
  <c r="W23" s="1"/>
  <c r="F17"/>
  <c r="AA17" s="1"/>
  <c r="D3" i="21"/>
  <c r="AC33" i="36"/>
  <c r="AC12" i="35"/>
  <c r="W23"/>
  <c r="AC23" i="37"/>
  <c r="S27"/>
  <c r="U39"/>
  <c r="AC8"/>
  <c r="AB8" i="34"/>
  <c r="AC37" i="33"/>
  <c r="AA13"/>
  <c r="U19" i="21"/>
  <c r="AC33"/>
  <c r="AA36"/>
  <c r="F43" i="33"/>
  <c r="AA43" s="1"/>
  <c r="AA23" i="37"/>
  <c r="S10" i="35"/>
  <c r="AB44" i="33"/>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s="1"/>
  <c r="H31"/>
  <c r="AB31" s="1"/>
  <c r="J15"/>
  <c r="W15" s="1"/>
  <c r="U12"/>
  <c r="AB10"/>
  <c r="J11"/>
  <c r="W11" s="1"/>
  <c r="U31"/>
  <c r="E90" i="40"/>
  <c r="F21"/>
  <c r="S21" s="1"/>
  <c r="W36"/>
  <c r="F90"/>
  <c r="G90" s="1"/>
  <c r="J21"/>
  <c r="AC21" s="1"/>
  <c r="S27" i="31"/>
  <c r="AZ560" i="3"/>
  <c r="G483"/>
  <c r="G515"/>
  <c r="G507"/>
  <c r="G501"/>
  <c r="BA15"/>
  <c r="BL17"/>
  <c r="BL15"/>
  <c r="BA14"/>
  <c r="AZ14" s="1"/>
  <c r="BT5"/>
  <c r="J57" i="39"/>
  <c r="H13" i="40"/>
  <c r="U13" s="1"/>
  <c r="H12" i="48"/>
  <c r="I4" i="4"/>
  <c r="K141" i="21"/>
  <c r="K143"/>
  <c r="K144"/>
  <c r="I59" i="40"/>
  <c r="C59" s="1"/>
  <c r="I60"/>
  <c r="C60" s="1"/>
  <c r="G297" i="3"/>
  <c r="BL298"/>
  <c r="G299"/>
  <c r="BL300"/>
  <c r="BA302"/>
  <c r="AZ302"/>
  <c r="BA303"/>
  <c r="BL303"/>
  <c r="G304"/>
  <c r="BA305"/>
  <c r="AZ305" s="1"/>
  <c r="G321"/>
  <c r="BL322"/>
  <c r="G323"/>
  <c r="BL324"/>
  <c r="BA326"/>
  <c r="AZ326"/>
  <c r="BA327"/>
  <c r="AZ327" s="1"/>
  <c r="BL327"/>
  <c r="G328"/>
  <c r="BA329"/>
  <c r="AZ329"/>
  <c r="G337"/>
  <c r="BL338"/>
  <c r="G339"/>
  <c r="BL340"/>
  <c r="BA342"/>
  <c r="AZ342"/>
  <c r="BA343"/>
  <c r="BL343"/>
  <c r="G344"/>
  <c r="BA345"/>
  <c r="AZ345" s="1"/>
  <c r="G353"/>
  <c r="BL354"/>
  <c r="G355"/>
  <c r="BL356"/>
  <c r="G357"/>
  <c r="BL358"/>
  <c r="AZ358"/>
  <c r="G359"/>
  <c r="BA360"/>
  <c r="AZ360"/>
  <c r="BA361"/>
  <c r="AZ361" s="1"/>
  <c r="BL361"/>
  <c r="G362"/>
  <c r="BA363"/>
  <c r="AZ363" s="1"/>
  <c r="G371"/>
  <c r="BL372"/>
  <c r="G373"/>
  <c r="BL374"/>
  <c r="BA376"/>
  <c r="AZ376" s="1"/>
  <c r="BA377"/>
  <c r="BL377"/>
  <c r="AZ377" s="1"/>
  <c r="G378"/>
  <c r="BA379"/>
  <c r="BA114"/>
  <c r="AZ114"/>
  <c r="BL115"/>
  <c r="AZ115" s="1"/>
  <c r="G116"/>
  <c r="BA118"/>
  <c r="BL119"/>
  <c r="AZ119"/>
  <c r="G120"/>
  <c r="BA122"/>
  <c r="BL123"/>
  <c r="AZ123"/>
  <c r="G124"/>
  <c r="BA126"/>
  <c r="AZ126"/>
  <c r="BL127"/>
  <c r="AZ127" s="1"/>
  <c r="G128"/>
  <c r="BA130"/>
  <c r="AZ130"/>
  <c r="BL131"/>
  <c r="AZ131" s="1"/>
  <c r="G132"/>
  <c r="BA134"/>
  <c r="AZ134"/>
  <c r="BL135"/>
  <c r="AZ135" s="1"/>
  <c r="G136"/>
  <c r="BA138"/>
  <c r="AZ138"/>
  <c r="BL139"/>
  <c r="AZ139"/>
  <c r="G140"/>
  <c r="BA142"/>
  <c r="AZ142" s="1"/>
  <c r="BL143"/>
  <c r="G144"/>
  <c r="BA146"/>
  <c r="AZ146" s="1"/>
  <c r="BL147"/>
  <c r="AZ147" s="1"/>
  <c r="G148"/>
  <c r="BA150"/>
  <c r="AZ150"/>
  <c r="BL151"/>
  <c r="AZ151"/>
  <c r="BA153"/>
  <c r="AZ153"/>
  <c r="BL154"/>
  <c r="G155"/>
  <c r="BA157"/>
  <c r="AZ157"/>
  <c r="BL158"/>
  <c r="AZ158" s="1"/>
  <c r="G159"/>
  <c r="BA161"/>
  <c r="AZ161"/>
  <c r="BL162"/>
  <c r="G163"/>
  <c r="BA165"/>
  <c r="AZ165"/>
  <c r="BL166"/>
  <c r="G167"/>
  <c r="BA169"/>
  <c r="AZ169"/>
  <c r="BL170"/>
  <c r="G171"/>
  <c r="BA173"/>
  <c r="AZ173"/>
  <c r="BL174"/>
  <c r="AZ174" s="1"/>
  <c r="G175"/>
  <c r="BA178"/>
  <c r="AZ178"/>
  <c r="BL179"/>
  <c r="G180"/>
  <c r="AZ23"/>
  <c r="AZ35"/>
  <c r="AZ43"/>
  <c r="AZ47"/>
  <c r="AZ55"/>
  <c r="AZ59"/>
  <c r="G537"/>
  <c r="BL181"/>
  <c r="AZ181" s="1"/>
  <c r="G182"/>
  <c r="BA184"/>
  <c r="AZ184"/>
  <c r="BL185"/>
  <c r="G186"/>
  <c r="BA188"/>
  <c r="AZ188"/>
  <c r="BL189"/>
  <c r="AZ189"/>
  <c r="G190"/>
  <c r="BA192"/>
  <c r="AZ192" s="1"/>
  <c r="BL193"/>
  <c r="AZ193"/>
  <c r="G194"/>
  <c r="BA196"/>
  <c r="AZ196" s="1"/>
  <c r="BL197"/>
  <c r="AZ197" s="1"/>
  <c r="G198"/>
  <c r="BA200"/>
  <c r="AZ200"/>
  <c r="BL201"/>
  <c r="AZ66"/>
  <c r="AZ70"/>
  <c r="AZ74"/>
  <c r="AZ78"/>
  <c r="AZ82"/>
  <c r="AZ185"/>
  <c r="AZ201"/>
  <c r="AZ84"/>
  <c r="AZ86"/>
  <c r="AZ90"/>
  <c r="AZ94"/>
  <c r="AZ98"/>
  <c r="AZ102"/>
  <c r="AZ106"/>
  <c r="AZ110"/>
  <c r="G491"/>
  <c r="BA298"/>
  <c r="AZ298" s="1"/>
  <c r="BA299"/>
  <c r="AZ299" s="1"/>
  <c r="BL299"/>
  <c r="G300"/>
  <c r="G303"/>
  <c r="BL304"/>
  <c r="BA306"/>
  <c r="AZ306" s="1"/>
  <c r="BA307"/>
  <c r="AZ307" s="1"/>
  <c r="BL307"/>
  <c r="G308"/>
  <c r="G319"/>
  <c r="BL320"/>
  <c r="BA322"/>
  <c r="AZ322" s="1"/>
  <c r="BA323"/>
  <c r="AZ323"/>
  <c r="BL323"/>
  <c r="G324"/>
  <c r="G327"/>
  <c r="BL328"/>
  <c r="AZ328" s="1"/>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AZ373" s="1"/>
  <c r="BL373"/>
  <c r="G374"/>
  <c r="G377"/>
  <c r="BL378"/>
  <c r="BA380"/>
  <c r="AZ380"/>
  <c r="BA381"/>
  <c r="AZ381"/>
  <c r="BL381"/>
  <c r="G382"/>
  <c r="G385"/>
  <c r="AZ154"/>
  <c r="AZ162"/>
  <c r="AZ166"/>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AZ313" s="1"/>
  <c r="G314"/>
  <c r="BA314"/>
  <c r="AZ314"/>
  <c r="BL315"/>
  <c r="G316"/>
  <c r="BA316"/>
  <c r="AZ316"/>
  <c r="BL317"/>
  <c r="G318"/>
  <c r="BA320"/>
  <c r="AZ320"/>
  <c r="BL321"/>
  <c r="AZ321" s="1"/>
  <c r="G322"/>
  <c r="BA324"/>
  <c r="AZ324"/>
  <c r="BL325"/>
  <c r="G326"/>
  <c r="BA328"/>
  <c r="BL329"/>
  <c r="G330"/>
  <c r="BA332"/>
  <c r="AZ332"/>
  <c r="BL333"/>
  <c r="G334"/>
  <c r="BA336"/>
  <c r="AZ336"/>
  <c r="BL337"/>
  <c r="G338"/>
  <c r="BA340"/>
  <c r="AZ340"/>
  <c r="BL341"/>
  <c r="AZ341" s="1"/>
  <c r="G342"/>
  <c r="BA344"/>
  <c r="AZ344"/>
  <c r="BL345"/>
  <c r="G346"/>
  <c r="BA348"/>
  <c r="AZ348"/>
  <c r="BL349"/>
  <c r="G350"/>
  <c r="BA352"/>
  <c r="AZ352"/>
  <c r="BL353"/>
  <c r="G354"/>
  <c r="BA356"/>
  <c r="AZ356"/>
  <c r="BL357"/>
  <c r="G358"/>
  <c r="BA362"/>
  <c r="AZ362"/>
  <c r="BL363"/>
  <c r="G364"/>
  <c r="BA366"/>
  <c r="AZ366"/>
  <c r="BL367"/>
  <c r="AZ205"/>
  <c r="AZ209"/>
  <c r="AZ213"/>
  <c r="AZ217"/>
  <c r="AZ221"/>
  <c r="AZ225"/>
  <c r="AZ233"/>
  <c r="AZ237"/>
  <c r="AZ309"/>
  <c r="AZ317"/>
  <c r="AZ325"/>
  <c r="AZ333"/>
  <c r="AZ337"/>
  <c r="AZ349"/>
  <c r="AZ353"/>
  <c r="AZ357"/>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5"/>
  <c r="AZ319"/>
  <c r="AZ331"/>
  <c r="AZ335"/>
  <c r="AZ339"/>
  <c r="AZ351"/>
  <c r="AZ369"/>
  <c r="AZ385"/>
  <c r="AZ390"/>
  <c r="AZ394"/>
  <c r="AZ398"/>
  <c r="AZ410"/>
  <c r="AZ414"/>
  <c r="AZ418"/>
  <c r="AZ422"/>
  <c r="AZ430"/>
  <c r="AZ434"/>
  <c r="AZ442"/>
  <c r="AZ450"/>
  <c r="AZ455"/>
  <c r="AZ459"/>
  <c r="AZ463"/>
  <c r="AZ467"/>
  <c r="AZ471"/>
  <c r="AZ475"/>
  <c r="AZ479"/>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E80"/>
  <c r="F80" s="1"/>
  <c r="G80" s="1"/>
  <c r="H17"/>
  <c r="AB17" s="1"/>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AB11" s="1"/>
  <c r="J11"/>
  <c r="AC11" s="1"/>
  <c r="F96" i="37"/>
  <c r="H32"/>
  <c r="AB32" s="1"/>
  <c r="F19" i="39"/>
  <c r="S19" s="1"/>
  <c r="H19"/>
  <c r="AB19" s="1"/>
  <c r="J19"/>
  <c r="W19" s="1"/>
  <c r="F43"/>
  <c r="S43" s="1"/>
  <c r="H43"/>
  <c r="U43" s="1"/>
  <c r="J43"/>
  <c r="W43" s="1"/>
  <c r="F99" i="37"/>
  <c r="AC27"/>
  <c r="U25" i="35"/>
  <c r="S45" i="34"/>
  <c r="AC40" i="37"/>
  <c r="W40"/>
  <c r="AC45" i="21"/>
  <c r="S28" i="33"/>
  <c r="S14" i="21"/>
  <c r="AA44" i="34"/>
  <c r="AB29" i="35"/>
  <c r="U29"/>
  <c r="AC19" i="33"/>
  <c r="W19"/>
  <c r="U43" i="34"/>
  <c r="AB43"/>
  <c r="AC34" i="37"/>
  <c r="S35"/>
  <c r="AA35"/>
  <c r="AB10" i="35"/>
  <c r="AA32" i="21"/>
  <c r="S32"/>
  <c r="U38"/>
  <c r="AB34"/>
  <c r="BL571" i="3"/>
  <c r="BA571"/>
  <c r="AZ571" s="1"/>
  <c r="BL570"/>
  <c r="AZ570"/>
  <c r="BE5"/>
  <c r="F42" i="21"/>
  <c r="AA42" s="1"/>
  <c r="AB40" i="33"/>
  <c r="U40"/>
  <c r="AA35" i="34"/>
  <c r="S35"/>
  <c r="E90"/>
  <c r="H27"/>
  <c r="AB27" s="1"/>
  <c r="AB8" i="35"/>
  <c r="U8"/>
  <c r="S9"/>
  <c r="J14"/>
  <c r="AC14" s="1"/>
  <c r="F14"/>
  <c r="S14" s="1"/>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S39" s="1"/>
  <c r="H39"/>
  <c r="AB39" s="1"/>
  <c r="J39"/>
  <c r="J29" i="35"/>
  <c r="AC29" s="1"/>
  <c r="F29"/>
  <c r="S29" s="1"/>
  <c r="W30" i="36"/>
  <c r="AC30"/>
  <c r="F37" i="39"/>
  <c r="S37" s="1"/>
  <c r="H37"/>
  <c r="U37" s="1"/>
  <c r="J37"/>
  <c r="W37" s="1"/>
  <c r="BL568" i="3"/>
  <c r="BA568"/>
  <c r="AZ568"/>
  <c r="BL567"/>
  <c r="AZ567" s="1"/>
  <c r="BA567"/>
  <c r="BL566"/>
  <c r="AZ566" s="1"/>
  <c r="BL565"/>
  <c r="AZ565"/>
  <c r="BA564"/>
  <c r="AZ564" s="1"/>
  <c r="BA563"/>
  <c r="AZ563"/>
  <c r="BL554"/>
  <c r="AZ554" s="1"/>
  <c r="BA553"/>
  <c r="AZ553"/>
  <c r="BA552"/>
  <c r="AZ552" s="1"/>
  <c r="BL549"/>
  <c r="BA549"/>
  <c r="BL548"/>
  <c r="AZ548" s="1"/>
  <c r="BA548"/>
  <c r="BL547"/>
  <c r="BA547"/>
  <c r="BL539"/>
  <c r="BA539"/>
  <c r="AZ539" s="1"/>
  <c r="BA538"/>
  <c r="AZ538"/>
  <c r="BL537"/>
  <c r="BA537"/>
  <c r="BL536"/>
  <c r="AZ536"/>
  <c r="BA535"/>
  <c r="AZ535" s="1"/>
  <c r="BA534"/>
  <c r="AZ534"/>
  <c r="BA533"/>
  <c r="AZ533" s="1"/>
  <c r="BL531"/>
  <c r="AZ531"/>
  <c r="BL530"/>
  <c r="BA530"/>
  <c r="BL529"/>
  <c r="BA529"/>
  <c r="AZ529" s="1"/>
  <c r="BL528"/>
  <c r="AZ528" s="1"/>
  <c r="BA527"/>
  <c r="AZ527"/>
  <c r="BA526"/>
  <c r="AZ526" s="1"/>
  <c r="BA525"/>
  <c r="AZ525"/>
  <c r="BL523"/>
  <c r="AZ523" s="1"/>
  <c r="BA523"/>
  <c r="BL522"/>
  <c r="BA522"/>
  <c r="AZ522" s="1"/>
  <c r="BL521"/>
  <c r="AZ521"/>
  <c r="BA519"/>
  <c r="AZ519" s="1"/>
  <c r="BL518"/>
  <c r="BA518"/>
  <c r="AZ518" s="1"/>
  <c r="BL517"/>
  <c r="BA517"/>
  <c r="AZ517"/>
  <c r="BL515"/>
  <c r="BA515"/>
  <c r="BA514"/>
  <c r="AZ514"/>
  <c r="BL513"/>
  <c r="AZ513" s="1"/>
  <c r="BA513"/>
  <c r="BL512"/>
  <c r="AZ512" s="1"/>
  <c r="BA511"/>
  <c r="AZ511"/>
  <c r="BA510"/>
  <c r="AZ510" s="1"/>
  <c r="BL509"/>
  <c r="AZ509"/>
  <c r="BL507"/>
  <c r="BA507"/>
  <c r="AZ507" s="1"/>
  <c r="BL506"/>
  <c r="BA506"/>
  <c r="AZ506" s="1"/>
  <c r="BL505"/>
  <c r="AZ505"/>
  <c r="BL504"/>
  <c r="AZ504" s="1"/>
  <c r="BA504"/>
  <c r="BA503"/>
  <c r="AZ503"/>
  <c r="BA500"/>
  <c r="AZ500" s="1"/>
  <c r="BL499"/>
  <c r="BA499"/>
  <c r="AZ499"/>
  <c r="BL498"/>
  <c r="AZ498" s="1"/>
  <c r="BL497"/>
  <c r="BA497"/>
  <c r="AZ497" s="1"/>
  <c r="BL496"/>
  <c r="AZ496" s="1"/>
  <c r="BA496"/>
  <c r="BA495"/>
  <c r="AZ495" s="1"/>
  <c r="BL494"/>
  <c r="BA494"/>
  <c r="AZ494"/>
  <c r="G494"/>
  <c r="BA491"/>
  <c r="AZ491"/>
  <c r="BL490"/>
  <c r="BA490"/>
  <c r="AZ490" s="1"/>
  <c r="BL489"/>
  <c r="BA489"/>
  <c r="AZ489" s="1"/>
  <c r="BL487"/>
  <c r="AZ487"/>
  <c r="BL486"/>
  <c r="AZ486" s="1"/>
  <c r="BA486"/>
  <c r="BA485"/>
  <c r="AZ485"/>
  <c r="BA483"/>
  <c r="AZ483" s="1"/>
  <c r="BA482"/>
  <c r="AZ482"/>
  <c r="BL481"/>
  <c r="AZ481" s="1"/>
  <c r="BJ5"/>
  <c r="BA481"/>
  <c r="BB5"/>
  <c r="BL19"/>
  <c r="AZ19" s="1"/>
  <c r="BA18"/>
  <c r="F36" i="44"/>
  <c r="F114" i="34"/>
  <c r="G114" s="1"/>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A39" i="34"/>
  <c r="S39"/>
  <c r="S43"/>
  <c r="E78"/>
  <c r="F15" s="1"/>
  <c r="S15" s="1"/>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H36" i="33"/>
  <c r="AB36" s="1"/>
  <c r="H37" i="34"/>
  <c r="U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F94" s="1"/>
  <c r="G94" s="1"/>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9"/>
  <c r="B41" i="1"/>
  <c r="J42" i="40"/>
  <c r="AC42" s="1"/>
  <c r="J40"/>
  <c r="AC40" s="1"/>
  <c r="J34"/>
  <c r="AC34" s="1"/>
  <c r="H16"/>
  <c r="AB16" s="1"/>
  <c r="H14"/>
  <c r="U14" s="1"/>
  <c r="F32"/>
  <c r="AA32" s="1"/>
  <c r="AZ401" i="3"/>
  <c r="M1" i="46"/>
  <c r="M6"/>
  <c r="M10"/>
  <c r="N2"/>
  <c r="N5"/>
  <c r="F58" s="1"/>
  <c r="F47"/>
  <c r="H49" s="1"/>
  <c r="N7"/>
  <c r="AZ456" i="3"/>
  <c r="AZ458"/>
  <c r="AZ461"/>
  <c r="AZ466"/>
  <c r="AZ469"/>
  <c r="AZ474"/>
  <c r="AZ477"/>
  <c r="AZ388"/>
  <c r="AZ207"/>
  <c r="AZ212"/>
  <c r="AZ215"/>
  <c r="AZ220"/>
  <c r="AZ223"/>
  <c r="AZ228"/>
  <c r="AZ244"/>
  <c r="AZ252"/>
  <c r="AZ255"/>
  <c r="AZ260"/>
  <c r="AZ263"/>
  <c r="AZ268"/>
  <c r="AZ273"/>
  <c r="AZ276"/>
  <c r="AZ281"/>
  <c r="AZ284"/>
  <c r="AZ289"/>
  <c r="AZ292"/>
  <c r="AZ121"/>
  <c r="AZ124"/>
  <c r="AZ137"/>
  <c r="AZ140"/>
  <c r="AZ152"/>
  <c r="M7" i="46"/>
  <c r="M11"/>
  <c r="N3"/>
  <c r="N6"/>
  <c r="N10"/>
  <c r="AZ164" i="3"/>
  <c r="AZ167"/>
  <c r="AZ177"/>
  <c r="AZ180"/>
  <c r="AZ32"/>
  <c r="AZ56"/>
  <c r="AZ63"/>
  <c r="AZ71"/>
  <c r="AZ79"/>
  <c r="AZ91"/>
  <c r="AZ99"/>
  <c r="AZ107"/>
  <c r="AZ112"/>
  <c r="H47" i="46"/>
  <c r="J13" i="40"/>
  <c r="W13" s="1"/>
  <c r="F34" i="44"/>
  <c r="F27" i="43"/>
  <c r="F66" i="9"/>
  <c r="P72" s="1"/>
  <c r="F71"/>
  <c r="F72"/>
  <c r="AC14" i="40"/>
  <c r="S33"/>
  <c r="S47" i="39"/>
  <c r="AC41" i="40"/>
  <c r="W41"/>
  <c r="J23"/>
  <c r="AC23" s="1"/>
  <c r="F23"/>
  <c r="S23" s="1"/>
  <c r="W15"/>
  <c r="AB16" i="39"/>
  <c r="U23" i="35"/>
  <c r="AB23"/>
  <c r="H20"/>
  <c r="F20"/>
  <c r="S20" s="1"/>
  <c r="H41" i="33"/>
  <c r="U41" s="1"/>
  <c r="F121"/>
  <c r="G121"/>
  <c r="H121" s="1"/>
  <c r="I121" s="1"/>
  <c r="J121" s="1"/>
  <c r="K121" s="1"/>
  <c r="L121" s="1"/>
  <c r="M121" s="1"/>
  <c r="F30" i="40"/>
  <c r="AA30" s="1"/>
  <c r="AB38" i="34"/>
  <c r="AZ515" i="3"/>
  <c r="AZ530"/>
  <c r="AZ537"/>
  <c r="AZ547"/>
  <c r="AZ549"/>
  <c r="AA29" i="35"/>
  <c r="U39" i="39"/>
  <c r="J29"/>
  <c r="AC29" s="1"/>
  <c r="AB21"/>
  <c r="U21"/>
  <c r="AB17"/>
  <c r="AB33" i="36"/>
  <c r="AA11"/>
  <c r="AA14" i="35"/>
  <c r="G99" i="37"/>
  <c r="F33" s="1"/>
  <c r="U46" i="34"/>
  <c r="AA14"/>
  <c r="W12"/>
  <c r="U29" i="33"/>
  <c r="AC13"/>
  <c r="W32"/>
  <c r="H15"/>
  <c r="U15" s="1"/>
  <c r="AA11"/>
  <c r="AA40" i="21"/>
  <c r="U17"/>
  <c r="U16" i="40"/>
  <c r="W34"/>
  <c r="AB34"/>
  <c r="AB42"/>
  <c r="U42"/>
  <c r="W32"/>
  <c r="H25"/>
  <c r="AB25" s="1"/>
  <c r="U47" i="39"/>
  <c r="W15"/>
  <c r="J37" i="34"/>
  <c r="AC37" s="1"/>
  <c r="J36" i="33"/>
  <c r="W36" s="1"/>
  <c r="S41" i="40"/>
  <c r="AB23"/>
  <c r="H23" i="39"/>
  <c r="AB23" s="1"/>
  <c r="J23"/>
  <c r="AC23" s="1"/>
  <c r="F97"/>
  <c r="G97" s="1"/>
  <c r="S16"/>
  <c r="AA41" i="33"/>
  <c r="AA34"/>
  <c r="F106"/>
  <c r="G106" s="1"/>
  <c r="H106" s="1"/>
  <c r="I106" s="1"/>
  <c r="J106" s="1"/>
  <c r="K106" s="1"/>
  <c r="L106" s="1"/>
  <c r="M106" s="1"/>
  <c r="J34"/>
  <c r="AC34" s="1"/>
  <c r="U30" i="40"/>
  <c r="AA37" i="39"/>
  <c r="W29" i="35"/>
  <c r="AC39" i="39"/>
  <c r="W39"/>
  <c r="AA39"/>
  <c r="S17"/>
  <c r="U11" i="36"/>
  <c r="F80" i="35"/>
  <c r="G80" s="1"/>
  <c r="H80" s="1"/>
  <c r="I80" s="1"/>
  <c r="J80" s="1"/>
  <c r="K80" s="1"/>
  <c r="L80" s="1"/>
  <c r="M80" s="1"/>
  <c r="W14"/>
  <c r="F90" i="34"/>
  <c r="G90" s="1"/>
  <c r="H90" s="1"/>
  <c r="I90" s="1"/>
  <c r="J90" s="1"/>
  <c r="K90" s="1"/>
  <c r="L90" s="1"/>
  <c r="M90" s="1"/>
  <c r="F27"/>
  <c r="S27" s="1"/>
  <c r="G96" i="37"/>
  <c r="H96"/>
  <c r="I96" s="1"/>
  <c r="J96" s="1"/>
  <c r="K96" s="1"/>
  <c r="L96" s="1"/>
  <c r="M96" s="1"/>
  <c r="F32"/>
  <c r="S32" s="1"/>
  <c r="U11" i="35"/>
  <c r="S46" i="34"/>
  <c r="U32"/>
  <c r="U14"/>
  <c r="U12"/>
  <c r="AB13" i="33"/>
  <c r="F17" i="34"/>
  <c r="AA17" s="1"/>
  <c r="J17"/>
  <c r="AC17" s="1"/>
  <c r="J35" i="33"/>
  <c r="W35" s="1"/>
  <c r="S32"/>
  <c r="H11"/>
  <c r="U11" s="1"/>
  <c r="H10"/>
  <c r="U10" s="1"/>
  <c r="I66"/>
  <c r="J10"/>
  <c r="AC10" s="1"/>
  <c r="U40" i="21"/>
  <c r="U11" i="37"/>
  <c r="AC16" i="35"/>
  <c r="AC36" i="33"/>
  <c r="F25" i="40"/>
  <c r="AA25" s="1"/>
  <c r="J11" i="33"/>
  <c r="W11" s="1"/>
  <c r="H33" i="37"/>
  <c r="AB33" s="1"/>
  <c r="U20" i="35"/>
  <c r="AB20"/>
  <c r="D73" i="9"/>
  <c r="N73" s="1"/>
  <c r="AP11" i="1"/>
  <c r="J51" i="15"/>
  <c r="B11" i="1"/>
  <c r="E11" s="1"/>
  <c r="K11"/>
  <c r="M11" s="1"/>
  <c r="B9"/>
  <c r="E9" s="1"/>
  <c r="K9"/>
  <c r="M9" s="1"/>
  <c r="B7"/>
  <c r="E7" s="1"/>
  <c r="K7"/>
  <c r="M7" s="1"/>
  <c r="O7" s="1"/>
  <c r="P7" s="1"/>
  <c r="C20" i="43"/>
  <c r="E2" i="65"/>
  <c r="AB32" i="40" l="1"/>
  <c r="B13" i="1"/>
  <c r="E13" s="1"/>
  <c r="C9" i="12"/>
  <c r="G10" i="1"/>
  <c r="G13"/>
  <c r="AB46" i="39"/>
  <c r="AC16" i="40"/>
  <c r="AB37" i="39"/>
  <c r="AB37" i="34"/>
  <c r="W40" i="40"/>
  <c r="W23"/>
  <c r="AC13"/>
  <c r="AC15" i="33"/>
  <c r="AC14" i="34"/>
  <c r="H100" i="40"/>
  <c r="I100" s="1"/>
  <c r="J100" s="1"/>
  <c r="K100" s="1"/>
  <c r="L100" s="1"/>
  <c r="M100" s="1"/>
  <c r="U41"/>
  <c r="W35"/>
  <c r="AB14"/>
  <c r="M18" i="69"/>
  <c r="F32"/>
  <c r="F59" s="1"/>
  <c r="F28"/>
  <c r="AZ540" i="3"/>
  <c r="AA8" i="21"/>
  <c r="S8"/>
  <c r="AZ416" i="3"/>
  <c r="AZ417"/>
  <c r="AZ427"/>
  <c r="AZ440"/>
  <c r="AZ448"/>
  <c r="U27" i="39"/>
  <c r="H15" i="34"/>
  <c r="AB15" s="1"/>
  <c r="AC47" i="39"/>
  <c r="AZ343" i="3"/>
  <c r="AB43" i="33"/>
  <c r="U31" i="21"/>
  <c r="AB31"/>
  <c r="H5" i="3"/>
  <c r="W35" i="21"/>
  <c r="AC35"/>
  <c r="AC39" i="37"/>
  <c r="W39"/>
  <c r="H112" i="34"/>
  <c r="I112" s="1"/>
  <c r="J112" s="1"/>
  <c r="K112" s="1"/>
  <c r="L112" s="1"/>
  <c r="M112" s="1"/>
  <c r="F37"/>
  <c r="AZ404" i="3"/>
  <c r="W41" i="34"/>
  <c r="AC41"/>
  <c r="AA39" i="33"/>
  <c r="S39"/>
  <c r="AA46"/>
  <c r="S46"/>
  <c r="AZ393" i="3"/>
  <c r="AZ395"/>
  <c r="AZ397"/>
  <c r="AZ484"/>
  <c r="AZ502"/>
  <c r="AZ520"/>
  <c r="AZ550"/>
  <c r="AB30" i="33"/>
  <c r="U30"/>
  <c r="W13" i="36"/>
  <c r="AC13"/>
  <c r="W45" i="33"/>
  <c r="AC45"/>
  <c r="W34" i="36"/>
  <c r="AC34"/>
  <c r="BL572" i="3"/>
  <c r="BA572"/>
  <c r="AA12" i="21"/>
  <c r="S12"/>
  <c r="F27"/>
  <c r="AA27" s="1"/>
  <c r="H27"/>
  <c r="AB27" s="1"/>
  <c r="J27"/>
  <c r="W27" s="1"/>
  <c r="J31"/>
  <c r="AC31" s="1"/>
  <c r="F31"/>
  <c r="S31" s="1"/>
  <c r="U27" i="33"/>
  <c r="AB27"/>
  <c r="AA31"/>
  <c r="S31"/>
  <c r="AZ420" i="3"/>
  <c r="AA38" i="37"/>
  <c r="J13" i="35"/>
  <c r="AC13" s="1"/>
  <c r="J46" i="33"/>
  <c r="F14"/>
  <c r="AA14" s="1"/>
  <c r="H31"/>
  <c r="F27"/>
  <c r="AA39" i="37"/>
  <c r="AB27" i="35"/>
  <c r="U38" i="33"/>
  <c r="U34" i="35"/>
  <c r="W36"/>
  <c r="H9" i="33"/>
  <c r="W41"/>
  <c r="E7" i="34"/>
  <c r="I7"/>
  <c r="G7"/>
  <c r="F9"/>
  <c r="AA9" s="1"/>
  <c r="H12" i="36"/>
  <c r="U12" s="1"/>
  <c r="J23"/>
  <c r="F25" i="37"/>
  <c r="G15" i="3"/>
  <c r="J42" i="39"/>
  <c r="AC42" s="1"/>
  <c r="A14" i="55"/>
  <c r="B65" i="63" s="1"/>
  <c r="A2" i="55"/>
  <c r="B55" i="63" s="1"/>
  <c r="A11" i="55"/>
  <c r="B62" i="63" s="1"/>
  <c r="J31" i="33"/>
  <c r="AC31" s="1"/>
  <c r="J27"/>
  <c r="AA28" i="34"/>
  <c r="C23" i="39"/>
  <c r="J9" i="33"/>
  <c r="J9" i="34"/>
  <c r="AC9" s="1"/>
  <c r="J24" i="35"/>
  <c r="H34" i="36"/>
  <c r="J25" i="37"/>
  <c r="F34" i="15"/>
  <c r="F61" s="1"/>
  <c r="F34" i="69"/>
  <c r="M20"/>
  <c r="H42" i="39"/>
  <c r="AB42" s="1"/>
  <c r="F8" i="1"/>
  <c r="BA426" i="3"/>
  <c r="AZ426" s="1"/>
  <c r="G430"/>
  <c r="BA432"/>
  <c r="AZ432" s="1"/>
  <c r="BA437"/>
  <c r="AZ437" s="1"/>
  <c r="BA446"/>
  <c r="AZ446" s="1"/>
  <c r="AZ451"/>
  <c r="BA452"/>
  <c r="AZ452" s="1"/>
  <c r="BA454"/>
  <c r="AZ454" s="1"/>
  <c r="AZ476"/>
  <c r="AZ350"/>
  <c r="AZ387"/>
  <c r="AZ208"/>
  <c r="AZ211"/>
  <c r="AZ216"/>
  <c r="AZ219"/>
  <c r="AZ224"/>
  <c r="AZ246"/>
  <c r="F42" i="39"/>
  <c r="BA429" i="3"/>
  <c r="AZ429" s="1"/>
  <c r="AB44" i="21"/>
  <c r="AB40" i="37"/>
  <c r="BI5" i="3"/>
  <c r="H24" i="36"/>
  <c r="G19" i="3"/>
  <c r="C92" i="9"/>
  <c r="C18"/>
  <c r="BL428" i="3"/>
  <c r="AZ428" s="1"/>
  <c r="BL431"/>
  <c r="AZ431" s="1"/>
  <c r="BL433"/>
  <c r="AZ433" s="1"/>
  <c r="BL436"/>
  <c r="AZ436" s="1"/>
  <c r="BL438"/>
  <c r="AZ438" s="1"/>
  <c r="BL441"/>
  <c r="AZ441" s="1"/>
  <c r="BA444"/>
  <c r="AZ444" s="1"/>
  <c r="G447"/>
  <c r="BL449"/>
  <c r="AZ449" s="1"/>
  <c r="BL451"/>
  <c r="AZ460"/>
  <c r="AZ472"/>
  <c r="BA229"/>
  <c r="AZ229" s="1"/>
  <c r="G233"/>
  <c r="G236"/>
  <c r="BL236"/>
  <c r="AZ236" s="1"/>
  <c r="G241"/>
  <c r="BL241"/>
  <c r="AZ241" s="1"/>
  <c r="BL242"/>
  <c r="G243"/>
  <c r="BL247"/>
  <c r="AZ247" s="1"/>
  <c r="G248"/>
  <c r="G252"/>
  <c r="G254"/>
  <c r="AZ266"/>
  <c r="AZ272"/>
  <c r="AZ280"/>
  <c r="AZ288"/>
  <c r="BA227"/>
  <c r="AZ227" s="1"/>
  <c r="BL231"/>
  <c r="AZ231" s="1"/>
  <c r="AZ242"/>
  <c r="BL226"/>
  <c r="AZ226" s="1"/>
  <c r="G230"/>
  <c r="BL239"/>
  <c r="AZ239" s="1"/>
  <c r="G240"/>
  <c r="BA245"/>
  <c r="AZ245" s="1"/>
  <c r="AZ250"/>
  <c r="AZ269"/>
  <c r="AZ271"/>
  <c r="AZ277"/>
  <c r="AZ279"/>
  <c r="AZ285"/>
  <c r="AZ287"/>
  <c r="AZ293"/>
  <c r="G130"/>
  <c r="BL116"/>
  <c r="AZ116" s="1"/>
  <c r="AZ145"/>
  <c r="AZ148"/>
  <c r="AZ175"/>
  <c r="AZ22"/>
  <c r="BL118"/>
  <c r="AZ118" s="1"/>
  <c r="BA129"/>
  <c r="AZ129" s="1"/>
  <c r="BL122"/>
  <c r="AZ122" s="1"/>
  <c r="AZ128"/>
  <c r="AZ159"/>
  <c r="AZ163"/>
  <c r="AZ26"/>
  <c r="AZ30"/>
  <c r="BA25"/>
  <c r="AZ25" s="1"/>
  <c r="BA28"/>
  <c r="AZ28" s="1"/>
  <c r="BL34"/>
  <c r="BA40"/>
  <c r="AZ40" s="1"/>
  <c r="AZ41"/>
  <c r="AZ44"/>
  <c r="BA46"/>
  <c r="AZ46" s="1"/>
  <c r="BA48"/>
  <c r="AZ48" s="1"/>
  <c r="AZ50"/>
  <c r="BL51"/>
  <c r="AZ51" s="1"/>
  <c r="BL54"/>
  <c r="AZ57"/>
  <c r="AZ72"/>
  <c r="AZ85"/>
  <c r="AZ88"/>
  <c r="AZ97"/>
  <c r="AZ101"/>
  <c r="AZ103"/>
  <c r="BL24"/>
  <c r="AZ24" s="1"/>
  <c r="AZ34"/>
  <c r="BL37"/>
  <c r="AZ37" s="1"/>
  <c r="AZ42"/>
  <c r="AZ45"/>
  <c r="BA21"/>
  <c r="AZ21" s="1"/>
  <c r="BL27"/>
  <c r="AZ27" s="1"/>
  <c r="G29"/>
  <c r="BL31"/>
  <c r="AZ31" s="1"/>
  <c r="G39"/>
  <c r="BL39"/>
  <c r="AZ39" s="1"/>
  <c r="G47"/>
  <c r="G49"/>
  <c r="BA52"/>
  <c r="AZ52" s="1"/>
  <c r="AZ54"/>
  <c r="AZ60"/>
  <c r="AZ69"/>
  <c r="AZ75"/>
  <c r="AZ80"/>
  <c r="I21" i="57"/>
  <c r="D1"/>
  <c r="E10" s="1"/>
  <c r="G1" i="69"/>
  <c r="D100" i="46"/>
  <c r="C42" i="1"/>
  <c r="J51" i="69"/>
  <c r="K100" i="46"/>
  <c r="D23" i="15"/>
  <c r="U17" i="34"/>
  <c r="S17"/>
  <c r="J15"/>
  <c r="AC15" s="1"/>
  <c r="F78"/>
  <c r="G78" s="1"/>
  <c r="AA15"/>
  <c r="J10"/>
  <c r="AC10" s="1"/>
  <c r="F10"/>
  <c r="AA10" s="1"/>
  <c r="H10"/>
  <c r="AB10" s="1"/>
  <c r="W9"/>
  <c r="U9"/>
  <c r="AB31"/>
  <c r="U31"/>
  <c r="AC30"/>
  <c r="H29"/>
  <c r="U29" s="1"/>
  <c r="AA43" i="39"/>
  <c r="AC43"/>
  <c r="AB29"/>
  <c r="AB25"/>
  <c r="W27"/>
  <c r="S23"/>
  <c r="U19"/>
  <c r="AA19"/>
  <c r="O8" i="1"/>
  <c r="P8" s="1"/>
  <c r="AB44" i="39"/>
  <c r="U34"/>
  <c r="S33"/>
  <c r="W33"/>
  <c r="W14"/>
  <c r="A30" i="64"/>
  <c r="A30" i="51"/>
  <c r="B22" i="63" s="1"/>
  <c r="G14" i="3"/>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28"/>
  <c r="AA27"/>
  <c r="J25"/>
  <c r="H25"/>
  <c r="F25"/>
  <c r="J23"/>
  <c r="F86"/>
  <c r="G86" s="1"/>
  <c r="F23"/>
  <c r="H23"/>
  <c r="W17"/>
  <c r="W10"/>
  <c r="U10"/>
  <c r="W37"/>
  <c r="AC40"/>
  <c r="W44"/>
  <c r="W19"/>
  <c r="W29"/>
  <c r="AC21"/>
  <c r="W21"/>
  <c r="U15"/>
  <c r="AB21"/>
  <c r="U21"/>
  <c r="U27"/>
  <c r="U19"/>
  <c r="AB41"/>
  <c r="S13"/>
  <c r="AA41"/>
  <c r="S9"/>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M20" i="15"/>
  <c r="D96" i="9"/>
  <c r="F28" i="15"/>
  <c r="C28" s="1"/>
  <c r="M18"/>
  <c r="A18" i="64"/>
  <c r="B74" i="63" s="1"/>
  <c r="C53" i="10"/>
  <c r="A25" i="64" s="1"/>
  <c r="A18" i="51"/>
  <c r="B14" i="63" s="1"/>
  <c r="M20" i="46"/>
  <c r="C19" s="1"/>
  <c r="BA16" i="3"/>
  <c r="BA17"/>
  <c r="AZ17" s="1"/>
  <c r="F3" i="35"/>
  <c r="K1" i="43"/>
  <c r="K1" i="12"/>
  <c r="G1" i="44"/>
  <c r="I4" i="6"/>
  <c r="G3" i="46" s="1"/>
  <c r="H22" s="1"/>
  <c r="AZ15" i="3"/>
  <c r="G5"/>
  <c r="B3" s="1"/>
  <c r="BK5"/>
  <c r="BO5"/>
  <c r="BP5"/>
  <c r="BN5"/>
  <c r="BL18"/>
  <c r="AZ18" s="1"/>
  <c r="BC5"/>
  <c r="E8" i="6" s="1"/>
  <c r="BD5" i="3"/>
  <c r="BR5"/>
  <c r="G28" i="6" s="1"/>
  <c r="BS5" i="3"/>
  <c r="BQ5"/>
  <c r="BL16"/>
  <c r="BM5"/>
  <c r="BA13"/>
  <c r="H48" i="46"/>
  <c r="H52"/>
  <c r="H53"/>
  <c r="B40" i="1"/>
  <c r="F24" i="69" s="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C16" s="1"/>
  <c r="C5" s="1"/>
  <c r="E17"/>
  <c r="D71"/>
  <c r="D84"/>
  <c r="E80" s="1"/>
  <c r="B78" s="1"/>
  <c r="D69"/>
  <c r="E69" s="1"/>
  <c r="B67" s="1"/>
  <c r="E47"/>
  <c r="E58"/>
  <c r="C52" i="15"/>
  <c r="A4" i="64"/>
  <c r="A4" i="51"/>
  <c r="B6" i="63" s="1"/>
  <c r="C51" i="10"/>
  <c r="H58" i="46"/>
  <c r="H61"/>
  <c r="H62"/>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6" i="44"/>
  <c r="F11"/>
  <c r="M29"/>
  <c r="F13" i="15"/>
  <c r="L49" i="44"/>
  <c r="M25"/>
  <c r="F40"/>
  <c r="M24"/>
  <c r="M28" i="15"/>
  <c r="F26"/>
  <c r="M8" i="44"/>
  <c r="F15"/>
  <c r="F38"/>
  <c r="M6" i="15"/>
  <c r="M30" i="44"/>
  <c r="F39"/>
  <c r="F37" i="15"/>
  <c r="F45" i="44"/>
  <c r="M10"/>
  <c r="M24" i="15"/>
  <c r="F10" i="44"/>
  <c r="M31"/>
  <c r="F40" i="15"/>
  <c r="F28" i="44"/>
  <c r="F9"/>
  <c r="F43"/>
  <c r="M29" i="15"/>
  <c r="M28" i="44"/>
  <c r="F6" i="15"/>
  <c r="L48" i="44"/>
  <c r="F18"/>
  <c r="M11"/>
  <c r="J17"/>
  <c r="F8"/>
  <c r="M22" i="15"/>
  <c r="F38"/>
  <c r="H69" i="46" l="1"/>
  <c r="H74"/>
  <c r="H75"/>
  <c r="H77"/>
  <c r="AB11"/>
  <c r="AB13" s="1"/>
  <c r="H76"/>
  <c r="C7"/>
  <c r="AB24" i="36"/>
  <c r="U24"/>
  <c r="F61" i="69"/>
  <c r="AC24" i="35"/>
  <c r="W24"/>
  <c r="U31" i="33"/>
  <c r="AB31"/>
  <c r="C28" i="69"/>
  <c r="AP6" i="1"/>
  <c r="C12" i="39"/>
  <c r="AA42"/>
  <c r="S42"/>
  <c r="AC27" i="33"/>
  <c r="W27"/>
  <c r="AA25" i="37"/>
  <c r="S25"/>
  <c r="AB9" i="33"/>
  <c r="U9"/>
  <c r="AZ572" i="3"/>
  <c r="E413"/>
  <c r="C34" i="34"/>
  <c r="W25" i="37"/>
  <c r="AC25"/>
  <c r="AC9" i="33"/>
  <c r="W9"/>
  <c r="AC23" i="36"/>
  <c r="W23"/>
  <c r="AC46" i="33"/>
  <c r="W46"/>
  <c r="AA37" i="34"/>
  <c r="S37"/>
  <c r="BL5" i="3"/>
  <c r="U34" i="36"/>
  <c r="AB34"/>
  <c r="S27" i="33"/>
  <c r="AA27"/>
  <c r="W15" i="34"/>
  <c r="S10"/>
  <c r="C24" i="69"/>
  <c r="G6" i="1"/>
  <c r="G16" s="1"/>
  <c r="J12" i="40" s="1"/>
  <c r="I55" i="44"/>
  <c r="J54"/>
  <c r="L60"/>
  <c r="Q63" s="1"/>
  <c r="L59"/>
  <c r="Q75" s="1"/>
  <c r="J60"/>
  <c r="J58"/>
  <c r="J56" s="1"/>
  <c r="J59" s="1"/>
  <c r="Q52" s="1"/>
  <c r="L57"/>
  <c r="J61"/>
  <c r="Q50" s="1"/>
  <c r="E86" i="3"/>
  <c r="AE11" i="46"/>
  <c r="AE13" s="1"/>
  <c r="F29" i="6"/>
  <c r="F28"/>
  <c r="Q73" i="44"/>
  <c r="C12"/>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5" i="46"/>
  <c r="C104"/>
  <c r="C105"/>
  <c r="F106"/>
  <c r="F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F67"/>
  <c r="F65"/>
  <c r="G66" i="36"/>
  <c r="J18"/>
  <c r="AE6" i="1"/>
  <c r="F43" i="15"/>
  <c r="F16"/>
  <c r="M22" i="69"/>
  <c r="J15" i="15"/>
  <c r="J36"/>
  <c r="F9"/>
  <c r="F7" i="69"/>
  <c r="L48"/>
  <c r="M27" i="15"/>
  <c r="J15" i="69"/>
  <c r="F38"/>
  <c r="F40"/>
  <c r="L48" i="15"/>
  <c r="F8"/>
  <c r="M23" i="69"/>
  <c r="F7" i="15"/>
  <c r="M8"/>
  <c r="M8" i="69"/>
  <c r="F13"/>
  <c r="C18" i="44"/>
  <c r="L47" i="15"/>
  <c r="M27" i="69"/>
  <c r="L47"/>
  <c r="M26"/>
  <c r="F42"/>
  <c r="F9"/>
  <c r="M24"/>
  <c r="F33" i="44"/>
  <c r="F36" i="69"/>
  <c r="F37"/>
  <c r="F16"/>
  <c r="J36"/>
  <c r="M9" i="15"/>
  <c r="F26" i="69"/>
  <c r="M23" i="15"/>
  <c r="M26"/>
  <c r="F42"/>
  <c r="F36"/>
  <c r="M28" i="69"/>
  <c r="M19" i="44"/>
  <c r="F46"/>
  <c r="M6" i="69"/>
  <c r="M9"/>
  <c r="F8"/>
  <c r="M29"/>
  <c r="F6"/>
  <c r="F43"/>
  <c r="F7" i="36" l="1"/>
  <c r="S7" s="1"/>
  <c r="K104" i="46"/>
  <c r="J103"/>
  <c r="K107"/>
  <c r="J109"/>
  <c r="J107"/>
  <c r="F65" i="69"/>
  <c r="F67"/>
  <c r="L58"/>
  <c r="L59"/>
  <c r="F49"/>
  <c r="M7"/>
  <c r="J6" s="1"/>
  <c r="J5" s="1"/>
  <c r="F70"/>
  <c r="L58" i="15"/>
  <c r="Q74" s="1"/>
  <c r="L59"/>
  <c r="Q75" s="1"/>
  <c r="F64" i="69"/>
  <c r="C6"/>
  <c r="C10"/>
  <c r="F70" i="15"/>
  <c r="F63"/>
  <c r="F49"/>
  <c r="M7"/>
  <c r="J6" s="1"/>
  <c r="J5" s="1"/>
  <c r="J18" s="1"/>
  <c r="F50" i="69"/>
  <c r="F63"/>
  <c r="C27"/>
  <c r="Q72"/>
  <c r="I54" i="15"/>
  <c r="L56"/>
  <c r="J57"/>
  <c r="J55" s="1"/>
  <c r="J58" s="1"/>
  <c r="Q51" s="1"/>
  <c r="J53"/>
  <c r="F1" s="1"/>
  <c r="L57" i="69"/>
  <c r="J53"/>
  <c r="L60"/>
  <c r="L56"/>
  <c r="I54"/>
  <c r="J57"/>
  <c r="J55" s="1"/>
  <c r="J58" s="1"/>
  <c r="Q51" s="1"/>
  <c r="J60"/>
  <c r="Q49" s="1"/>
  <c r="J59"/>
  <c r="Q72" i="15"/>
  <c r="C6"/>
  <c r="C10"/>
  <c r="F50"/>
  <c r="J7" i="36"/>
  <c r="W7" s="1"/>
  <c r="H7" i="35"/>
  <c r="AB7" s="1"/>
  <c r="T38" s="1"/>
  <c r="G38" s="1"/>
  <c r="G42" s="1"/>
  <c r="H42" s="1"/>
  <c r="H7" i="34"/>
  <c r="AB7" s="1"/>
  <c r="H7" i="36"/>
  <c r="AB7" s="1"/>
  <c r="T36" s="1"/>
  <c r="G36" s="1"/>
  <c r="G40" s="1"/>
  <c r="H40" s="1"/>
  <c r="J7" i="35"/>
  <c r="AC7" s="1"/>
  <c r="V38" s="1"/>
  <c r="I38" s="1"/>
  <c r="F7" i="34"/>
  <c r="F103" i="46"/>
  <c r="C107"/>
  <c r="F7" i="35"/>
  <c r="J7" i="34"/>
  <c r="W7" s="1"/>
  <c r="F34"/>
  <c r="J34"/>
  <c r="H34"/>
  <c r="I116" i="46"/>
  <c r="J116" s="1"/>
  <c r="K116" s="1"/>
  <c r="L116" s="1"/>
  <c r="M116" s="1"/>
  <c r="K102"/>
  <c r="K103"/>
  <c r="K106"/>
  <c r="F105"/>
  <c r="F104"/>
  <c r="F102"/>
  <c r="C109"/>
  <c r="C102"/>
  <c r="C103"/>
  <c r="J102"/>
  <c r="J106"/>
  <c r="H7" i="37"/>
  <c r="Q62" i="44"/>
  <c r="Q76"/>
  <c r="J7" i="37"/>
  <c r="AC7" s="1"/>
  <c r="V42" s="1"/>
  <c r="I42" s="1"/>
  <c r="I46" s="1"/>
  <c r="J46"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S7" i="37"/>
  <c r="U7" i="34"/>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L19" i="6"/>
  <c r="K15" i="1"/>
  <c r="E62" i="40"/>
  <c r="E67" i="39"/>
  <c r="E66"/>
  <c r="E61" i="40"/>
  <c r="E37" i="46"/>
  <c r="G35"/>
  <c r="I35" s="1"/>
  <c r="E38"/>
  <c r="G36"/>
  <c r="I36" s="1"/>
  <c r="E33"/>
  <c r="C30"/>
  <c r="E30" s="1"/>
  <c r="G34"/>
  <c r="I34" s="1"/>
  <c r="B21" i="55"/>
  <c r="B72" i="63" s="1"/>
  <c r="B20" i="55"/>
  <c r="B70" i="63" s="1"/>
  <c r="AA7" i="36"/>
  <c r="R36" s="1"/>
  <c r="E36" s="1"/>
  <c r="E40" s="1"/>
  <c r="F40" s="1"/>
  <c r="S7" i="35"/>
  <c r="AA7"/>
  <c r="R38" s="1"/>
  <c r="R39" s="1"/>
  <c r="C38" s="1"/>
  <c r="S7" i="34"/>
  <c r="AA7"/>
  <c r="W7" i="37"/>
  <c r="F7" i="21"/>
  <c r="J7"/>
  <c r="H7"/>
  <c r="G43" i="35"/>
  <c r="H43" s="1"/>
  <c r="I42"/>
  <c r="J42" s="1"/>
  <c r="G52" i="33"/>
  <c r="H52" s="1"/>
  <c r="G53"/>
  <c r="H53" s="1"/>
  <c r="E67" i="40"/>
  <c r="F65"/>
  <c r="E72" i="39"/>
  <c r="F70"/>
  <c r="E39" i="46"/>
  <c r="C20" i="11"/>
  <c r="C21" s="1"/>
  <c r="C22" s="1"/>
  <c r="C23" s="1"/>
  <c r="B2" s="1"/>
  <c r="AC12" i="40"/>
  <c r="W12"/>
  <c r="E46" i="37"/>
  <c r="F46" s="1"/>
  <c r="C48" i="33"/>
  <c r="C49"/>
  <c r="B3" s="1"/>
  <c r="B2" s="1"/>
  <c r="F58" i="15"/>
  <c r="F31" i="69"/>
  <c r="C16" i="15"/>
  <c r="M17"/>
  <c r="F58" i="69"/>
  <c r="M17"/>
  <c r="F7" i="67"/>
  <c r="AE7" i="1"/>
  <c r="C16" i="69"/>
  <c r="F31" i="15"/>
  <c r="L52" i="44"/>
  <c r="AC7" i="34" l="1"/>
  <c r="Q62" i="15"/>
  <c r="C48"/>
  <c r="C5" i="69"/>
  <c r="C32" s="1"/>
  <c r="C5" i="15"/>
  <c r="C38" s="1"/>
  <c r="Q61"/>
  <c r="Q53"/>
  <c r="L46" i="69"/>
  <c r="W7" i="35"/>
  <c r="AA34" i="34"/>
  <c r="S34"/>
  <c r="J26" i="69"/>
  <c r="J18"/>
  <c r="J24"/>
  <c r="C48"/>
  <c r="C47" s="1"/>
  <c r="Q75"/>
  <c r="Q62"/>
  <c r="Q67"/>
  <c r="Q58"/>
  <c r="Q74"/>
  <c r="Q61"/>
  <c r="AB34" i="34"/>
  <c r="U34"/>
  <c r="Q53" i="69"/>
  <c r="F1"/>
  <c r="G41" i="36"/>
  <c r="H41" s="1"/>
  <c r="E30" i="6"/>
  <c r="E31" s="1"/>
  <c r="AC34" i="34"/>
  <c r="W34"/>
  <c r="AB12" i="39"/>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14" i="66" s="1"/>
  <c r="B1" s="1"/>
  <c r="AY6" i="3"/>
  <c r="R43" i="37"/>
  <c r="C27" i="46"/>
  <c r="C39" i="35"/>
  <c r="B3" s="1"/>
  <c r="B2" s="1"/>
  <c r="AC7" i="21"/>
  <c r="V48" s="1"/>
  <c r="I48" s="1"/>
  <c r="W7"/>
  <c r="U7"/>
  <c r="AB7"/>
  <c r="T48" s="1"/>
  <c r="G48" s="1"/>
  <c r="S7"/>
  <c r="AA7"/>
  <c r="R48" s="1"/>
  <c r="F72" i="39"/>
  <c r="G70"/>
  <c r="F67" i="40"/>
  <c r="G65"/>
  <c r="J24" i="15"/>
  <c r="J20" i="44"/>
  <c r="J26"/>
  <c r="AE8" i="1"/>
  <c r="F41" i="15"/>
  <c r="E7" i="67"/>
  <c r="C17" i="69"/>
  <c r="C19" i="44"/>
  <c r="C17" i="15"/>
  <c r="C38" i="69" l="1"/>
  <c r="C32" i="15"/>
  <c r="F68"/>
  <c r="B3" i="11"/>
  <c r="C65" i="69"/>
  <c r="C59"/>
  <c r="G46" i="37"/>
  <c r="H46" s="1"/>
  <c r="E47"/>
  <c r="F47" s="1"/>
  <c r="L47" i="44"/>
  <c r="Q59"/>
  <c r="Q68"/>
  <c r="E3" i="67"/>
  <c r="B2" i="46"/>
  <c r="D4" s="1"/>
  <c r="E43" i="35"/>
  <c r="F43" s="1"/>
  <c r="E42"/>
  <c r="F42" s="1"/>
  <c r="C37" i="36"/>
  <c r="B3" s="1"/>
  <c r="B2" s="1"/>
  <c r="C36"/>
  <c r="S16" i="1"/>
  <c r="T13" s="1"/>
  <c r="D3" i="6"/>
  <c r="C40" i="39"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I52" i="21"/>
  <c r="J52" s="1"/>
  <c r="E48"/>
  <c r="R49"/>
  <c r="G52"/>
  <c r="H52" s="1"/>
  <c r="G53"/>
  <c r="H53" s="1"/>
  <c r="G67" i="40"/>
  <c r="H65"/>
  <c r="G72" i="39"/>
  <c r="H70"/>
  <c r="F41" i="69"/>
  <c r="B7" i="67"/>
  <c r="J29" i="69" l="1"/>
  <c r="F68"/>
  <c r="F40" i="39"/>
  <c r="H40"/>
  <c r="J40"/>
  <c r="C14" i="66"/>
  <c r="B2"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4" i="69"/>
  <c r="C14" i="15"/>
  <c r="C16" i="44"/>
  <c r="AC40" i="39" l="1"/>
  <c r="W40"/>
  <c r="AB40"/>
  <c r="U40"/>
  <c r="AA40"/>
  <c r="S40"/>
  <c r="C15" i="69"/>
  <c r="C18"/>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i="69"/>
  <c r="F37" i="44"/>
  <c r="F35" i="15"/>
  <c r="F35" i="69"/>
  <c r="M23" i="44"/>
  <c r="M21" i="15"/>
  <c r="C19" i="69" l="1"/>
  <c r="C20" s="1"/>
  <c r="C26" s="1"/>
  <c r="F62"/>
  <c r="C61" s="1"/>
  <c r="C34"/>
  <c r="J20"/>
  <c r="C21" i="44"/>
  <c r="C22" s="1"/>
  <c r="C25" s="1"/>
  <c r="C19" i="15"/>
  <c r="C20" s="1"/>
  <c r="C23" s="1"/>
  <c r="J20"/>
  <c r="C36" i="44"/>
  <c r="C34" i="15"/>
  <c r="F62"/>
  <c r="C61" s="1"/>
  <c r="J22" i="44"/>
  <c r="C18" i="12"/>
  <c r="R16" i="1"/>
  <c r="D31" i="6"/>
  <c r="I6" s="1"/>
  <c r="R27"/>
  <c r="C18" i="43"/>
  <c r="K70" i="39"/>
  <c r="J72"/>
  <c r="K65" i="40"/>
  <c r="J67"/>
  <c r="C65" i="15"/>
  <c r="C59"/>
  <c r="I7" i="6" l="1"/>
  <c r="C11" i="34"/>
  <c r="C13" i="39"/>
  <c r="C23" i="69"/>
  <c r="C29" s="1"/>
  <c r="C28" i="44"/>
  <c r="C31" s="1"/>
  <c r="C35" s="1"/>
  <c r="I5" i="6"/>
  <c r="C26" i="15"/>
  <c r="C29" s="1"/>
  <c r="J59" s="1"/>
  <c r="J60" s="1"/>
  <c r="Q49" s="1"/>
  <c r="C23" i="12"/>
  <c r="C19" i="43"/>
  <c r="C22" s="1"/>
  <c r="C21" s="1"/>
  <c r="K67" i="40"/>
  <c r="L65"/>
  <c r="K72" i="39"/>
  <c r="L70"/>
  <c r="F13" l="1"/>
  <c r="J13"/>
  <c r="H13"/>
  <c r="F11" i="34"/>
  <c r="H11"/>
  <c r="J11"/>
  <c r="J19" i="69"/>
  <c r="J17" s="1"/>
  <c r="C36"/>
  <c r="C33"/>
  <c r="C31" s="1"/>
  <c r="C13"/>
  <c r="Q50"/>
  <c r="C56"/>
  <c r="J14"/>
  <c r="C33" i="44"/>
  <c r="J21"/>
  <c r="J19" s="1"/>
  <c r="Q51"/>
  <c r="C15"/>
  <c r="C38"/>
  <c r="J16"/>
  <c r="J15" s="1"/>
  <c r="J25" s="1"/>
  <c r="J19" i="15"/>
  <c r="J17" s="1"/>
  <c r="J14"/>
  <c r="J22" s="1"/>
  <c r="C56"/>
  <c r="C63" s="1"/>
  <c r="Q50"/>
  <c r="C13"/>
  <c r="J35" s="1"/>
  <c r="C36"/>
  <c r="C25" i="43"/>
  <c r="C24" s="1"/>
  <c r="C28" s="1"/>
  <c r="C30" s="1"/>
  <c r="L72" i="39"/>
  <c r="M70"/>
  <c r="M65" i="40"/>
  <c r="L67"/>
  <c r="C33" i="15"/>
  <c r="S11" i="34" l="1"/>
  <c r="AA11"/>
  <c r="R49" s="1"/>
  <c r="AB13" i="39"/>
  <c r="U13"/>
  <c r="W11" i="34"/>
  <c r="AC11"/>
  <c r="V49" s="1"/>
  <c r="I49" s="1"/>
  <c r="AC13" i="39"/>
  <c r="W13"/>
  <c r="AB11" i="34"/>
  <c r="T49" s="1"/>
  <c r="G49" s="1"/>
  <c r="G53" s="1"/>
  <c r="H53" s="1"/>
  <c r="U11"/>
  <c r="AA13" i="39"/>
  <c r="S13"/>
  <c r="J22" i="69"/>
  <c r="J13"/>
  <c r="J23" s="1"/>
  <c r="C60"/>
  <c r="C58" s="1"/>
  <c r="C63"/>
  <c r="Q71"/>
  <c r="C55"/>
  <c r="C64" s="1"/>
  <c r="J35"/>
  <c r="C37"/>
  <c r="C30" s="1"/>
  <c r="C39"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69"/>
  <c r="J39" l="1"/>
  <c r="J40" s="1"/>
  <c r="C57"/>
  <c r="C66" s="1"/>
  <c r="C67" s="1"/>
  <c r="C70" s="1"/>
  <c r="G54" i="34"/>
  <c r="H54" s="1"/>
  <c r="I53"/>
  <c r="J53" s="1"/>
  <c r="R50"/>
  <c r="E49"/>
  <c r="I54" s="1"/>
  <c r="J54" s="1"/>
  <c r="Q68" i="69"/>
  <c r="Q70"/>
  <c r="Q69" s="1"/>
  <c r="C40"/>
  <c r="J16"/>
  <c r="J25" s="1"/>
  <c r="C44" i="44"/>
  <c r="C45" s="1"/>
  <c r="B2" s="1"/>
  <c r="B4" s="1"/>
  <c r="C30" i="15"/>
  <c r="C39" s="1"/>
  <c r="Q70" s="1"/>
  <c r="Q69" s="1"/>
  <c r="C58"/>
  <c r="C57" s="1"/>
  <c r="C66" s="1"/>
  <c r="C67" s="1"/>
  <c r="C70" s="1"/>
  <c r="Q70" i="44"/>
  <c r="Q49"/>
  <c r="Q55" s="1"/>
  <c r="Q58"/>
  <c r="Q64" s="1"/>
  <c r="B3" i="43"/>
  <c r="B5"/>
  <c r="B4"/>
  <c r="J9" i="40"/>
  <c r="F9"/>
  <c r="H9"/>
  <c r="J9" i="39"/>
  <c r="H9"/>
  <c r="F9"/>
  <c r="E53" i="34" l="1"/>
  <c r="F53" s="1"/>
  <c r="E54"/>
  <c r="F54" s="1"/>
  <c r="C50"/>
  <c r="B3" s="1"/>
  <c r="C49"/>
  <c r="Q66" i="69"/>
  <c r="Q76" s="1"/>
  <c r="Q48"/>
  <c r="Q54" s="1"/>
  <c r="B2"/>
  <c r="Q57"/>
  <c r="Q63" s="1"/>
  <c r="C43"/>
  <c r="J42"/>
  <c r="J43" s="1"/>
  <c r="C46"/>
  <c r="C40" i="15"/>
  <c r="Q48" s="1"/>
  <c r="Q54" s="1"/>
  <c r="J39"/>
  <c r="J40" s="1"/>
  <c r="B5" i="44"/>
  <c r="B3"/>
  <c r="S9" i="39"/>
  <c r="AA9"/>
  <c r="R49" s="1"/>
  <c r="W9"/>
  <c r="AC9"/>
  <c r="V49" s="1"/>
  <c r="I49" s="1"/>
  <c r="AA9" i="40"/>
  <c r="R44" s="1"/>
  <c r="S9"/>
  <c r="U9" i="39"/>
  <c r="AB9"/>
  <c r="T49" s="1"/>
  <c r="G49" s="1"/>
  <c r="AB9" i="40"/>
  <c r="T44" s="1"/>
  <c r="G44" s="1"/>
  <c r="U9"/>
  <c r="AC9"/>
  <c r="V44" s="1"/>
  <c r="I44" s="1"/>
  <c r="W9"/>
  <c r="L51" i="15"/>
  <c r="B2" i="34" l="1"/>
  <c r="C10" i="12" s="1"/>
  <c r="C8"/>
  <c r="B3" i="69"/>
  <c r="E8" i="12" s="1"/>
  <c r="E10"/>
  <c r="C46" i="15"/>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35" i="12" l="1"/>
  <c r="C33" s="1"/>
  <c r="C28"/>
  <c r="C26" s="1"/>
  <c r="C31" s="1"/>
  <c r="C30" s="1"/>
  <c r="L43" i="9"/>
  <c r="B3" i="40"/>
  <c r="B4"/>
  <c r="B5"/>
  <c r="B3" i="39"/>
  <c r="B4"/>
  <c r="B5"/>
  <c r="C21" i="9"/>
  <c r="C20"/>
  <c r="C36" i="12" l="1"/>
  <c r="B2" s="1"/>
  <c r="C45" i="9"/>
  <c r="H14" i="66" s="1"/>
  <c r="B7" s="1"/>
  <c r="D19" i="9"/>
  <c r="L44" l="1"/>
  <c r="G19"/>
  <c r="D22"/>
  <c r="B3" i="12"/>
  <c r="B4"/>
  <c r="B5"/>
  <c r="D7" i="66"/>
  <c r="C7"/>
  <c r="D20" i="9"/>
  <c r="D21"/>
  <c r="G21" l="1"/>
  <c r="G20"/>
  <c r="C32"/>
  <c r="N43"/>
  <c r="G22"/>
  <c r="D45"/>
  <c r="E45"/>
  <c r="O40"/>
  <c r="F45"/>
  <c r="O38" l="1"/>
  <c r="C33"/>
  <c r="C35"/>
  <c r="F42" s="1"/>
  <c r="C42"/>
  <c r="C34"/>
  <c r="O43"/>
  <c r="K31"/>
  <c r="K32" s="1"/>
  <c r="R7" i="54"/>
  <c r="B52" i="63" s="1"/>
  <c r="C44" i="9" l="1"/>
  <c r="R5" i="54"/>
  <c r="B48" i="63" s="1"/>
  <c r="D63" i="9"/>
  <c r="D14" i="66"/>
  <c r="N68" i="9"/>
  <c r="D42"/>
  <c r="Q5" i="54" s="1"/>
  <c r="B47" i="63" s="1"/>
  <c r="N38" i="9"/>
  <c r="K28" s="1"/>
  <c r="E42"/>
  <c r="P5" i="54" s="1"/>
  <c r="B46" i="63" s="1"/>
  <c r="M38" i="9"/>
  <c r="K27" s="1"/>
  <c r="K25"/>
  <c r="K26"/>
  <c r="F14" i="66" l="1"/>
  <c r="E14"/>
  <c r="B5"/>
  <c r="C111" i="9"/>
  <c r="C104" s="1"/>
  <c r="C96"/>
  <c r="C91" s="1"/>
  <c r="D71"/>
  <c r="D66" s="1"/>
  <c r="N72" s="1"/>
  <c r="D77"/>
  <c r="N75" s="1"/>
  <c r="C103"/>
  <c r="C90"/>
  <c r="D70"/>
  <c r="C82"/>
  <c r="C81" s="1"/>
  <c r="C85" s="1"/>
  <c r="C86" s="1"/>
  <c r="D72" s="1"/>
  <c r="G14" i="66"/>
  <c r="B6" s="1"/>
  <c r="N69" i="9"/>
  <c r="D44"/>
  <c r="F44"/>
  <c r="O39"/>
  <c r="E44"/>
  <c r="C113" l="1"/>
  <c r="C114" s="1"/>
  <c r="E114" s="1"/>
  <c r="E115" s="1"/>
  <c r="C97"/>
  <c r="C98" s="1"/>
  <c r="E98" s="1"/>
  <c r="E99" s="1"/>
  <c r="K29"/>
  <c r="K30" s="1"/>
  <c r="R6" i="54"/>
  <c r="B50" i="63" s="1"/>
  <c r="D6" i="66"/>
  <c r="C6"/>
  <c r="M86" i="9"/>
  <c r="N86" s="1"/>
  <c r="M88"/>
  <c r="N88" s="1"/>
  <c r="M85"/>
  <c r="N85" s="1"/>
  <c r="M84"/>
  <c r="N84" s="1"/>
  <c r="M87"/>
  <c r="N87" s="1"/>
  <c r="M83"/>
  <c r="N83" s="1"/>
  <c r="C5" i="66"/>
  <c r="D5"/>
  <c r="N76" i="9"/>
  <c r="C115" l="1"/>
  <c r="D76" s="1"/>
  <c r="D74" s="1"/>
  <c r="N74" s="1"/>
  <c r="O77" s="1"/>
  <c r="O78" s="1"/>
  <c r="C99"/>
  <c r="N89"/>
  <c r="O89" s="1"/>
  <c r="O79" l="1"/>
  <c r="C46" s="1"/>
  <c r="K33" s="1"/>
  <c r="Q77"/>
  <c r="K34" l="1"/>
  <c r="O41"/>
  <c r="R8" i="54" s="1"/>
  <c r="B54" i="63" s="1"/>
  <c r="I14" i="66"/>
  <c r="B8" s="1"/>
  <c r="D46" i="9"/>
  <c r="F46"/>
  <c r="E46"/>
  <c r="O81"/>
  <c r="O80"/>
  <c r="D8" i="66"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<sst xmlns="http://schemas.openxmlformats.org/spreadsheetml/2006/main" count="7380" uniqueCount="3082">
  <si>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</si>
  <si>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</si>
  <si>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</si>
  <si>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</si>
  <si>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</si>
  <si>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</si>
  <si>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</si>
  <si>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</si>
  <si>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</si>
  <si>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</si>
  <si>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</si>
  <si>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</si>
  <si>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</si>
  <si>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</si>
  <si>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</si>
  <si>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</si>
  <si>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</si>
  <si>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</si>
  <si>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</si>
  <si>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</si>
  <si>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</si>
  <si>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</si>
  <si>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</si>
  <si>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</si>
  <si>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</si>
  <si>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</si>
  <si>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</si>
  <si>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</si>
  <si>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</si>
  <si>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</si>
  <si>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</si>
  <si>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</si>
  <si>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</si>
  <si>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</si>
  <si>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</si>
  <si>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</si>
  <si>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</si>
  <si>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</si>
  <si>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</si>
  <si>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</si>
  <si>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</si>
  <si>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</si>
  <si>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</si>
  <si>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</si>
  <si>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</si>
  <si>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</si>
  <si>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</si>
  <si>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</si>
  <si>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</si>
  <si>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</si>
  <si>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</si>
  <si>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</si>
  <si>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</si>
  <si>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</si>
  <si>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</si>
  <si>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</si>
  <si>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</si>
  <si>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</si>
  <si>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</si>
  <si>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</si>
  <si>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</si>
  <si>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</si>
  <si>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</si>
  <si>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</si>
  <si>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</si>
  <si>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</si>
  <si>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</si>
  <si>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</si>
  <si>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</si>
  <si>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</si>
  <si>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</si>
  <si>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</si>
  <si>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</si>
  <si>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</si>
  <si>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</si>
  <si>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</si>
  <si>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</si>
  <si>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</si>
  <si>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</si>
  <si>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</si>
  <si>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</si>
  <si>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</si>
  <si>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</si>
  <si>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</si>
  <si>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</si>
  <si>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</si>
  <si>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</si>
  <si>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</si>
  <si>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</si>
  <si>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</si>
  <si>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</si>
  <si>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</si>
  <si>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</si>
  <si>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</si>
  <si>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</si>
  <si>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</si>
  <si>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</si>
  <si>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</si>
  <si>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</si>
  <si>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</si>
  <si>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</si>
  <si>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</si>
  <si>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</si>
  <si>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</si>
  <si>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</si>
  <si>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</si>
  <si>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</si>
  <si>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</si>
  <si>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</si>
  <si>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</si>
  <si>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</si>
  <si>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</si>
  <si>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</si>
  <si>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</si>
  <si>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</si>
  <si>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</si>
  <si>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</si>
  <si>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</si>
  <si>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</si>
  <si>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</si>
  <si>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</si>
  <si>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</si>
  <si>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</si>
  <si>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</si>
  <si>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</si>
  <si>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</si>
  <si>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</si>
  <si>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</si>
  <si>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</si>
  <si>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</si>
  <si>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</si>
  <si>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</si>
  <si>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</si>
  <si>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</si>
  <si>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</si>
  <si>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</si>
  <si>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</si>
  <si>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</si>
  <si>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</si>
  <si>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</si>
  <si>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</si>
  <si>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</si>
  <si>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</si>
  <si>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</si>
  <si>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</si>
  <si>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</si>
  <si>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</si>
  <si>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</si>
  <si>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</si>
  <si>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</si>
  <si>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</si>
  <si>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</si>
  <si>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</si>
  <si>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</si>
  <si>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</si>
  <si>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</si>
  <si>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</si>
  <si>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</si>
  <si>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</si>
  <si>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</si>
  <si>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</si>
  <si>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</si>
  <si>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</si>
  <si>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</si>
  <si>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</si>
  <si>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</si>
  <si>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</si>
  <si>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</si>
  <si>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</si>
  <si>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</si>
  <si>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</si>
  <si>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</si>
  <si>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</si>
  <si>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</si>
  <si>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</si>
  <si>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</si>
  <si>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</si>
  <si>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</si>
  <si>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</si>
  <si>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</si>
  <si>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</si>
  <si>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</si>
  <si>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</si>
  <si>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</si>
  <si>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</si>
  <si>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</si>
  <si>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</si>
  <si>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</si>
  <si>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</si>
  <si>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</si>
  <si>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</si>
  <si>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</si>
  <si>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</si>
  <si>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</si>
  <si>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</si>
  <si>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</si>
  <si>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</si>
  <si>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</si>
  <si>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</si>
  <si>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</si>
  <si>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</si>
  <si>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</si>
  <si>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</si>
  <si>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</si>
  <si>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</si>
  <si>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</si>
  <si>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</si>
  <si>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</si>
  <si>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</si>
  <si>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</si>
  <si>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</si>
  <si>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</si>
  <si>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</si>
  <si>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</si>
  <si>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</si>
  <si>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</si>
  <si>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</si>
  <si>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</si>
  <si>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</si>
  <si>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</si>
  <si>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</si>
  <si>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</si>
  <si>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</si>
  <si>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</si>
  <si>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</si>
  <si>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</si>
  <si>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</si>
  <si>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</si>
  <si>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</si>
  <si>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</si>
  <si>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</si>
  <si>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</si>
  <si>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</si>
  <si>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</si>
  <si>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</si>
  <si>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</si>
  <si>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</si>
  <si>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</si>
  <si>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</si>
  <si>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</si>
  <si>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</si>
  <si>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</si>
  <si>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</si>
  <si>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</si>
  <si>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</si>
  <si>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</si>
  <si>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</si>
  <si>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</si>
  <si>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</si>
  <si>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</si>
  <si>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</si>
  <si>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</si>
  <si>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</si>
  <si>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</si>
  <si>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</si>
  <si>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</si>
  <si>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</si>
  <si>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</si>
  <si>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</si>
  <si>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</si>
  <si>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</si>
  <si>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</si>
  <si>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</si>
  <si>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</si>
  <si>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</si>
  <si>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</si>
  <si>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</si>
  <si>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</si>
  <si>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</si>
  <si>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</si>
  <si>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</si>
  <si>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</si>
  <si>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</si>
  <si>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</si>
  <si>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</si>
  <si>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</si>
  <si>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</si>
  <si>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</si>
  <si>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</si>
  <si>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</si>
  <si>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</si>
  <si>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</si>
  <si>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</si>
  <si>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</si>
  <si>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</si>
  <si>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</si>
  <si>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</si>
  <si>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</si>
  <si>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</si>
  <si>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</si>
  <si>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</si>
  <si>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</si>
  <si>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</si>
  <si>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</si>
  <si>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</si>
  <si>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</si>
  <si>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</si>
  <si>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</si>
  <si>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</si>
  <si>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</si>
  <si>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</si>
  <si>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</si>
  <si>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</si>
  <si>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</si>
  <si>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</si>
  <si>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</si>
  <si>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</si>
  <si>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</si>
  <si>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</si>
  <si>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</si>
  <si>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</si>
  <si>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</si>
  <si>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</si>
  <si>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</si>
  <si>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</si>
  <si>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</si>
  <si>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</si>
  <si>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</si>
  <si>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</si>
  <si>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</si>
  <si>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</si>
  <si>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</si>
  <si>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</si>
  <si>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</si>
  <si>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</si>
  <si>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</si>
  <si>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</si>
  <si>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</si>
  <si>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</si>
  <si>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</si>
  <si>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</si>
  <si>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</si>
  <si>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</si>
  <si>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</si>
  <si>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</si>
  <si>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</si>
  <si>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</si>
  <si>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</si>
  <si>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</si>
  <si>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</si>
  <si>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</si>
  <si>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</si>
  <si>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</si>
  <si>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</si>
  <si>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</si>
  <si>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</si>
  <si>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</si>
  <si>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</si>
  <si>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</si>
  <si>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</si>
  <si>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</si>
  <si>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</si>
  <si>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</si>
  <si>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</si>
  <si>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</si>
  <si>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</si>
  <si>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</si>
  <si>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</si>
  <si>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</si>
  <si>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</si>
  <si>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</si>
  <si>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</si>
  <si>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</si>
  <si>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</si>
  <si>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</si>
  <si>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</si>
  <si>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</si>
  <si>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</si>
  <si>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</si>
  <si>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</si>
  <si>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</si>
  <si>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</si>
  <si>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</si>
  <si>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</si>
  <si>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</si>
  <si>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</si>
  <si>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</si>
  <si>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</si>
  <si>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</si>
  <si>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</si>
  <si>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</si>
  <si>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</si>
  <si>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</si>
  <si>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</si>
  <si>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</si>
  <si>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</si>
  <si>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</si>
  <si>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</si>
  <si>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</si>
  <si>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</si>
  <si>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</si>
  <si>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</si>
  <si>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</si>
  <si>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</si>
  <si>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</si>
  <si>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</si>
  <si>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</si>
  <si>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</si>
  <si>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</si>
  <si>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</si>
  <si>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</si>
  <si>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</si>
  <si>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</si>
  <si>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</si>
  <si>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</si>
  <si>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</si>
  <si>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</si>
  <si>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</si>
  <si>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</si>
  <si>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</si>
  <si>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</si>
  <si>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</si>
  <si>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</si>
  <si>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</si>
  <si>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</si>
  <si>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</si>
  <si>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</si>
  <si>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</si>
  <si>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</si>
  <si>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</si>
  <si>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</si>
  <si>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</si>
  <si>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</si>
  <si>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</si>
  <si>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</si>
  <si>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</si>
  <si>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</si>
  <si>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</si>
  <si>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</si>
  <si>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</si>
  <si>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</si>
  <si>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</si>
  <si>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</si>
  <si>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</si>
  <si>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</si>
  <si>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</si>
  <si>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</si>
  <si>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</si>
  <si>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</si>
  <si>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</si>
  <si>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</si>
  <si>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</si>
  <si>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</si>
  <si>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</si>
  <si>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</si>
  <si>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</si>
  <si>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</si>
  <si>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</si>
  <si>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</si>
  <si>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</si>
  <si>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</si>
  <si>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</si>
  <si>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</si>
  <si>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</si>
  <si>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</si>
  <si>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</si>
  <si>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</si>
  <si>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</si>
  <si>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</si>
  <si>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</si>
  <si>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</si>
  <si>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</si>
  <si>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</si>
  <si>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</si>
  <si>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</si>
  <si>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</si>
  <si>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</si>
  <si>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</si>
  <si>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</si>
  <si>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</si>
  <si>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</si>
  <si>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</si>
  <si>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</si>
  <si>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</si>
  <si>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</si>
  <si>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</si>
  <si>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</si>
  <si>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</si>
  <si>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</si>
  <si>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</si>
  <si>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</si>
  <si>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</si>
  <si>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</si>
  <si>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</si>
  <si>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</si>
  <si>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</si>
  <si>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</si>
  <si>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</si>
  <si>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</si>
  <si>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</si>
  <si>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</si>
  <si>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</si>
  <si>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</si>
  <si>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</si>
  <si>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</si>
  <si>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</si>
  <si>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</si>
  <si>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</si>
  <si>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</si>
  <si>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</si>
  <si>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</si>
  <si>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</si>
  <si>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</si>
  <si>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</si>
  <si>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</si>
  <si>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</si>
  <si>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</si>
  <si>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</si>
  <si>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</si>
  <si>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</si>
  <si>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</si>
  <si>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</si>
  <si>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</si>
  <si>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</si>
  <si>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</si>
  <si>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</si>
  <si>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</si>
  <si>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</si>
  <si>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</si>
  <si>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</si>
  <si>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</si>
  <si>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</si>
  <si>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</si>
  <si>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</si>
  <si>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</si>
  <si>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</si>
  <si>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</si>
  <si>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</si>
  <si>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</si>
  <si>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</si>
  <si>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</si>
  <si>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</si>
  <si>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</si>
  <si>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</si>
  <si>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</si>
  <si>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</si>
  <si>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</si>
  <si>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</si>
  <si>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</si>
  <si>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</si>
  <si>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</si>
  <si>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</si>
  <si>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</si>
  <si>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</si>
  <si>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</si>
  <si>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</si>
  <si>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</si>
  <si>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</si>
  <si>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</si>
  <si>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</si>
  <si>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</si>
  <si>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</si>
  <si>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</si>
  <si>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</si>
  <si>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</si>
  <si>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</si>
  <si>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</si>
  <si>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</si>
  <si>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</si>
  <si>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</si>
  <si>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</si>
  <si>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</si>
  <si>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</si>
  <si>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</si>
  <si>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</si>
  <si>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</si>
  <si>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</si>
  <si>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</si>
  <si>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</si>
  <si>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</si>
  <si>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</si>
  <si>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</si>
  <si>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</si>
  <si>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</si>
  <si>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</si>
  <si>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</si>
  <si>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</si>
  <si>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</si>
  <si>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</si>
  <si>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</si>
  <si>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</si>
  <si>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</si>
  <si>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</si>
  <si>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</si>
  <si>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</si>
  <si>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</si>
  <si>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</si>
  <si>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</si>
  <si>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</si>
  <si>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</si>
  <si>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</si>
  <si>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</si>
  <si>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</si>
  <si>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</si>
  <si>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</si>
  <si>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</si>
  <si>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</si>
  <si>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</si>
  <si>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</si>
  <si>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</si>
  <si>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</si>
  <si>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</si>
  <si>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</si>
  <si>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</si>
  <si>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</si>
  <si>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</si>
  <si>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</si>
  <si>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</si>
  <si>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</si>
  <si>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</si>
  <si>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</si>
  <si>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</si>
  <si>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</si>
  <si>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</si>
  <si>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</si>
  <si>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</si>
  <si>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</si>
  <si>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</si>
  <si>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</si>
  <si>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</si>
  <si>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</si>
  <si>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</si>
  <si>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</si>
  <si>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</si>
  <si>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</si>
  <si>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</si>
  <si>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</si>
  <si>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</si>
  <si>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</si>
  <si>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</si>
  <si>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</si>
  <si>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</si>
  <si>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</si>
  <si>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</si>
  <si>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</si>
  <si>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</si>
  <si>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</si>
  <si>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</si>
  <si>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</si>
  <si>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</si>
  <si>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</si>
  <si>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</si>
  <si>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</si>
  <si>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</si>
  <si>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</si>
  <si>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</si>
  <si>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</si>
  <si>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</si>
  <si>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</si>
  <si>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</si>
  <si>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</si>
  <si>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</si>
  <si>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</si>
  <si>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</si>
  <si>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</si>
  <si>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</si>
  <si>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</si>
  <si>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</si>
  <si>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</si>
  <si>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</si>
  <si>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</si>
  <si>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</si>
  <si>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</si>
  <si>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</si>
  <si>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</si>
  <si>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</si>
  <si>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</si>
  <si>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</si>
  <si>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</si>
  <si>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</si>
  <si>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</si>
  <si>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</si>
  <si>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</si>
  <si>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</si>
  <si>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</si>
  <si>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</si>
  <si>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</si>
  <si>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</si>
  <si>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</si>
  <si>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</si>
  <si>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</si>
  <si>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</si>
  <si>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</si>
  <si>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</si>
  <si>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</si>
  <si>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</si>
  <si>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</si>
  <si>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</si>
  <si>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</si>
  <si>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</si>
  <si>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</si>
  <si>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</si>
  <si>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</si>
  <si>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</si>
  <si>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</si>
  <si>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</si>
  <si>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</si>
  <si>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</si>
  <si>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</si>
  <si>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</si>
  <si>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</si>
  <si>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</si>
  <si>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</si>
  <si>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</si>
  <si>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</si>
  <si>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</si>
  <si>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</si>
  <si>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</si>
  <si>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</si>
  <si>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</si>
  <si>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</si>
  <si>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</si>
  <si>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</si>
  <si>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</si>
  <si>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</si>
  <si>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</si>
  <si>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</si>
  <si>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</si>
  <si>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</si>
  <si>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</si>
  <si>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</si>
  <si>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</si>
  <si>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</si>
  <si>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</si>
  <si>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</si>
  <si>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</si>
  <si>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</si>
  <si>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</si>
  <si>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</si>
  <si>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</si>
  <si>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</si>
  <si>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</si>
  <si>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</si>
  <si>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</si>
  <si>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</si>
  <si>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</si>
  <si>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</si>
  <si>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</si>
  <si>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</si>
  <si>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</si>
  <si>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</si>
  <si>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</si>
  <si>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</si>
  <si>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</si>
  <si>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</si>
  <si>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</si>
  <si>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</si>
  <si>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</si>
  <si>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</si>
  <si>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</si>
  <si>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</si>
  <si>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</si>
  <si>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</si>
  <si>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</si>
  <si>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</si>
  <si>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</si>
  <si>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</si>
  <si>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</si>
  <si>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</si>
  <si>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</si>
  <si>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</si>
  <si>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</si>
  <si>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</si>
  <si>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</si>
  <si>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</si>
  <si>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</si>
  <si>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</si>
  <si>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</si>
  <si>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</si>
  <si>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</si>
  <si>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</si>
  <si>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</si>
  <si>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</si>
  <si>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</si>
  <si>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</si>
  <si>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</si>
  <si>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</si>
  <si>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</si>
  <si>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</si>
  <si>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</si>
  <si>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</si>
  <si>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</si>
  <si>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</si>
  <si>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</si>
  <si>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</si>
  <si>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</si>
  <si>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</si>
  <si>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</si>
  <si>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</si>
  <si>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</si>
  <si>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</si>
  <si>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</si>
  <si>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</si>
  <si>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</si>
  <si>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</si>
  <si>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</si>
  <si>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</si>
  <si>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</si>
  <si>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</si>
  <si>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</si>
  <si>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</si>
  <si>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</si>
  <si>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</si>
  <si>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</si>
  <si>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</si>
  <si>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</si>
  <si>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</si>
  <si>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</si>
  <si>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</si>
  <si>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</si>
  <si>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</si>
  <si>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</si>
  <si>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</si>
  <si>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</si>
  <si>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</si>
  <si>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</si>
  <si>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</si>
  <si>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</si>
  <si>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</si>
  <si>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</si>
  <si>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</si>
  <si>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</si>
  <si>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</si>
  <si>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</si>
  <si>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</si>
  <si>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</si>
  <si>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</si>
  <si>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</si>
  <si>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</si>
  <si>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</si>
  <si>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</si>
  <si>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</si>
  <si>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</si>
  <si>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</si>
  <si>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</si>
  <si>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</si>
  <si>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</si>
  <si>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</si>
  <si>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</si>
  <si>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</si>
  <si>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</si>
  <si>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</si>
  <si>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</si>
  <si>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</si>
  <si>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</si>
  <si>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</si>
  <si>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</si>
  <si>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</si>
  <si>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</si>
  <si>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</si>
  <si>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</si>
  <si>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</si>
  <si>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</si>
  <si>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</si>
  <si>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</si>
  <si>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</si>
  <si>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</si>
  <si>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</si>
  <si>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</si>
  <si>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</si>
  <si>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</si>
  <si>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</si>
  <si>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</si>
  <si>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</si>
  <si>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</si>
  <si>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</si>
  <si>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</si>
  <si>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</si>
  <si>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</si>
  <si>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</si>
  <si>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</si>
  <si>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</si>
  <si>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</si>
  <si>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</si>
  <si>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</si>
  <si>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</si>
  <si>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</si>
  <si>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</si>
  <si>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</si>
  <si>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</si>
  <si>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</si>
  <si>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</si>
  <si>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</si>
  <si>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</si>
  <si>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</si>
  <si>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</si>
  <si>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</si>
  <si>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</si>
  <si>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</si>
  <si>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</si>
  <si>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</si>
  <si>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</si>
  <si>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</si>
  <si>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</si>
  <si>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</si>
  <si>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</si>
  <si>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</si>
  <si>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</si>
  <si>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</si>
  <si>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</si>
  <si>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</si>
  <si>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</si>
  <si>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</si>
  <si>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</si>
  <si>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</si>
  <si>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</si>
  <si>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</si>
  <si>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</si>
  <si>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</si>
  <si>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</si>
  <si>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</si>
  <si>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</si>
  <si>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</si>
  <si>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</si>
  <si>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</si>
  <si>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</si>
  <si>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</si>
  <si>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</si>
  <si>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</si>
  <si>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</si>
  <si>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</si>
  <si>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</si>
  <si>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</si>
  <si>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</si>
  <si>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</si>
  <si>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</si>
  <si>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</si>
  <si>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</si>
  <si>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</si>
  <si>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</si>
  <si>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</si>
  <si>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</si>
  <si>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</si>
  <si>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</si>
  <si>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</si>
  <si>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</si>
  <si>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</si>
  <si>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</si>
  <si>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</si>
  <si>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</si>
  <si>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</si>
  <si>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</si>
  <si>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</si>
  <si>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</si>
  <si>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</si>
  <si>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</si>
  <si>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</si>
  <si>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</si>
  <si>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</si>
  <si>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</si>
  <si>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</si>
  <si>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</si>
  <si>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</si>
  <si>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</si>
  <si>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</si>
  <si>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</si>
  <si>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</si>
  <si>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</si>
  <si>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</si>
  <si>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</si>
  <si>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</si>
  <si>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</si>
  <si>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</si>
  <si>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</si>
  <si>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</si>
  <si>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</si>
  <si>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</si>
  <si>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</si>
  <si>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</si>
  <si>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</si>
  <si>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</si>
  <si>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</si>
  <si>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</si>
  <si>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</si>
  <si>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</si>
  <si>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</si>
  <si>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</si>
  <si>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</si>
  <si>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</si>
  <si>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</si>
  <si>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</si>
  <si>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</si>
  <si>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</si>
  <si>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</si>
  <si>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</si>
  <si>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</si>
  <si>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</si>
  <si>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</si>
  <si>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</si>
  <si>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</si>
  <si>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</si>
  <si>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</si>
  <si>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</si>
  <si>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</si>
  <si>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</si>
  <si>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</si>
  <si>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</si>
  <si>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</si>
  <si>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</si>
  <si>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</si>
  <si>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</si>
  <si>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</si>
  <si>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</si>
  <si>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</si>
  <si>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</si>
  <si>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</si>
  <si>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</si>
  <si>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</si>
  <si>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</si>
  <si>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</si>
  <si>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</si>
  <si>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</si>
  <si>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</si>
  <si>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</si>
  <si>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</si>
  <si>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</si>
  <si>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</si>
  <si>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</si>
  <si>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</si>
  <si>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</si>
  <si>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</si>
  <si>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</si>
  <si>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</si>
  <si>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</si>
  <si>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</si>
  <si>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</si>
  <si>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</si>
  <si>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</si>
  <si>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</si>
  <si>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</si>
  <si>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</si>
  <si>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</si>
  <si>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</si>
  <si>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</si>
  <si>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</si>
  <si>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</si>
  <si>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</si>
  <si>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</si>
  <si>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</si>
  <si>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</si>
  <si>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</si>
  <si>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</si>
  <si>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</si>
  <si>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</si>
  <si>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</si>
  <si>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</si>
  <si>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</si>
  <si>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</si>
  <si>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</si>
  <si>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</si>
  <si>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</si>
  <si>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</si>
  <si>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</si>
  <si>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</si>
  <si>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</si>
  <si>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</si>
  <si>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</si>
  <si>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</si>
  <si>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</si>
  <si>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</si>
  <si>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</si>
  <si>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</si>
  <si>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</si>
  <si>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</si>
  <si>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</si>
  <si>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</si>
  <si>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</si>
  <si>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</si>
  <si>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</si>
  <si>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</si>
  <si>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</si>
  <si>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</si>
  <si>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</si>
  <si>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</si>
  <si>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</si>
  <si>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</si>
  <si>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</si>
  <si>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</si>
  <si>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</si>
  <si>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</si>
  <si>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</si>
  <si>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</si>
  <si>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</si>
  <si>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</si>
  <si>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</si>
  <si>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</si>
  <si>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</si>
  <si>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</si>
  <si>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</si>
  <si>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</si>
  <si>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</si>
  <si>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</si>
  <si>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</si>
  <si>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</si>
  <si>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</si>
  <si>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</si>
  <si>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</si>
  <si>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</si>
  <si>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</si>
  <si>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</si>
  <si>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</si>
  <si>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</si>
  <si>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</si>
  <si>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</si>
  <si>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</si>
  <si>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</si>
  <si>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</si>
  <si>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</si>
  <si>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</si>
  <si>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</si>
  <si>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</si>
  <si>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</si>
  <si>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</si>
  <si>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</si>
  <si>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</si>
  <si>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</si>
  <si>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</si>
  <si>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</si>
  <si>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</si>
  <si>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</si>
  <si>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</si>
  <si>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</si>
  <si>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</si>
  <si>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</si>
  <si>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</si>
  <si>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</si>
  <si>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</si>
  <si>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</si>
  <si>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</si>
  <si>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</si>
  <si>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</si>
  <si>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</si>
  <si>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</si>
  <si>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</si>
  <si>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</si>
  <si>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</si>
  <si>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</si>
  <si>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</si>
  <si>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</si>
  <si>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</si>
  <si>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</si>
  <si>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</si>
  <si>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</si>
  <si>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</si>
  <si>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</si>
  <si>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</si>
  <si>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</si>
  <si>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</si>
  <si>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</si>
  <si>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</si>
  <si>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</si>
  <si>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</si>
  <si>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</si>
  <si>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</si>
  <si>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</si>
  <si>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</si>
  <si>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</si>
  <si>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</si>
  <si>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</si>
  <si>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</si>
  <si>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</si>
  <si>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</si>
  <si>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</si>
  <si>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</si>
  <si>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</si>
  <si>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</si>
  <si>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</si>
  <si>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</si>
  <si>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</si>
  <si>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</si>
  <si>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</si>
  <si>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</si>
  <si>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</si>
  <si>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</si>
  <si>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</si>
  <si>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</si>
  <si>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</si>
  <si>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</si>
  <si>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</si>
  <si>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</si>
  <si>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</si>
  <si>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</si>
  <si>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</si>
  <si>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</si>
  <si>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</si>
  <si>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</si>
  <si>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</si>
  <si>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</si>
  <si>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</si>
  <si>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</si>
  <si>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</si>
  <si>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</si>
  <si>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</si>
  <si>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</si>
  <si>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</si>
  <si>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</si>
  <si>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</si>
  <si>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</si>
  <si>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</si>
  <si>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</si>
  <si>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</si>
  <si>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</si>
  <si>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</si>
  <si>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</si>
  <si>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</si>
  <si>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</si>
  <si>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</si>
  <si>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</si>
  <si>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</si>
  <si>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</si>
  <si>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</si>
  <si>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</si>
  <si>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</si>
  <si>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</si>
  <si>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</si>
  <si>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</si>
  <si>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</si>
  <si>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</si>
  <si>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</si>
  <si>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</si>
  <si>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</si>
  <si>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</si>
  <si>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</si>
  <si>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</si>
  <si>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</si>
  <si>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</si>
  <si>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</si>
  <si>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</si>
  <si>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</si>
  <si>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</si>
  <si>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</si>
  <si>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</si>
  <si>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</si>
  <si>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</si>
  <si>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</si>
  <si>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</si>
  <si>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</si>
  <si>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</si>
  <si>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</si>
  <si>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</si>
  <si>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</si>
  <si>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</si>
  <si>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</si>
  <si>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</si>
  <si>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</si>
  <si>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</si>
  <si>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</si>
  <si>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</si>
  <si>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</si>
  <si>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</si>
  <si>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</si>
  <si>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</si>
  <si>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</si>
  <si>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</si>
  <si>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</si>
  <si>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</si>
  <si>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</si>
  <si>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</si>
  <si>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</si>
  <si>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</si>
  <si>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</si>
  <si>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</si>
  <si>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</si>
  <si>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</si>
  <si>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</si>
  <si>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</si>
  <si>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</si>
  <si>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</si>
  <si>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</si>
  <si>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</si>
  <si>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</si>
  <si>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</si>
  <si>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</si>
  <si>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</si>
  <si>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</si>
  <si>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</si>
  <si>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</si>
  <si>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</si>
  <si>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</si>
  <si>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</si>
  <si>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</si>
  <si>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</si>
  <si>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</si>
  <si>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</si>
  <si>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</si>
  <si>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</si>
  <si>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</si>
  <si>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</si>
  <si>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</si>
  <si>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</si>
  <si>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</si>
  <si>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</si>
  <si>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</si>
  <si>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</si>
  <si>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</si>
  <si>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</si>
  <si>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</si>
  <si>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</si>
  <si>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</si>
  <si>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</si>
  <si>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</si>
  <si>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</si>
  <si>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</si>
  <si>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</si>
  <si>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</si>
  <si>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</si>
  <si>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</si>
  <si>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</si>
  <si>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</si>
  <si>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</si>
  <si>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</si>
  <si>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</si>
  <si>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</si>
  <si>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</si>
  <si>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</si>
  <si>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</si>
  <si>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</si>
  <si>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</si>
  <si>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</si>
  <si>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</si>
  <si>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</si>
  <si>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</si>
  <si>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</si>
  <si>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</si>
  <si>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</si>
  <si>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</si>
  <si>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</si>
  <si>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</si>
  <si>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</si>
  <si>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</si>
  <si>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</si>
  <si>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</si>
  <si>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</si>
  <si>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</si>
  <si>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</si>
  <si>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</si>
  <si>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</si>
  <si>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</si>
  <si>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</si>
  <si>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</si>
  <si>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</si>
  <si>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</si>
  <si>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</si>
  <si>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</si>
  <si>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</si>
  <si>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</si>
  <si>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</si>
  <si>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</si>
  <si>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</si>
  <si>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</si>
  <si>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</si>
  <si>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</si>
  <si>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</si>
  <si>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</si>
  <si>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</si>
  <si>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</si>
  <si>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</si>
  <si>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</si>
  <si>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</si>
  <si>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</si>
  <si>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</si>
  <si>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</si>
  <si>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</si>
  <si>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</si>
  <si>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</si>
  <si>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</si>
  <si>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</si>
  <si>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</si>
  <si>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</si>
  <si>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</si>
  <si>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</si>
  <si>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</si>
  <si>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</si>
  <si>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</si>
  <si>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</si>
  <si>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</si>
  <si>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</si>
  <si>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</si>
  <si>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</si>
  <si>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</si>
  <si>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</si>
  <si>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</si>
  <si>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</si>
  <si>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</si>
  <si>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</si>
  <si>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</si>
  <si>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</si>
  <si>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</si>
  <si>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</si>
  <si>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</si>
  <si>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</si>
  <si>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</si>
  <si>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</si>
  <si>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</si>
  <si>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</si>
  <si>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</si>
  <si>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</si>
  <si>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</si>
  <si>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</si>
  <si>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</si>
  <si>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</si>
  <si>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</si>
  <si>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</si>
  <si>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</si>
  <si>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</si>
  <si>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</si>
  <si>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</si>
  <si>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</si>
  <si>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</si>
  <si>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</si>
  <si>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</si>
  <si>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</si>
  <si>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</si>
  <si>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</si>
  <si>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</si>
  <si>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</si>
  <si>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</si>
  <si>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</si>
  <si>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</si>
  <si>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</si>
  <si>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</si>
  <si>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</si>
  <si>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</si>
  <si>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</si>
  <si>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</si>
  <si>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</si>
  <si>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</si>
  <si>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</si>
  <si>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</si>
  <si>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</si>
  <si>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</si>
  <si>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</si>
  <si>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</si>
  <si>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</si>
  <si>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</si>
  <si>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</si>
  <si>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</si>
  <si>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</si>
  <si>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</si>
  <si>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</si>
  <si>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</si>
  <si>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</si>
  <si>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</si>
  <si>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</si>
  <si>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</si>
  <si>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</si>
  <si>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</si>
  <si>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</si>
  <si>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</si>
  <si>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</si>
  <si>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</si>
  <si>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</si>
  <si>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</si>
  <si>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</si>
  <si>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</si>
  <si>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</si>
  <si>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</si>
  <si>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</si>
  <si>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</si>
  <si>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</si>
  <si>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</si>
  <si>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</si>
  <si>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</si>
  <si>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</si>
  <si>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</si>
  <si>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</si>
  <si>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</si>
  <si>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</si>
  <si>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</si>
  <si>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</si>
  <si>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</si>
  <si>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</si>
  <si>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</si>
  <si>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</si>
  <si>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</si>
  <si>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</si>
  <si>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</si>
  <si>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</si>
  <si>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</si>
  <si>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</si>
  <si>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</si>
  <si>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</si>
  <si>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</si>
  <si>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</si>
  <si>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</si>
  <si>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</si>
  <si>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</si>
  <si>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</si>
  <si>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</si>
  <si>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</si>
  <si>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</si>
  <si>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</si>
  <si>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</si>
  <si>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</si>
  <si>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</si>
  <si>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</si>
  <si>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</si>
  <si>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</si>
  <si>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</si>
  <si>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</si>
  <si>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</si>
  <si>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</si>
  <si>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</si>
  <si>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</si>
  <si>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</si>
  <si>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</si>
  <si>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</si>
  <si>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</si>
  <si>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</si>
  <si>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</si>
  <si>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</si>
  <si>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</si>
  <si>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</si>
  <si>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</si>
  <si>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</si>
  <si>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</si>
  <si>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</si>
  <si>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</si>
  <si>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</si>
  <si>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</si>
  <si>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</si>
  <si>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</si>
  <si>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</si>
  <si>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</si>
  <si>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</si>
  <si>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</si>
  <si>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</si>
  <si>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</si>
  <si>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</si>
  <si>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</si>
  <si>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</si>
  <si>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</si>
  <si>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</si>
  <si>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</si>
  <si>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</si>
  <si>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</si>
  <si>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</si>
  <si>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</si>
  <si>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</si>
  <si>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</si>
  <si>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</si>
  <si>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</si>
  <si>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</si>
  <si>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</si>
  <si>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</si>
  <si>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</si>
  <si>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</si>
  <si>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</si>
  <si>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</si>
  <si>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</si>
  <si>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</si>
  <si>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</si>
  <si>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</si>
  <si>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</si>
  <si>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</si>
  <si>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</si>
  <si>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</si>
  <si>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</si>
  <si>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</si>
  <si>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</si>
  <si>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</si>
  <si>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</si>
  <si>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</si>
  <si>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</si>
  <si>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</si>
  <si>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</si>
  <si>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</si>
  <si>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</si>
  <si>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</si>
  <si>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</si>
  <si>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</si>
  <si>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</si>
  <si>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</si>
  <si>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</si>
  <si>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</si>
  <si>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</si>
  <si>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</si>
  <si>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</si>
  <si>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</si>
  <si>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</si>
  <si>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</si>
  <si>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</si>
  <si>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</si>
  <si>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</si>
  <si>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</si>
  <si>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</si>
  <si>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</si>
  <si>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</si>
  <si>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</si>
  <si>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</si>
  <si>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</si>
  <si>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</si>
  <si>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</si>
  <si>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</si>
  <si>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</si>
  <si>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</si>
  <si>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</si>
  <si>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</si>
  <si>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</si>
  <si>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</si>
  <si>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</si>
  <si>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</si>
  <si>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</si>
  <si>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</si>
  <si>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</si>
  <si>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</si>
  <si>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</si>
  <si>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</si>
  <si>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</si>
  <si>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</si>
  <si>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</si>
  <si>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</si>
  <si>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</si>
  <si>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</si>
  <si>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</si>
  <si>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</si>
  <si>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</si>
  <si>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</si>
  <si>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</si>
  <si>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</si>
  <si>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</si>
  <si>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</si>
  <si>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</si>
  <si>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</si>
  <si>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</si>
  <si>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</si>
  <si>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</si>
  <si>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</si>
  <si>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</si>
  <si>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</si>
  <si>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</si>
  <si>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</si>
  <si>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</si>
  <si>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</si>
  <si>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</si>
  <si>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</si>
  <si>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</si>
  <si>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</si>
  <si>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</si>
  <si>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</si>
  <si>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</si>
  <si>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</si>
  <si>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</si>
  <si>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</si>
  <si>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</si>
  <si>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</si>
  <si>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</si>
  <si>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</si>
  <si>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</si>
  <si>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</si>
  <si>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</si>
  <si>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</si>
  <si>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</si>
  <si>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</si>
  <si>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</si>
  <si>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</si>
  <si>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</si>
  <si>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</si>
  <si>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</si>
  <si>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</si>
  <si>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</si>
  <si>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</si>
  <si>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</si>
  <si>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</si>
  <si>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</si>
  <si>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</si>
  <si>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</si>
  <si>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</si>
  <si>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</si>
  <si>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</si>
  <si>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</si>
  <si>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</si>
  <si>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</si>
  <si>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</si>
  <si>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</si>
  <si>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</si>
  <si>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</si>
  <si>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</si>
  <si>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</si>
  <si>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</si>
  <si>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</si>
  <si>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</si>
  <si>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</si>
  <si>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</si>
  <si>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</si>
  <si>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</si>
  <si>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</si>
  <si>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</si>
  <si>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</si>
  <si>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</si>
  <si>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</si>
  <si>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</si>
  <si>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</si>
  <si>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</si>
  <si>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</si>
  <si>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</si>
  <si>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</si>
  <si>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</si>
  <si>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</si>
  <si>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</si>
  <si>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</si>
  <si>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</si>
  <si>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</si>
  <si>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</si>
  <si>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</si>
  <si>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</si>
  <si>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</si>
  <si>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</si>
  <si>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</si>
  <si>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</si>
  <si>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</si>
  <si>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</si>
  <si>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</si>
  <si>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</si>
  <si>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</si>
  <si>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</si>
  <si>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</si>
  <si>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</si>
  <si>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</si>
  <si>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</si>
  <si>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</si>
  <si>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</si>
  <si>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</si>
  <si>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</si>
  <si>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</si>
  <si>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</si>
  <si>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</si>
  <si>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</si>
  <si>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</si>
  <si>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</si>
  <si>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</si>
  <si>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</si>
  <si>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</si>
  <si>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</si>
  <si>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</si>
  <si>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</si>
  <si>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</si>
  <si>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</si>
  <si>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</si>
  <si>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</si>
  <si>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</si>
  <si>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</si>
  <si>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</si>
  <si>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</si>
  <si>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</si>
  <si>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</si>
  <si>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</si>
  <si>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</si>
  <si>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</si>
  <si>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</si>
  <si>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</si>
  <si>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</si>
  <si>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</si>
  <si>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</si>
  <si>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</si>
  <si>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</si>
  <si>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</si>
  <si>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</si>
  <si>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</si>
  <si>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</si>
  <si>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</si>
  <si>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</si>
  <si>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</si>
  <si>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</si>
  <si>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</si>
  <si>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</si>
  <si>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</si>
  <si>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</si>
  <si>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</si>
  <si>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</si>
  <si>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</si>
  <si>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</si>
  <si>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</si>
  <si>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</si>
  <si>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</si>
  <si>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</si>
  <si>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</si>
  <si>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</si>
  <si>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</si>
  <si>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</si>
  <si>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</si>
  <si>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</si>
  <si>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</si>
  <si>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</si>
  <si>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</si>
  <si>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</si>
  <si>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</si>
  <si>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</si>
  <si>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</si>
  <si>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</si>
  <si>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</si>
  <si>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</si>
  <si>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</si>
  <si>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</si>
  <si>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</si>
  <si>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</si>
  <si>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</si>
  <si>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</si>
  <si>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</si>
  <si>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</si>
  <si>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</si>
  <si>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</si>
  <si>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</si>
  <si>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</si>
  <si>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</si>
  <si>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</si>
  <si>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</si>
  <si>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</si>
  <si>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</si>
  <si>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</si>
  <si>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</si>
  <si>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</si>
  <si>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</si>
  <si>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</si>
  <si>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</si>
  <si>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</si>
  <si>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</si>
  <si>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</si>
  <si>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</si>
  <si>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</si>
  <si>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</si>
  <si>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</si>
  <si>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</si>
  <si>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</si>
  <si>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</si>
  <si>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</si>
  <si>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</si>
  <si>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</si>
  <si>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</si>
  <si>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</si>
  <si>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</si>
  <si>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</si>
  <si>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</si>
  <si>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</si>
  <si>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</si>
  <si>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</si>
  <si>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</si>
  <si>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</si>
  <si>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</si>
  <si>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</si>
  <si>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</si>
  <si>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</si>
  <si>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</si>
  <si>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</si>
  <si>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</si>
  <si>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</si>
  <si>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</si>
  <si>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</si>
  <si>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</si>
  <si>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</si>
  <si>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</si>
  <si>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</si>
  <si>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</si>
  <si>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</si>
  <si>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</si>
  <si>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</si>
  <si>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</si>
  <si>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</si>
  <si>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</si>
  <si>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</si>
  <si>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</si>
  <si>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</si>
  <si>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</si>
  <si>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</si>
  <si>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</si>
  <si>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</si>
  <si>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</si>
  <si>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</si>
  <si>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</si>
  <si>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</si>
  <si>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</si>
  <si>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</si>
  <si>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</si>
  <si>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</si>
  <si>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</si>
  <si>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</si>
  <si>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</si>
  <si>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</si>
  <si>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</si>
  <si>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</si>
  <si>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</si>
  <si>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</si>
  <si>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</si>
  <si>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</si>
  <si>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</si>
  <si>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</si>
  <si>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</si>
  <si>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</si>
  <si>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</si>
  <si>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</si>
  <si>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</si>
  <si>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</si>
  <si>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</si>
  <si>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</si>
  <si>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</si>
  <si>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</si>
  <si>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</si>
  <si>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</si>
  <si>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</si>
  <si>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</si>
  <si>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</si>
  <si>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</si>
  <si>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</si>
  <si>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</si>
  <si>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</si>
  <si>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</si>
  <si>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</si>
  <si>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</si>
  <si>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</si>
  <si>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</si>
  <si>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</si>
  <si>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</si>
  <si>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</si>
  <si>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</si>
  <si>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</si>
  <si>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</si>
  <si>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</si>
  <si>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</si>
  <si>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</si>
  <si>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</si>
  <si>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</si>
  <si>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</si>
  <si>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</si>
  <si>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</si>
  <si>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</si>
  <si>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</si>
  <si>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</si>
  <si>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</si>
  <si>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</si>
  <si>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</si>
  <si>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</si>
  <si>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</si>
  <si>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</si>
  <si>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</si>
  <si>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</si>
  <si>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</si>
  <si>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</si>
  <si>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</si>
  <si>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</si>
  <si>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</si>
  <si>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</si>
  <si>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</si>
  <si>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</si>
  <si>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</si>
  <si>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</si>
  <si>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</si>
  <si>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</si>
  <si>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</si>
  <si>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</si>
  <si>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</si>
  <si>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</si>
  <si>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</si>
  <si>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</si>
  <si>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</si>
  <si>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</si>
  <si>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</si>
  <si>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</si>
  <si>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</si>
  <si>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</si>
  <si>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</si>
  <si>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</si>
  <si>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</si>
  <si>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</si>
  <si>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</si>
  <si>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</si>
  <si>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</si>
  <si>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</si>
  <si>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</si>
  <si>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</si>
  <si>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</si>
  <si>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</si>
  <si>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</si>
  <si>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</si>
  <si>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</si>
  <si>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</si>
  <si>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</si>
  <si>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</si>
  <si>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</si>
  <si>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</si>
  <si>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</si>
  <si>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</si>
  <si>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</si>
  <si>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</si>
  <si>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</si>
  <si>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</si>
  <si>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</si>
  <si>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</si>
  <si>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</si>
  <si>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</si>
  <si>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</si>
  <si>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</si>
  <si>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</si>
  <si>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</si>
  <si>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</si>
  <si>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</si>
  <si>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</si>
  <si>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</si>
  <si>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</si>
  <si>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</si>
  <si>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</si>
  <si>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</si>
  <si>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</si>
  <si>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</si>
  <si>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</si>
  <si>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</si>
  <si>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</si>
  <si>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</si>
  <si>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</si>
  <si>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</si>
  <si>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</si>
  <si>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</si>
  <si>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</si>
  <si>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</si>
  <si>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</si>
  <si>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</si>
  <si>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</si>
  <si>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</si>
  <si>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</si>
  <si>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</si>
  <si>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</si>
  <si>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</si>
  <si>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</si>
  <si>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</si>
  <si>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</si>
  <si>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</si>
  <si>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</si>
  <si>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</si>
  <si>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</si>
  <si>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</si>
  <si>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</si>
  <si>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</si>
  <si>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</si>
  <si>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</si>
  <si>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</si>
  <si>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</si>
  <si>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</si>
  <si>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</si>
  <si>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</si>
  <si>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</si>
  <si>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</si>
  <si>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</si>
  <si>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</si>
  <si>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</si>
  <si>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</si>
  <si>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</si>
  <si>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</si>
  <si>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</si>
  <si>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</si>
  <si>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</si>
  <si>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</si>
  <si>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</si>
  <si>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</si>
  <si>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</si>
  <si>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</si>
  <si>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</si>
  <si>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</si>
  <si>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</si>
  <si>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</si>
  <si>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</si>
  <si>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</si>
  <si>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</si>
  <si>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</si>
  <si>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</si>
  <si>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</si>
  <si>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</si>
  <si>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</si>
  <si>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</si>
  <si>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</si>
  <si>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</si>
  <si>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</si>
  <si>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</si>
  <si>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</si>
  <si>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</si>
  <si>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</si>
  <si>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</si>
  <si>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</si>
  <si>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</si>
  <si>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</si>
  <si>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</si>
  <si>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</si>
  <si>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</si>
  <si>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</si>
  <si>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</si>
  <si>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</si>
  <si>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</si>
  <si>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</si>
  <si>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</si>
  <si>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</si>
  <si>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</si>
  <si>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</si>
  <si>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</si>
  <si>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</si>
  <si>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</si>
  <si>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</si>
  <si>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</si>
  <si>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</si>
  <si>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</si>
  <si>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</si>
  <si>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</si>
  <si>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</si>
  <si>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</si>
  <si>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</si>
  <si>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</si>
  <si>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</si>
  <si>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</si>
  <si>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</si>
  <si>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</si>
  <si>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</si>
  <si>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</si>
  <si>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</si>
  <si>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</si>
  <si>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</si>
  <si>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</si>
  <si>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</si>
  <si>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</si>
  <si>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</si>
  <si>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</si>
  <si>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</si>
  <si>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</si>
  <si>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</si>
  <si>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</si>
  <si>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</si>
  <si>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</si>
  <si>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</si>
  <si>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</si>
  <si>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</si>
  <si>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</si>
  <si>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</si>
  <si>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</si>
  <si>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</si>
  <si>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</si>
  <si>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</si>
  <si>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</si>
  <si>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</si>
  <si>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</si>
  <si>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</si>
  <si>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</si>
  <si>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</si>
  <si>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</si>
  <si>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</si>
  <si>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</si>
  <si>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</si>
  <si>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</si>
  <si>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</si>
  <si>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</si>
  <si>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</si>
  <si>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</si>
  <si>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</si>
  <si>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</si>
  <si>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</si>
  <si>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</si>
  <si>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</si>
  <si>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</si>
  <si>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</si>
  <si>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</si>
  <si>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</si>
  <si>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</si>
  <si>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</si>
  <si>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</si>
  <si>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</si>
  <si>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</si>
  <si>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</si>
  <si>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</si>
  <si>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</si>
  <si>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</si>
  <si>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</si>
  <si>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</si>
  <si>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</si>
  <si>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</si>
  <si>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</si>
  <si>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</si>
  <si>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</si>
  <si>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</si>
  <si>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</si>
  <si>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</si>
  <si>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</si>
  <si>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</si>
  <si>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</si>
  <si>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</si>
  <si>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</si>
  <si>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</si>
  <si>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</si>
  <si>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</si>
  <si>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</si>
  <si>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</si>
  <si>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</si>
  <si>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</si>
  <si>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</si>
  <si>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</si>
  <si>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</si>
  <si>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</si>
  <si>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</si>
  <si>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</si>
  <si>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</si>
  <si>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</si>
  <si>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</si>
  <si>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</si>
  <si>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</si>
  <si>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</si>
  <si>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</si>
  <si>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</si>
  <si>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</si>
  <si>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</si>
  <si>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</si>
  <si>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</si>
  <si>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</si>
  <si>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</si>
  <si>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</si>
  <si>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</si>
  <si>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</si>
  <si>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</si>
  <si>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</si>
  <si>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</si>
  <si>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</si>
  <si>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</si>
  <si>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</si>
  <si>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</si>
  <si>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</si>
  <si>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</si>
  <si>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</si>
  <si>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</si>
  <si>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</si>
  <si>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</si>
  <si>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</si>
  <si>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</si>
  <si>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</si>
  <si>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</si>
  <si>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</si>
  <si>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</si>
  <si>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</si>
  <si>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</si>
  <si>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</si>
  <si>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</si>
  <si>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</si>
  <si>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</si>
  <si>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</si>
  <si>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</si>
  <si>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</si>
  <si>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</si>
  <si>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</si>
  <si>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</si>
  <si>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</si>
  <si>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</si>
  <si>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</si>
  <si>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</si>
  <si>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</si>
  <si>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</si>
  <si>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</si>
  <si>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</si>
  <si>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</si>
  <si>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</si>
  <si>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</si>
  <si>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</si>
  <si>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</si>
  <si>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</si>
  <si>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</si>
  <si>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</si>
  <si>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</si>
  <si>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</si>
  <si>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</si>
  <si>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</si>
  <si>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</si>
  <si>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</si>
  <si>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</si>
  <si>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</si>
  <si>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</si>
  <si>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</si>
  <si>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</si>
  <si>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</si>
  <si>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</si>
  <si>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</si>
  <si>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</si>
  <si>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</si>
  <si>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</si>
  <si>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</si>
  <si>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</si>
  <si>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</si>
  <si>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</si>
  <si>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</si>
  <si>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</si>
  <si>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</si>
  <si>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</si>
  <si>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</si>
  <si>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</si>
  <si>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</si>
  <si>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</si>
  <si>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</si>
  <si>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</si>
  <si>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</si>
  <si>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</si>
  <si>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</si>
  <si>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</si>
  <si>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</si>
  <si>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</si>
  <si>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</si>
  <si>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</si>
  <si>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</si>
  <si>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</si>
  <si>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</si>
  <si>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</si>
  <si>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</si>
  <si>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</si>
  <si>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</si>
  <si>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</si>
  <si>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</si>
  <si>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</si>
  <si>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</si>
  <si>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</si>
  <si>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</si>
  <si>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</si>
  <si>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</si>
  <si>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</si>
  <si>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</si>
  <si>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</si>
  <si>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</si>
  <si>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</si>
  <si>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</si>
  <si>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</si>
  <si>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</si>
  <si>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</si>
  <si>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</si>
  <si>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</si>
  <si>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</si>
  <si>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</si>
  <si>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</si>
  <si>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</si>
  <si>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</si>
  <si>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</si>
  <si>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</si>
  <si>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</si>
  <si>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</si>
  <si>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</si>
  <si>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</si>
  <si>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</si>
  <si>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</si>
  <si>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</si>
  <si>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</si>
  <si>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</si>
  <si>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</si>
  <si>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</si>
  <si>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</si>
  <si>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</si>
  <si>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</si>
  <si>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</si>
  <si>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</si>
  <si>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</si>
  <si>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</si>
  <si>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</si>
  <si>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</si>
  <si>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</si>
  <si>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</si>
  <si>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</si>
  <si>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</si>
  <si>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</si>
  <si>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</si>
  <si>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</si>
  <si>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</si>
  <si>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</si>
  <si>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</si>
  <si>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</si>
  <si>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</si>
  <si>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</si>
  <si>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</si>
  <si>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</si>
  <si>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</si>
  <si>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</si>
  <si>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</si>
  <si>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</si>
  <si>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</si>
  <si>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</si>
  <si>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</si>
  <si>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</si>
  <si>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</si>
  <si>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</si>
  <si>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</si>
  <si>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</si>
  <si>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</si>
  <si>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</si>
  <si>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</si>
  <si>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</si>
  <si>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</si>
  <si>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</si>
  <si>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</si>
  <si>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</si>
  <si>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</si>
  <si>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</si>
  <si>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</si>
  <si>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</si>
  <si>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</si>
  <si>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</si>
  <si>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</si>
  <si>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</si>
  <si>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</si>
  <si>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</si>
  <si>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</si>
  <si>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</si>
  <si>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</si>
  <si>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</si>
  <si>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</si>
  <si>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</si>
  <si>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</si>
  <si>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</si>
  <si>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</si>
  <si>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</si>
  <si>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</si>
  <si>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</si>
  <si>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</si>
  <si>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</si>
  <si>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</si>
  <si>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</si>
  <si>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</si>
  <si>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</si>
  <si>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</si>
  <si>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</si>
  <si>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</si>
  <si>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</si>
  <si>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</si>
  <si>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</si>
  <si>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</si>
  <si>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</si>
  <si>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</si>
  <si>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</si>
  <si>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</si>
  <si>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</si>
  <si>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</si>
  <si>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</si>
  <si>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</si>
  <si>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</si>
  <si>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</si>
  <si>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</si>
  <si>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</si>
  <si>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</si>
  <si>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</si>
  <si>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</si>
  <si>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</si>
  <si>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</si>
  <si>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</si>
  <si>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</si>
  <si>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</si>
  <si>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</si>
  <si>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</si>
  <si>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</si>
  <si>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</si>
  <si>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</si>
  <si>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</si>
  <si>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</si>
  <si>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</si>
  <si>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</si>
  <si>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</si>
  <si>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</si>
  <si>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</si>
  <si>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</si>
  <si>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</si>
  <si>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</si>
  <si>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</si>
  <si>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</si>
  <si>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</si>
  <si>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</si>
  <si>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</si>
  <si>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</si>
  <si>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</si>
  <si>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</si>
  <si>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</si>
  <si>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</si>
  <si>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</si>
  <si>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</si>
  <si>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</si>
  <si>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</si>
  <si>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</si>
  <si>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</si>
  <si>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</si>
  <si>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</si>
  <si>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</si>
  <si>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</si>
  <si>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</si>
  <si>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</si>
  <si>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</si>
  <si>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</si>
  <si>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</si>
  <si>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</si>
  <si>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</si>
  <si>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</si>
  <si>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</si>
  <si>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</si>
  <si>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</si>
  <si>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</si>
  <si>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</si>
  <si>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</si>
  <si>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</si>
  <si>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</si>
  <si>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</si>
  <si>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</si>
  <si>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</si>
  <si>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</si>
  <si>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</si>
  <si>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</si>
  <si>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</si>
  <si>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</si>
  <si>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</si>
  <si>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</si>
  <si>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</si>
  <si>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</si>
  <si>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</si>
  <si>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</si>
  <si>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</si>
  <si>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</si>
  <si>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</si>
  <si>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</si>
  <si>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</si>
  <si>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</si>
  <si>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</si>
  <si>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</si>
  <si>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</si>
  <si>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</si>
  <si>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</si>
  <si>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</si>
  <si>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</si>
  <si>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</si>
  <si>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</si>
  <si>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</si>
  <si>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</si>
  <si>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</si>
  <si>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</si>
  <si>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</si>
  <si>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</si>
  <si>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</si>
  <si>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</si>
  <si>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</si>
  <si>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</si>
  <si>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</si>
  <si>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</si>
  <si>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</si>
  <si>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</si>
  <si>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</si>
  <si>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</si>
  <si>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</si>
  <si>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</si>
  <si>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</si>
  <si>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</si>
  <si>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</si>
  <si>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</si>
  <si>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</si>
  <si>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</si>
  <si>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</si>
  <si>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</si>
  <si>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</si>
  <si>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</si>
  <si>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</si>
  <si>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</si>
  <si>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</si>
  <si>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</si>
  <si>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</si>
  <si>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</si>
  <si>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</si>
  <si>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</si>
  <si>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</si>
  <si>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</si>
  <si>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</si>
  <si>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</si>
  <si>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</si>
  <si>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</si>
  <si>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</si>
  <si>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</si>
  <si>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</si>
  <si>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</si>
  <si>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</si>
  <si>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</si>
  <si>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</si>
  <si>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</si>
  <si>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</si>
  <si>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</si>
  <si>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</si>
  <si>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</si>
  <si>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</si>
  <si>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</si>
  <si>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</si>
  <si>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</si>
  <si>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</si>
  <si>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</si>
  <si>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</si>
  <si>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</si>
  <si>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</si>
  <si>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</si>
  <si>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</si>
  <si>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</si>
  <si>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</si>
  <si>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</si>
  <si>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</si>
  <si>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</si>
  <si>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</si>
  <si>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</si>
  <si>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</si>
  <si>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</si>
  <si>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</si>
  <si>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</si>
  <si>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</si>
  <si>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</si>
  <si>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</si>
  <si>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</si>
  <si>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</si>
  <si>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</si>
  <si>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</si>
  <si>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</si>
  <si>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</si>
  <si>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</si>
  <si>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</si>
  <si>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</si>
  <si>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</si>
  <si>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</si>
  <si>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</si>
  <si>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</si>
  <si>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</si>
  <si>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</si>
  <si>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</si>
  <si>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</si>
  <si>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</si>
  <si>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</si>
  <si>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</si>
  <si>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</si>
  <si>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</si>
  <si>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</si>
  <si>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</si>
  <si>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</si>
  <si>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</si>
  <si>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</si>
  <si>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</si>
  <si>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</si>
  <si>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</si>
  <si>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</si>
  <si>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</si>
  <si>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</si>
  <si>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</si>
  <si>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</si>
  <si>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</si>
  <si>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</si>
  <si>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</si>
  <si>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</si>
  <si>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</si>
  <si>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</si>
  <si>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</si>
  <si>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</si>
  <si>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</si>
  <si>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</si>
  <si>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</si>
  <si>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</si>
  <si>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</si>
  <si>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</si>
  <si>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</si>
  <si>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</si>
  <si>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</si>
  <si>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</si>
  <si>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</si>
  <si>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</si>
  <si>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</si>
  <si>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</si>
  <si>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</si>
  <si>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</si>
  <si>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</si>
  <si>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</si>
  <si>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</si>
  <si>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</si>
  <si>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</si>
  <si>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</si>
  <si>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</si>
  <si>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</si>
  <si>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</si>
  <si>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</si>
  <si>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</si>
  <si>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</si>
  <si>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</si>
  <si>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</si>
  <si>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</si>
  <si>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</si>
  <si>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</si>
  <si>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</si>
  <si>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</si>
  <si>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</si>
  <si>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</si>
  <si>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</si>
  <si>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</si>
  <si>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</si>
  <si>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</si>
  <si>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</si>
  <si>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</si>
  <si>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</si>
  <si>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</si>
  <si>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</si>
  <si>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</si>
  <si>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</si>
  <si>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</si>
  <si>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</si>
  <si>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</si>
  <si>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</si>
  <si>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</si>
  <si>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</si>
  <si>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</si>
  <si>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</si>
  <si>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</si>
  <si>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</si>
  <si>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</si>
  <si>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</si>
  <si>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</si>
  <si>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</si>
  <si>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</si>
  <si>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</si>
  <si>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</si>
  <si>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</si>
  <si>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</si>
  <si>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</si>
  <si>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</si>
  <si>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</si>
  <si>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</si>
  <si>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</si>
  <si>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</si>
  <si>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</si>
  <si>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</si>
  <si>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</si>
  <si>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</si>
  <si>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</si>
  <si>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</si>
  <si>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</si>
  <si>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</si>
  <si>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</si>
  <si>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</si>
  <si>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</si>
  <si>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</si>
  <si>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</si>
  <si>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</si>
  <si>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</si>
  <si>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</si>
  <si>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</si>
  <si>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</si>
  <si>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</si>
  <si>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</si>
  <si>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</si>
  <si>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</si>
  <si>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</si>
  <si>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</si>
  <si>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</si>
  <si>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</si>
  <si>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</si>
  <si>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</si>
  <si>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</si>
  <si>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</si>
  <si>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</si>
  <si>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</si>
  <si>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</si>
  <si>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</si>
  <si>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</si>
  <si>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</si>
  <si>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</si>
  <si>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</si>
  <si>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</si>
  <si>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</si>
  <si>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</si>
  <si>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</si>
  <si>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</si>
  <si>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</si>
  <si>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</si>
  <si>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</si>
  <si>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</si>
  <si>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</si>
  <si>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</si>
  <si>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</si>
  <si>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</si>
  <si>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</si>
  <si>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</si>
  <si>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</si>
  <si>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</si>
  <si>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</si>
  <si>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</si>
  <si>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</si>
  <si>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</si>
  <si>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</si>
  <si>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</si>
  <si>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</si>
  <si>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</si>
  <si>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</si>
  <si>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</si>
  <si>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</si>
  <si>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</si>
  <si>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</si>
  <si>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</si>
  <si>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</si>
  <si>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</si>
  <si>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</si>
  <si>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</si>
  <si>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</si>
  <si>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</si>
  <si>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</si>
  <si>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</si>
  <si>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</si>
  <si>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</si>
  <si>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</si>
  <si>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</si>
  <si>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</si>
  <si>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</si>
  <si>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</si>
  <si>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</si>
  <si>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</si>
  <si>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</si>
  <si>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</si>
  <si>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</si>
  <si>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</si>
  <si>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</si>
  <si>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</si>
  <si>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</si>
  <si>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</si>
  <si>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</si>
  <si>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</si>
  <si>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</si>
  <si>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</si>
  <si>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</si>
  <si>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</si>
  <si>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</si>
  <si>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</si>
  <si>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</si>
  <si>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</si>
  <si>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</si>
  <si>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</si>
  <si>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</si>
  <si>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</si>
  <si>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</si>
  <si>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</si>
  <si>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</si>
  <si>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</si>
  <si>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</si>
  <si>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</si>
  <si>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</si>
  <si>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</si>
  <si>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</si>
  <si>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</si>
  <si>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</si>
  <si>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</si>
  <si>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</si>
  <si>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</si>
  <si>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</si>
  <si>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</si>
  <si>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</si>
  <si>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</si>
  <si>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</si>
  <si>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</si>
  <si>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</si>
  <si>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</si>
  <si>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</si>
  <si>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</si>
  <si>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</si>
  <si>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</si>
  <si>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</si>
  <si>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</si>
  <si>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</si>
  <si>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</si>
  <si>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</si>
  <si>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</si>
  <si>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</si>
  <si>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</si>
  <si>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</si>
  <si>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</si>
  <si>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</si>
  <si>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</si>
  <si>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</si>
  <si>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</si>
  <si>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</si>
  <si>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</si>
  <si>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</si>
  <si>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</si>
  <si>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</si>
  <si>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</si>
  <si>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</si>
  <si>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</si>
  <si>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</si>
  <si>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</si>
  <si>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</si>
  <si>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</si>
  <si>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</si>
  <si>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</si>
  <si>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</si>
  <si>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</si>
  <si>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</si>
  <si>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</si>
  <si>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</si>
  <si>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</si>
  <si>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</si>
  <si>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</si>
  <si>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</si>
  <si>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</si>
  <si>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</si>
  <si>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</si>
  <si>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</si>
  <si>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</si>
  <si>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</si>
  <si>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</si>
  <si>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</si>
  <si>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</si>
  <si>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</si>
  <si>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</si>
  <si>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</si>
  <si>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</si>
  <si>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</si>
  <si>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</si>
  <si>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</si>
  <si>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</si>
  <si>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</si>
  <si>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</si>
  <si>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</si>
  <si>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</si>
  <si>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</si>
  <si>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</si>
  <si>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</si>
  <si>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</si>
  <si>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</si>
  <si>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</si>
  <si>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</si>
  <si>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</si>
  <si>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</si>
  <si>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</si>
  <si>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</si>
  <si>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</si>
  <si>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</si>
  <si>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</si>
  <si>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</si>
  <si>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</si>
  <si>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</si>
  <si>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</si>
  <si>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</si>
  <si>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</si>
  <si>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</si>
  <si>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</si>
  <si>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</si>
  <si>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</si>
  <si>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</si>
  <si>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</si>
  <si>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</si>
  <si>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</si>
  <si>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</si>
  <si>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</si>
  <si>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</si>
  <si>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</si>
  <si>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</si>
  <si>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</si>
  <si>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</si>
  <si>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</si>
  <si>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</si>
  <si>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</si>
  <si>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</si>
  <si>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</si>
  <si>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</si>
  <si>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</si>
  <si>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</si>
  <si>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</si>
  <si>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</si>
  <si>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</si>
  <si>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</si>
  <si>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</si>
  <si>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</si>
  <si>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</si>
  <si>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</si>
  <si>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</si>
  <si>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</si>
  <si>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</si>
  <si>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</si>
  <si>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</si>
  <si>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</si>
  <si>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</si>
  <si>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</si>
  <si>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</si>
  <si>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</si>
  <si>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</si>
  <si>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</si>
  <si>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</si>
  <si>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</si>
  <si>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</si>
  <si>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</si>
  <si>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</si>
  <si>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</si>
  <si>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</si>
  <si>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</si>
  <si>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</si>
  <si>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</si>
  <si>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</si>
  <si>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</si>
  <si>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</si>
  <si>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</si>
  <si>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</si>
  <si>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</si>
  <si>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陕西省西安市</t>
    <phoneticPr fontId="6" type="noConversion"/>
  </si>
  <si>
    <t>西安浐灞生态区金茂四路以东、金桥二路以北</t>
    <phoneticPr fontId="6" type="noConversion"/>
  </si>
  <si>
    <t>商业</t>
  </si>
  <si>
    <t>出让</t>
  </si>
  <si>
    <t>平整</t>
  </si>
  <si>
    <t>规划用地面积</t>
    <phoneticPr fontId="233" type="noConversion"/>
  </si>
  <si>
    <t>总建筑面积</t>
    <phoneticPr fontId="233" type="noConversion"/>
  </si>
  <si>
    <t>计容建筑面积</t>
    <phoneticPr fontId="233" type="noConversion"/>
  </si>
  <si>
    <t>办公</t>
    <phoneticPr fontId="233" type="noConversion"/>
  </si>
  <si>
    <t>商业</t>
    <phoneticPr fontId="233" type="noConversion"/>
  </si>
  <si>
    <t>物业</t>
  </si>
  <si>
    <t>物业</t>
    <phoneticPr fontId="233" type="noConversion"/>
  </si>
  <si>
    <t>地下</t>
  </si>
  <si>
    <t>地下</t>
    <phoneticPr fontId="233" type="noConversion"/>
  </si>
  <si>
    <t>设备</t>
  </si>
  <si>
    <t>设备</t>
    <phoneticPr fontId="233" type="noConversion"/>
  </si>
  <si>
    <t>人防</t>
  </si>
  <si>
    <t>人防</t>
    <phoneticPr fontId="233" type="noConversion"/>
  </si>
  <si>
    <t>车库</t>
  </si>
  <si>
    <t>车库</t>
    <phoneticPr fontId="233" type="noConversion"/>
  </si>
  <si>
    <t>非机动车</t>
  </si>
  <si>
    <t>非机动车</t>
    <phoneticPr fontId="233" type="noConversion"/>
  </si>
  <si>
    <t>地上合计</t>
    <phoneticPr fontId="233" type="noConversion"/>
  </si>
  <si>
    <t>地下合计</t>
    <phoneticPr fontId="233" type="noConversion"/>
  </si>
  <si>
    <t>总计</t>
    <phoneticPr fontId="233" type="noConversion"/>
  </si>
  <si>
    <t>辆</t>
    <phoneticPr fontId="233" type="noConversion"/>
  </si>
  <si>
    <t>地上</t>
  </si>
  <si>
    <t>办公楼</t>
  </si>
  <si>
    <t>底商</t>
  </si>
  <si>
    <t>车库—商业</t>
  </si>
  <si>
    <t>办公</t>
    <phoneticPr fontId="7" type="noConversion"/>
  </si>
  <si>
    <t>商业</t>
    <phoneticPr fontId="7" type="noConversion"/>
  </si>
  <si>
    <t>车库</t>
    <phoneticPr fontId="7" type="noConversion"/>
  </si>
  <si>
    <t>否</t>
  </si>
  <si>
    <t>西安四等</t>
  </si>
  <si>
    <t>西安四等</t>
    <phoneticPr fontId="3" type="noConversion"/>
  </si>
  <si>
    <t>不动产收益法</t>
  </si>
  <si>
    <t>土地（套用方法）</t>
  </si>
  <si>
    <t>押一</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</si>
  <si>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</si>
  <si>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</si>
  <si>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</si>
  <si>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剩余法-待开发</t>
  </si>
  <si>
    <t>比较法-住宅、综合</t>
  </si>
  <si>
    <t>西安浐灞生态区玄武东路以南、广运潭大道以西</t>
    <phoneticPr fontId="3" type="noConversion"/>
  </si>
  <si>
    <t>CB2-8-313-2，CB2-8-313-3</t>
    <phoneticPr fontId="3" type="noConversion"/>
  </si>
  <si>
    <t>CB3-2-122</t>
    <phoneticPr fontId="3" type="noConversion"/>
  </si>
  <si>
    <t>西安浐灞生态区世博大道以北、世博东路以南</t>
    <phoneticPr fontId="3" type="noConversion"/>
  </si>
  <si>
    <t>CB3-1-80</t>
    <phoneticPr fontId="3" type="noConversion"/>
  </si>
  <si>
    <t>浐灞生态区香槐一路以西、欧亚大道以北</t>
    <phoneticPr fontId="3" type="noConversion"/>
  </si>
  <si>
    <t>正常</t>
  </si>
  <si>
    <t>40</t>
    <phoneticPr fontId="26" type="noConversion"/>
  </si>
  <si>
    <t>商务金融</t>
  </si>
  <si>
    <t>商务金融</t>
    <phoneticPr fontId="26" type="noConversion"/>
  </si>
  <si>
    <t>多面临街</t>
  </si>
  <si>
    <t>楼面地价</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</si>
  <si>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</si>
  <si>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</si>
  <si>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</si>
  <si>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</si>
  <si>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</si>
  <si>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主干道</t>
  </si>
  <si>
    <t>双面临街</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</si>
  <si>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</si>
  <si>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</si>
  <si>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</si>
  <si>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</si>
  <si>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</si>
  <si>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</si>
  <si>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一般</t>
  </si>
  <si>
    <r>
      <rPr>
        <sz val="11"/>
        <rFont val="仿宋_GB2312"/>
        <family val="3"/>
        <charset val="134"/>
      </rPr>
      <t>规则</t>
    </r>
    <phoneticPr fontId="3" type="noConversion"/>
  </si>
  <si>
    <t>较规则</t>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</si>
  <si>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</si>
  <si>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</si>
  <si>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</si>
  <si>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</si>
  <si>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</si>
  <si>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</si>
  <si>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</si>
  <si>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</si>
  <si>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</si>
  <si>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</si>
  <si>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较规则</t>
  </si>
  <si>
    <t>比例较适宜</t>
  </si>
  <si>
    <t>三通一平</t>
  </si>
  <si>
    <t>售价</t>
  </si>
  <si>
    <t>京都国际</t>
    <phoneticPr fontId="3" type="noConversion"/>
  </si>
  <si>
    <t>城东长乐东路堡子转盘东北角</t>
    <phoneticPr fontId="3" type="noConversion"/>
  </si>
  <si>
    <t>30-40（含）</t>
  </si>
  <si>
    <t>商业</t>
    <phoneticPr fontId="27" type="noConversion"/>
  </si>
  <si>
    <t>旺角国际</t>
    <phoneticPr fontId="3" type="noConversion"/>
  </si>
  <si>
    <t>城东西安市新城区长缨路与东二环交汇处西南角</t>
    <phoneticPr fontId="3" type="noConversion"/>
  </si>
  <si>
    <t>泰尔发现新坐标</t>
    <phoneticPr fontId="3" type="noConversion"/>
  </si>
  <si>
    <t>浐灞纺渭路与客运北路交汇处</t>
    <phoneticPr fontId="3" type="noConversion"/>
  </si>
  <si>
    <t>七通</t>
  </si>
  <si>
    <t>主</t>
  </si>
  <si>
    <t>主</t>
    <phoneticPr fontId="27"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</si>
</sst>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182" fontId="157" fillId="16" borderId="2" xfId="0" applyNumberFormat="1" applyFont="1" applyFill="1" applyBorder="1" applyAlignment="1" applyProtection="1">
      <alignment horizontal="center" vertical="center"/>
      <protection locked="0"/>
    </xf>
    <xf numFmtId="0" fontId="156" fillId="16" borderId="18" xfId="0" applyNumberFormat="1" applyFont="1" applyFill="1" applyBorder="1" applyAlignment="1" applyProtection="1">
      <alignment horizontal="center" vertical="center" wrapText="1"/>
      <protection locked="0"/>
    </xf>
    <xf numFmtId="0" fontId="156" fillId="16" borderId="50" xfId="0" applyNumberFormat="1" applyFont="1" applyFill="1" applyBorder="1" applyAlignment="1" applyProtection="1">
      <alignment horizontal="center" vertical="center" wrapText="1"/>
      <protection locked="0"/>
    </xf>
    <xf numFmtId="0" fontId="156" fillId="16" borderId="20" xfId="0" applyNumberFormat="1" applyFont="1" applyFill="1" applyBorder="1" applyAlignment="1" applyProtection="1">
      <alignment horizontal="center" vertical="center" wrapText="1"/>
      <protection locked="0"/>
    </xf>
    <xf numFmtId="0" fontId="205" fillId="6" borderId="8"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64" xfId="0" applyNumberFormat="1" applyFont="1" applyFill="1" applyBorder="1" applyAlignment="1" applyProtection="1">
      <alignment horizontal="center" vertical="center" wrapText="1"/>
      <protection locked="0"/>
    </xf>
    <xf numFmtId="10" fontId="156" fillId="16" borderId="2" xfId="0" applyNumberFormat="1" applyFont="1" applyFill="1" applyBorder="1" applyAlignment="1" applyProtection="1">
      <alignment horizontal="center" vertical="center"/>
      <protection locked="0"/>
    </xf>
    <xf numFmtId="183" fontId="156" fillId="16" borderId="2" xfId="0" applyNumberFormat="1" applyFont="1" applyFill="1" applyBorder="1" applyAlignment="1" applyProtection="1">
      <alignment horizontal="center" vertical="center"/>
      <protection locked="0"/>
    </xf>
    <xf numFmtId="182" fontId="156" fillId="16" borderId="5" xfId="0" applyNumberFormat="1" applyFont="1" applyFill="1" applyBorder="1" applyAlignment="1" applyProtection="1">
      <alignment horizontal="center" vertical="center"/>
      <protection locked="0"/>
    </xf>
    <xf numFmtId="185" fontId="278" fillId="6" borderId="2" xfId="0" applyNumberFormat="1" applyFont="1" applyFill="1" applyBorder="1" applyAlignment="1" applyProtection="1">
      <alignment horizontal="center" vertical="center"/>
      <protection locked="0"/>
    </xf>
    <xf numFmtId="185" fontId="278" fillId="6" borderId="10" xfId="0" applyNumberFormat="1"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205" fillId="6" borderId="10"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49" zoomScale="80" zoomScaleNormal="80" workbookViewId="0">
      <selection activeCell="B71" sqref="B71"/>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2665</v>
      </c>
      <c r="B1" s="2922" t="s">
        <v>2762</v>
      </c>
    </row>
    <row r="2" spans="1:55" s="2926" customFormat="1" ht="15" thickTop="1">
      <c r="A2" s="2924" t="s">
        <v>2669</v>
      </c>
      <c r="B2" s="2925" t="str">
        <f>'预评函-封皮'!B37</f>
        <v>陕西省西安市西安浐灞生态区金茂四路以东、金桥二路以北出让国有建设用地使用权预评估</v>
      </c>
      <c r="AX2" s="2927"/>
      <c r="AZ2" s="2927"/>
      <c r="BA2" s="2928"/>
      <c r="BC2" s="2928"/>
    </row>
    <row r="3" spans="1:55" s="2929" customFormat="1">
      <c r="A3" s="2908" t="s">
        <v>2670</v>
      </c>
      <c r="B3" s="2911">
        <f>'预评函-封皮'!B40</f>
        <v>0</v>
      </c>
    </row>
    <row r="4" spans="1:55" s="2910" customFormat="1">
      <c r="A4" s="2908" t="s">
        <v>2671</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2672</v>
      </c>
      <c r="B5" s="2931" t="str">
        <f>'预评函-封皮'!B49</f>
        <v>康正预评字号</v>
      </c>
    </row>
    <row r="6" spans="1:55" s="2932" customFormat="1" ht="15" thickTop="1">
      <c r="A6" s="2924" t="s">
        <v>2714</v>
      </c>
      <c r="B6" s="2925" t="str">
        <f>'预评函-1'!A4</f>
        <v>受贵公司委托，我公司对陕西省西安市西安浐灞生态区金茂四路以东、金桥二路以北出让国有建设用地使用权进行了预评估。</v>
      </c>
      <c r="AM6" s="2933"/>
    </row>
    <row r="7" spans="1:55" s="2907" customFormat="1">
      <c r="A7" s="2908" t="s">
        <v>2666</v>
      </c>
      <c r="B7" s="2909" t="str">
        <f>'预评函-1'!A6</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8" spans="1:55" s="2907" customFormat="1">
      <c r="A8" s="2908" t="s">
        <v>2667</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2717</v>
      </c>
      <c r="B9" s="2909" t="str">
        <f>'预评函-1'!A9</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2668</v>
      </c>
      <c r="B10" s="2909" t="str">
        <f>'预评函-1'!A11</f>
        <v>2017年10月12日（评估专业人员勘察现场之日）</v>
      </c>
    </row>
    <row r="11" spans="1:55" s="2907" customFormat="1">
      <c r="A11" s="2908" t="s">
        <v>2674</v>
      </c>
      <c r="B11" s="2909" t="str">
        <f>'预评函-1'!A14</f>
        <v>根据《国有土地使用证》[]，本次评估估价对象证载（地类）用途为。</v>
      </c>
    </row>
    <row r="12" spans="1:55" s="2907" customFormat="1">
      <c r="A12" s="2908" t="s">
        <v>2675</v>
      </c>
      <c r="B12" s="2909" t="str">
        <f>'预评函-1'!A15</f>
        <v>本次评估设定用途即为证载用途。</v>
      </c>
    </row>
    <row r="13" spans="1:55" s="2907" customFormat="1">
      <c r="A13" s="2908" t="s">
        <v>2676</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2677</v>
      </c>
      <c r="B14" s="2909" t="str">
        <f>'预评函-1'!A18</f>
        <v>。本次评估设定土地开发程度为红线外市政基础设施达“七通”、宗地红线内场地平整。</v>
      </c>
    </row>
    <row r="15" spans="1:55" s="2907" customFormat="1">
      <c r="A15" s="2908" t="s">
        <v>2673</v>
      </c>
      <c r="B15" s="2909" t="str">
        <f>'预评函-1'!A20</f>
        <v>根据《国有土地使用证》[]，估价对象（分摊）出让国有建设用地使用权面积为33220.35平方米。根据《建设工程规划许可证》[]、《出让合同》[]，估价对象规划建筑面积为166445.45平方米。</v>
      </c>
    </row>
    <row r="16" spans="1:55" s="2907" customFormat="1">
      <c r="A16" s="2908" t="s">
        <v>2678</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4月30日。截至估价期日，出让国有建设用地使用权剩余土地使用年限为。</v>
      </c>
    </row>
    <row r="17" spans="1:48" s="2907" customFormat="1">
      <c r="A17" s="2908" t="s">
        <v>2679</v>
      </c>
      <c r="B17" s="2909" t="str">
        <f>'预评函-1'!A23</f>
        <v>本次评估设定估价对象剩余土地使用年限为。</v>
      </c>
    </row>
    <row r="18" spans="1:48" s="2907" customFormat="1">
      <c r="A18" s="2908" t="s">
        <v>2680</v>
      </c>
      <c r="B18" s="2909" t="str">
        <f>'预评函-1'!A25</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19" spans="1:48" s="2907" customFormat="1">
      <c r="A19" s="2908" t="s">
        <v>2681</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2682</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2683</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2684</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2685</v>
      </c>
      <c r="B23" s="2909" t="str">
        <f>'预评函-2'!K2</f>
        <v>估价期日：2017年10月12日</v>
      </c>
    </row>
    <row r="24" spans="1:48">
      <c r="A24" s="2908" t="s">
        <v>2686</v>
      </c>
      <c r="B24" s="2909" t="str">
        <f>'预评函-2'!R2</f>
        <v>估价期日的国有建设用地使用权性质：出让</v>
      </c>
    </row>
    <row r="25" spans="1:48">
      <c r="A25" s="2908" t="s">
        <v>2742</v>
      </c>
      <c r="B25" s="2909" t="str">
        <f>'预评函-2'!A3</f>
        <v>估价期日土地使用者</v>
      </c>
    </row>
    <row r="26" spans="1:48">
      <c r="A26" s="2908" t="s">
        <v>2718</v>
      </c>
      <c r="B26" s="2909" t="str">
        <f>'预评函-2'!A5</f>
        <v>中信开发</v>
      </c>
    </row>
    <row r="27" spans="1:48">
      <c r="A27" s="2908" t="s">
        <v>2743</v>
      </c>
      <c r="B27" s="2909" t="str">
        <f>'预评函-2'!B3</f>
        <v>宗地编号/不动产单元号</v>
      </c>
    </row>
    <row r="28" spans="1:48">
      <c r="A28" s="2908" t="s">
        <v>2719</v>
      </c>
      <c r="B28" s="2909" t="str">
        <f>'预评函-2'!B5</f>
        <v>11111111111</v>
      </c>
    </row>
    <row r="29" spans="1:48">
      <c r="A29" s="2908" t="s">
        <v>2745</v>
      </c>
      <c r="B29" s="2909">
        <f>'预评函-2'!C5</f>
        <v>22</v>
      </c>
    </row>
    <row r="30" spans="1:48">
      <c r="A30" s="2908" t="s">
        <v>2746</v>
      </c>
      <c r="B30" s="2909" t="str">
        <f>'预评函-2'!D3</f>
        <v>土地使用证编号/不动产权证书编号</v>
      </c>
    </row>
    <row r="31" spans="1:48">
      <c r="A31" s="2908" t="s">
        <v>2720</v>
      </c>
      <c r="B31" s="2909" t="str">
        <f>'预评函-2'!D5</f>
        <v>京国土字第111号</v>
      </c>
    </row>
    <row r="32" spans="1:48">
      <c r="A32" s="2908" t="s">
        <v>2721</v>
      </c>
      <c r="B32" s="2909">
        <f>'预评函-2'!E5</f>
        <v>0</v>
      </c>
      <c r="AV32" s="2913"/>
    </row>
    <row r="33" spans="1:2">
      <c r="A33" s="2908" t="s">
        <v>2722</v>
      </c>
      <c r="B33" s="2909">
        <f>'预评函-2'!F5</f>
        <v>258</v>
      </c>
    </row>
    <row r="34" spans="1:2">
      <c r="A34" s="2908" t="s">
        <v>2723</v>
      </c>
      <c r="B34" s="2909">
        <f>'预评函-2'!G5</f>
        <v>0</v>
      </c>
    </row>
    <row r="35" spans="1:2">
      <c r="A35" s="2908" t="s">
        <v>2724</v>
      </c>
      <c r="B35" s="2909">
        <f>'预评函-2'!H5</f>
        <v>1.5</v>
      </c>
    </row>
    <row r="36" spans="1:2">
      <c r="A36" s="2908" t="s">
        <v>2725</v>
      </c>
      <c r="B36" s="2909">
        <f>'预评函-2'!I5</f>
        <v>1.5</v>
      </c>
    </row>
    <row r="37" spans="1:2">
      <c r="A37" s="2908" t="s">
        <v>2726</v>
      </c>
      <c r="B37" s="2909">
        <f>'预评函-2'!J5</f>
        <v>1.5</v>
      </c>
    </row>
    <row r="38" spans="1:2">
      <c r="A38" s="2908" t="s">
        <v>2727</v>
      </c>
      <c r="B38" s="2909" t="str">
        <f>'预评函-2'!K5</f>
        <v>红线外七通、宗地红线内</v>
      </c>
    </row>
    <row r="39" spans="1:2">
      <c r="A39" s="2908" t="s">
        <v>2728</v>
      </c>
      <c r="B39" s="2909" t="str">
        <f>'预评函-2'!L5</f>
        <v>红线外七通、宗地红线内场地平整</v>
      </c>
    </row>
    <row r="40" spans="1:2">
      <c r="A40" s="2908" t="s">
        <v>2747</v>
      </c>
      <c r="B40" s="2909" t="str">
        <f>'预评函-2'!M3</f>
        <v>（剩余）土地使用年限/年</v>
      </c>
    </row>
    <row r="41" spans="1:2">
      <c r="A41" s="2908" t="s">
        <v>2729</v>
      </c>
      <c r="B41" s="2909">
        <f>'预评函-2'!M5</f>
        <v>0</v>
      </c>
    </row>
    <row r="42" spans="1:2">
      <c r="A42" s="2908" t="s">
        <v>2748</v>
      </c>
      <c r="B42" s="2909" t="str">
        <f>'预评函-2'!N3</f>
        <v>（分摊）出让国有建设用地使用权面积/㎡</v>
      </c>
    </row>
    <row r="43" spans="1:2">
      <c r="A43" s="2908" t="s">
        <v>2730</v>
      </c>
      <c r="B43" s="2909">
        <f>'预评函-2'!N5</f>
        <v>33220.35</v>
      </c>
    </row>
    <row r="44" spans="1:2">
      <c r="A44" s="2908" t="s">
        <v>2749</v>
      </c>
      <c r="B44" s="2909" t="str">
        <f>'预评函-2'!O3</f>
        <v>规划建筑面积/㎡</v>
      </c>
    </row>
    <row r="45" spans="1:2">
      <c r="A45" s="2908" t="s">
        <v>2731</v>
      </c>
      <c r="B45" s="2909">
        <f>'预评函-2'!O5</f>
        <v>166445.44999999998</v>
      </c>
    </row>
    <row r="46" spans="1:2">
      <c r="A46" s="2908" t="s">
        <v>2732</v>
      </c>
      <c r="B46" s="2909">
        <f ca="1">'预评函-2'!P5</f>
        <v>5681</v>
      </c>
    </row>
    <row r="47" spans="1:2">
      <c r="A47" s="2908" t="s">
        <v>2733</v>
      </c>
      <c r="B47" s="2909">
        <f ca="1">'预评函-2'!Q5</f>
        <v>1134</v>
      </c>
    </row>
    <row r="48" spans="1:2">
      <c r="A48" s="2908" t="s">
        <v>2734</v>
      </c>
      <c r="B48" s="2909">
        <f ca="1">'预评函-2'!R5</f>
        <v>18874</v>
      </c>
    </row>
    <row r="49" spans="1:2">
      <c r="A49" s="2908" t="s">
        <v>2750</v>
      </c>
      <c r="B49" s="2909" t="str">
        <f>'预评函-2'!A6</f>
        <v>抵押价格</v>
      </c>
    </row>
    <row r="50" spans="1:2">
      <c r="A50" s="2908" t="s">
        <v>2735</v>
      </c>
      <c r="B50" s="2909">
        <f ca="1">'预评函-2'!R6</f>
        <v>18874</v>
      </c>
    </row>
    <row r="51" spans="1:2">
      <c r="A51" s="2908" t="s">
        <v>2751</v>
      </c>
      <c r="B51" s="2909" t="str">
        <f>'预评函-2'!A7</f>
        <v>——</v>
      </c>
    </row>
    <row r="52" spans="1:2">
      <c r="A52" s="2908" t="s">
        <v>2736</v>
      </c>
      <c r="B52" s="2909" t="str">
        <f>'预评函-2'!R7</f>
        <v>——</v>
      </c>
    </row>
    <row r="53" spans="1:2">
      <c r="A53" s="2908" t="s">
        <v>2752</v>
      </c>
      <c r="B53" s="2909">
        <f>'预评函-2'!A8</f>
        <v>0</v>
      </c>
    </row>
    <row r="54" spans="1:2" s="2923" customFormat="1" ht="15" thickBot="1">
      <c r="A54" s="2930" t="s">
        <v>2737</v>
      </c>
      <c r="B54" s="2931" t="str">
        <f>'预评函-2'!R8</f>
        <v>——</v>
      </c>
    </row>
    <row r="55" spans="1:2" ht="15" thickTop="1">
      <c r="A55" s="2919" t="s">
        <v>2687</v>
      </c>
      <c r="B55" s="2920" t="str">
        <f>'预评函-3'!A2</f>
        <v>1.权利限制：根据估价对象《不动产权证书》原件、《国有土地使用权》复印件，截至估价期日，估价对象抵押权未见登记。未设定租赁等其他他项权利。</v>
      </c>
    </row>
    <row r="56" spans="1:2">
      <c r="A56" s="2908" t="s">
        <v>2688</v>
      </c>
      <c r="B56" s="2909" t="str">
        <f>'预评函-3'!A3</f>
        <v>2.基础设施条件：估价对象实际开发程度为红线外七通、宗地红线内；本次评估设定开发程度为红线外七通、宗地红线内场地平整。</v>
      </c>
    </row>
    <row r="57" spans="1:2">
      <c r="A57" s="2908" t="s">
        <v>2689</v>
      </c>
      <c r="B57" s="2909" t="str">
        <f>'预评函-3'!A4</f>
        <v>3.估价规划限制条件：详见《建设工程规划许可证》[]、《出让合同》[]。</v>
      </c>
    </row>
    <row r="58" spans="1:2" s="2923" customFormat="1" ht="15" thickBot="1">
      <c r="A58" s="2930" t="s">
        <v>2738</v>
      </c>
      <c r="B58" s="2931" t="str">
        <f>'预评函-3'!A5</f>
        <v>4.影响价格的其他限定条件：无。</v>
      </c>
    </row>
    <row r="59" spans="1:2" ht="15" thickTop="1">
      <c r="A59" s="2919" t="s">
        <v>2690</v>
      </c>
      <c r="B59" s="2920" t="str">
        <f>'预评函-3'!A8</f>
        <v>2.本《评估意见函》仅供金融机构进行内部审核使用，不做其他目的之用。</v>
      </c>
    </row>
    <row r="60" spans="1:2">
      <c r="A60" s="2908" t="s">
        <v>2691</v>
      </c>
      <c r="B60" s="2909" t="str">
        <f>'预评函-3'!A9</f>
        <v>3.抵押双方在办理抵押登记手续时，应使用本公司出具的正式《土地估价报告》，特提请报告使用者注意。</v>
      </c>
    </row>
    <row r="61" spans="1:2">
      <c r="A61" s="2908" t="s">
        <v>2693</v>
      </c>
      <c r="B61" s="2909" t="str">
        <f>'预评函-3'!A10</f>
        <v>4.估价师所知悉的法定优先受偿款情况为：</v>
      </c>
    </row>
    <row r="62" spans="1:2">
      <c r="A62" s="2908" t="s">
        <v>2692</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2694</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2695</v>
      </c>
      <c r="B64" s="2914" t="str">
        <f>'预评函-3'!A13</f>
        <v>（3）。</v>
      </c>
    </row>
    <row r="65" spans="1:2">
      <c r="A65" s="2908" t="s">
        <v>2696</v>
      </c>
      <c r="B65" s="2915" t="str">
        <f>'预评函-3'!A14</f>
        <v>综上，本次评估不存在估价师知悉的法定优先受偿款</v>
      </c>
    </row>
    <row r="66" spans="1:2">
      <c r="A66" s="2908" t="s">
        <v>2697</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2698</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2701</v>
      </c>
      <c r="B68" s="2934">
        <f>'预评函-3'!D30</f>
        <v>42558</v>
      </c>
    </row>
    <row r="69" spans="1:2" ht="15" thickTop="1">
      <c r="A69" s="2919" t="s">
        <v>2699</v>
      </c>
      <c r="B69" s="2920" t="str">
        <f>'预评函-3'!A20</f>
        <v>土地估价师</v>
      </c>
    </row>
    <row r="70" spans="1:2">
      <c r="A70" s="2908" t="s">
        <v>2699</v>
      </c>
      <c r="B70" s="2915">
        <f>'预评函-3'!B20</f>
        <v>0</v>
      </c>
    </row>
    <row r="71" spans="1:2">
      <c r="A71" s="2908" t="s">
        <v>2700</v>
      </c>
      <c r="B71" s="2909" t="str">
        <f>'预评函-3'!A21</f>
        <v>土地估价师</v>
      </c>
    </row>
    <row r="72" spans="1:2" s="2923" customFormat="1" ht="15" thickBot="1">
      <c r="A72" s="2930" t="s">
        <v>2700</v>
      </c>
      <c r="B72" s="2936">
        <f>'预评函-3'!B21</f>
        <v>0</v>
      </c>
    </row>
    <row r="73" spans="1:2" ht="15" thickTop="1">
      <c r="A73" s="2919" t="s">
        <v>2759</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2760</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2761</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2796</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FF00"/>
  </sheetPr>
  <dimension ref="A1:D14"/>
  <sheetViews>
    <sheetView workbookViewId="0">
      <selection activeCell="B15" sqref="B15"/>
    </sheetView>
  </sheetViews>
  <sheetFormatPr defaultRowHeight="13.5"/>
  <cols>
    <col min="1" max="1" width="17.25" customWidth="1"/>
    <col min="2" max="2" width="12" customWidth="1"/>
  </cols>
  <sheetData>
    <row r="1" spans="1:4">
      <c r="A1" s="3176" t="s">
        <v>2990</v>
      </c>
      <c r="B1">
        <v>33220.35</v>
      </c>
    </row>
    <row r="2" spans="1:4">
      <c r="A2" s="3176" t="s">
        <v>2991</v>
      </c>
      <c r="B2" s="3177">
        <v>171399.65</v>
      </c>
    </row>
    <row r="3" spans="1:4">
      <c r="A3" s="3176" t="s">
        <v>2992</v>
      </c>
      <c r="B3">
        <v>115943.65</v>
      </c>
    </row>
    <row r="4" spans="1:4">
      <c r="A4" s="3176" t="s">
        <v>2993</v>
      </c>
      <c r="B4">
        <v>88150.11</v>
      </c>
      <c r="D4">
        <f>B4/B3</f>
        <v>0.76028406902835999</v>
      </c>
    </row>
    <row r="5" spans="1:4">
      <c r="A5" s="3176" t="s">
        <v>2994</v>
      </c>
      <c r="B5">
        <v>27443.54</v>
      </c>
      <c r="D5">
        <f>B5/B3</f>
        <v>0.23669722317694847</v>
      </c>
    </row>
    <row r="6" spans="1:4">
      <c r="A6" s="3176" t="s">
        <v>2996</v>
      </c>
      <c r="B6">
        <v>350</v>
      </c>
    </row>
    <row r="7" spans="1:4">
      <c r="A7" s="3176" t="s">
        <v>3007</v>
      </c>
      <c r="B7">
        <f>SUM(B4:B6)</f>
        <v>115943.65</v>
      </c>
    </row>
    <row r="8" spans="1:4">
      <c r="A8" s="3176" t="s">
        <v>2998</v>
      </c>
    </row>
    <row r="9" spans="1:4">
      <c r="A9" s="3176" t="s">
        <v>3000</v>
      </c>
      <c r="B9">
        <v>1798.34</v>
      </c>
    </row>
    <row r="10" spans="1:4">
      <c r="A10" s="3176" t="s">
        <v>3002</v>
      </c>
      <c r="B10">
        <v>4954.2</v>
      </c>
    </row>
    <row r="11" spans="1:4">
      <c r="A11" s="3176" t="s">
        <v>3004</v>
      </c>
      <c r="B11">
        <v>47200.46</v>
      </c>
      <c r="C11">
        <v>1540</v>
      </c>
      <c r="D11" s="3176" t="s">
        <v>3010</v>
      </c>
    </row>
    <row r="12" spans="1:4">
      <c r="A12" s="3176" t="s">
        <v>3006</v>
      </c>
      <c r="B12">
        <v>1503</v>
      </c>
    </row>
    <row r="13" spans="1:4">
      <c r="A13" s="3176" t="s">
        <v>3008</v>
      </c>
      <c r="B13">
        <f>SUM(B9:B12)</f>
        <v>55456</v>
      </c>
    </row>
    <row r="14" spans="1:4">
      <c r="A14" s="3176" t="s">
        <v>3009</v>
      </c>
      <c r="B14" s="3177">
        <f>B13+B7</f>
        <v>171399.65</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J45" sqref="A1:J45"/>
    </sheetView>
  </sheetViews>
  <sheetFormatPr defaultColWidth="10" defaultRowHeight="14.25"/>
  <cols>
    <col min="1" max="1" width="15.375" style="1694" customWidth="1"/>
    <col min="2" max="2" width="11.375" style="1694" customWidth="1"/>
    <col min="3" max="3" width="12.625" style="1694" customWidth="1"/>
    <col min="4" max="4" width="11.75"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39" t="str">
        <f>IF(B10="北京市","北京市",C10)&amp;F10&amp;B16&amp;"国有建设用地使用权"&amp;B9&amp;"预评估"</f>
        <v>陕西省西安市西安浐灞生态区金茂四路以东、金桥二路以北出让国有建设用地使用权预评估</v>
      </c>
      <c r="C1" s="3240"/>
      <c r="D1" s="3240"/>
      <c r="E1" s="3240"/>
      <c r="F1" s="3240"/>
      <c r="G1" s="3240"/>
      <c r="H1" s="3240"/>
      <c r="I1" s="3241"/>
      <c r="J1" s="1697"/>
      <c r="K1" s="2483" t="str">
        <f>IF(B10="北京市","北京市",C10)&amp;F10&amp;B16&amp;"国有建设用地使用权"&amp;B9</f>
        <v>陕西省西安市西安浐灞生态区金茂四路以东、金桥二路以北出让国有建设用地使用权</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陕西省西安市西安浐灞生态区金茂四路以东、金桥二路以北出让国有建设用地使用权</v>
      </c>
      <c r="L2" s="1726"/>
      <c r="M2" s="1726"/>
      <c r="N2" s="1697"/>
      <c r="O2" s="1698"/>
      <c r="P2" s="1697"/>
      <c r="Q2" s="1697"/>
      <c r="R2" s="1697"/>
      <c r="S2" s="1697"/>
      <c r="T2" s="1697"/>
      <c r="U2" s="1697"/>
    </row>
    <row r="3" spans="1:21">
      <c r="A3" s="1664" t="s">
        <v>1943</v>
      </c>
      <c r="B3" s="1665">
        <v>43020</v>
      </c>
      <c r="C3" s="1666" t="s">
        <v>1999</v>
      </c>
      <c r="D3" s="1665">
        <f>B3</f>
        <v>43020</v>
      </c>
      <c r="E3" s="1697"/>
      <c r="F3" s="1697"/>
      <c r="G3" s="1697"/>
      <c r="H3" s="1663"/>
      <c r="I3" s="1698"/>
      <c r="J3" s="1697"/>
      <c r="K3" s="1777"/>
      <c r="L3" s="1726"/>
      <c r="M3" s="1726"/>
      <c r="N3" s="1697"/>
      <c r="O3" s="1698"/>
      <c r="P3" s="1697"/>
      <c r="Q3" s="1697"/>
      <c r="R3" s="1697"/>
      <c r="S3" s="1697"/>
      <c r="T3" s="1697"/>
      <c r="U3" s="1697"/>
    </row>
    <row r="4" spans="1:21" ht="15" thickBot="1">
      <c r="A4" s="1667" t="s">
        <v>1944</v>
      </c>
      <c r="B4" s="1846" t="s">
        <v>2898</v>
      </c>
      <c r="C4" s="1849">
        <f>SUMIF(土地估价师,B4,估价师及机构信息!E3:E24)</f>
        <v>0</v>
      </c>
      <c r="D4" s="1846" t="s">
        <v>2898</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2715</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2716</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2982</v>
      </c>
      <c r="C8" s="1674"/>
      <c r="D8" s="3245" t="s">
        <v>1948</v>
      </c>
      <c r="E8" s="1847" t="s">
        <v>2983</v>
      </c>
      <c r="F8" s="1675"/>
      <c r="G8" s="1663"/>
      <c r="H8" s="1663"/>
      <c r="I8" s="1710"/>
      <c r="J8" s="1697"/>
      <c r="K8" s="1777"/>
      <c r="L8" s="1726"/>
      <c r="M8" s="1726"/>
      <c r="N8" s="1697"/>
      <c r="O8" s="1698"/>
      <c r="P8" s="1697"/>
      <c r="Q8" s="1697"/>
      <c r="R8" s="1697"/>
      <c r="S8" s="1697"/>
      <c r="T8" s="1697"/>
      <c r="U8" s="1697"/>
    </row>
    <row r="9" spans="1:21" ht="15" thickBot="1">
      <c r="A9" s="1676" t="s">
        <v>1947</v>
      </c>
      <c r="B9" s="1677"/>
      <c r="C9" s="1678"/>
      <c r="D9" s="3246"/>
      <c r="E9" s="1677"/>
      <c r="F9" s="1750"/>
      <c r="G9" s="1745"/>
      <c r="H9" s="1745"/>
      <c r="I9" s="1746"/>
      <c r="J9" s="1697"/>
      <c r="K9" s="1777"/>
      <c r="L9" s="1726"/>
      <c r="M9" s="1726"/>
      <c r="N9" s="1697"/>
      <c r="O9" s="1698"/>
      <c r="P9" s="1697"/>
      <c r="Q9" s="1697"/>
      <c r="R9" s="1697"/>
      <c r="S9" s="1697"/>
      <c r="T9" s="1697"/>
      <c r="U9" s="1697"/>
    </row>
    <row r="10" spans="1:21" ht="15" thickTop="1">
      <c r="A10" s="1747" t="s">
        <v>2003</v>
      </c>
      <c r="B10" s="1722" t="s">
        <v>2984</v>
      </c>
      <c r="C10" s="1679" t="s">
        <v>2985</v>
      </c>
      <c r="D10" s="1670"/>
      <c r="E10" s="1680" t="s">
        <v>1950</v>
      </c>
      <c r="F10" s="1681" t="s">
        <v>2986</v>
      </c>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42"/>
      <c r="C12" s="3243"/>
      <c r="D12" s="3244"/>
      <c r="E12" s="1702" t="s">
        <v>2065</v>
      </c>
      <c r="F12" s="3260" t="s">
        <v>2899</v>
      </c>
      <c r="G12" s="3261"/>
      <c r="H12" s="3261"/>
      <c r="I12" s="3262"/>
      <c r="J12" s="1697"/>
      <c r="K12" s="1777"/>
      <c r="L12" s="1726"/>
      <c r="M12" s="1726"/>
      <c r="N12" s="1697"/>
      <c r="O12" s="1698"/>
      <c r="P12" s="1697"/>
      <c r="Q12" s="1697"/>
      <c r="R12" s="1697"/>
      <c r="S12" s="1697"/>
      <c r="T12" s="1697"/>
      <c r="U12" s="1697"/>
    </row>
    <row r="13" spans="1:21">
      <c r="A13" s="1690" t="s">
        <v>2063</v>
      </c>
      <c r="B13" s="3242"/>
      <c r="C13" s="3243"/>
      <c r="D13" s="3244"/>
      <c r="E13" s="1702" t="s">
        <v>2065</v>
      </c>
      <c r="F13" s="3260" t="s">
        <v>2900</v>
      </c>
      <c r="G13" s="3261"/>
      <c r="H13" s="3261"/>
      <c r="I13" s="3262"/>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2988</v>
      </c>
      <c r="C16" s="1702" t="s">
        <v>1952</v>
      </c>
      <c r="D16" s="2675" t="s">
        <v>1953</v>
      </c>
      <c r="E16" s="1725" t="s">
        <v>2987</v>
      </c>
      <c r="F16" s="1725" t="s">
        <v>1679</v>
      </c>
      <c r="G16" s="1725"/>
      <c r="H16" s="1725"/>
      <c r="I16" s="1689" t="s">
        <v>1958</v>
      </c>
      <c r="J16" s="1697"/>
      <c r="K16" s="2484" t="str">
        <f>IF(D17="","",D16&amp;TEXT(D17,"yyyy年m月d日;;"))</f>
        <v/>
      </c>
      <c r="L16" s="1702" t="str">
        <f>IF(OR(K16="",M16=""),"","、")</f>
        <v/>
      </c>
      <c r="M16" s="2484" t="str">
        <f>IF(E17="","",E16&amp;TEXT(E17,"yyyy年m月d日;;"))</f>
        <v>商业2057年4月30日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c r="E17" s="1703">
        <v>57465</v>
      </c>
      <c r="F17" s="1703"/>
      <c r="G17" s="1703"/>
      <c r="H17" s="1703"/>
      <c r="I17" s="1703"/>
      <c r="J17" s="1697"/>
      <c r="K17" s="2483" t="str">
        <f>CONCATENATE(K16,L16,M16,N16,O16,P16,Q16,R16,S16,T16,,U16)</f>
        <v>商业2057年4月30日</v>
      </c>
      <c r="L17" s="1726"/>
      <c r="M17" s="1726"/>
      <c r="N17" s="1697"/>
      <c r="O17" s="1698"/>
      <c r="P17" s="1697"/>
      <c r="Q17" s="1697"/>
      <c r="R17" s="1697"/>
      <c r="S17" s="1697"/>
      <c r="T17" s="1697"/>
      <c r="U17" s="1697"/>
    </row>
    <row r="18" spans="1:21">
      <c r="A18" s="1766"/>
      <c r="B18" s="1685"/>
      <c r="C18" s="1686" t="s">
        <v>1960</v>
      </c>
      <c r="D18" s="1687"/>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t="str">
        <f>IF(B16="出让",IF(D17="","",ROUNDDOWN(MIN((D17-$D$3)/365,D18),2)),D18)</f>
        <v/>
      </c>
      <c r="E19" s="1688">
        <f>IF(B16="出让",IF(E17="","",ROUNDDOWN(MIN((E17-$D$3)/365,E18),2)),E18)</f>
        <v>39.57</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57"/>
      <c r="E20" s="3258"/>
      <c r="F20" s="3258"/>
      <c r="G20" s="3258"/>
      <c r="H20" s="3258"/>
      <c r="I20" s="3259"/>
      <c r="J20" s="1697"/>
      <c r="K20" s="1777"/>
      <c r="L20" s="1726"/>
      <c r="M20" s="1726"/>
      <c r="N20" s="1697"/>
      <c r="O20" s="1698"/>
      <c r="P20" s="1697"/>
      <c r="Q20" s="1697"/>
      <c r="R20" s="1697"/>
      <c r="S20" s="1697"/>
      <c r="T20" s="1697"/>
      <c r="U20" s="1697"/>
    </row>
    <row r="21" spans="1:21">
      <c r="A21" s="1766" t="s">
        <v>1962</v>
      </c>
      <c r="B21" s="1767" t="s">
        <v>1963</v>
      </c>
      <c r="C21" s="1762">
        <f>'数据-汇总表'!E3</f>
        <v>166445.44999999998</v>
      </c>
      <c r="D21" s="1763" t="s">
        <v>1964</v>
      </c>
      <c r="E21" s="3247" t="s">
        <v>2002</v>
      </c>
      <c r="F21" s="3248"/>
      <c r="G21" s="3248"/>
      <c r="H21" s="3248"/>
      <c r="I21" s="3249"/>
      <c r="J21" s="1697"/>
      <c r="K21" s="1777"/>
      <c r="L21" s="1726"/>
      <c r="M21" s="1726"/>
      <c r="N21" s="1697"/>
      <c r="O21" s="1698"/>
      <c r="P21" s="1697"/>
      <c r="Q21" s="1697"/>
      <c r="R21" s="1697"/>
      <c r="S21" s="1697"/>
      <c r="T21" s="1697"/>
      <c r="U21" s="1697"/>
    </row>
    <row r="22" spans="1:21">
      <c r="A22" s="2666" t="s">
        <v>953</v>
      </c>
      <c r="B22" s="1664" t="s">
        <v>1965</v>
      </c>
      <c r="C22" s="1689">
        <f>'数据-汇总表'!D3</f>
        <v>33220.35</v>
      </c>
      <c r="D22" s="1690" t="s">
        <v>1964</v>
      </c>
      <c r="E22" s="3247" t="s">
        <v>2901</v>
      </c>
      <c r="F22" s="3248"/>
      <c r="G22" s="3248"/>
      <c r="H22" s="3248"/>
      <c r="I22" s="3249"/>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50" t="s">
        <v>1970</v>
      </c>
      <c r="C24" s="3251"/>
      <c r="D24" s="3252" t="s">
        <v>1971</v>
      </c>
      <c r="E24" s="3253"/>
      <c r="F24" s="1711" t="s">
        <v>1972</v>
      </c>
      <c r="G24" s="1697"/>
      <c r="H24" s="1697"/>
      <c r="I24" s="1710"/>
      <c r="J24" s="1697"/>
      <c r="K24" s="3238"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38"/>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38"/>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24" t="s">
        <v>2005</v>
      </c>
      <c r="B31" s="1767" t="s">
        <v>2006</v>
      </c>
      <c r="C31" s="3263"/>
      <c r="D31" s="3264"/>
      <c r="E31" s="1697"/>
      <c r="F31" s="1697"/>
      <c r="G31" s="1697"/>
      <c r="H31" s="1697"/>
      <c r="I31" s="1710"/>
      <c r="J31" s="1697"/>
      <c r="K31" s="2486"/>
      <c r="L31" s="1697"/>
      <c r="M31" s="1697"/>
      <c r="N31" s="1697"/>
      <c r="O31" s="1697"/>
      <c r="P31" s="1697"/>
      <c r="Q31" s="1697"/>
      <c r="R31" s="1697"/>
      <c r="S31" s="1697"/>
      <c r="T31" s="1697"/>
      <c r="U31" s="1697"/>
    </row>
    <row r="32" spans="1:21">
      <c r="A32" s="3224"/>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24"/>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25"/>
      <c r="B34" s="1664" t="s">
        <v>2009</v>
      </c>
      <c r="C34" s="3226"/>
      <c r="D34" s="3227"/>
      <c r="E34" s="1697"/>
      <c r="F34" s="1697"/>
      <c r="G34" s="1697"/>
      <c r="H34" s="1697"/>
      <c r="I34" s="1710"/>
      <c r="J34" s="1697"/>
      <c r="K34" s="2486"/>
      <c r="L34" s="1697"/>
      <c r="M34" s="1697"/>
      <c r="N34" s="1697"/>
      <c r="O34" s="1697"/>
      <c r="P34" s="1697"/>
      <c r="Q34" s="1697"/>
      <c r="R34" s="1697"/>
      <c r="S34" s="1697"/>
      <c r="T34" s="1697"/>
      <c r="U34" s="1697"/>
    </row>
    <row r="35" spans="1:21">
      <c r="A35" s="3228" t="s">
        <v>848</v>
      </c>
      <c r="B35" s="1725"/>
      <c r="C35" s="1779" t="str">
        <f>IF(B35="场地平整","——","具体情况：")</f>
        <v>具体情况：</v>
      </c>
      <c r="D35" s="3230"/>
      <c r="E35" s="3231"/>
      <c r="F35" s="3231"/>
      <c r="G35" s="3231"/>
      <c r="H35" s="3231"/>
      <c r="I35" s="3232"/>
      <c r="J35" s="1697"/>
      <c r="K35" s="1778"/>
      <c r="L35" s="1726"/>
      <c r="M35" s="1726"/>
      <c r="N35" s="1697"/>
      <c r="O35" s="1698"/>
      <c r="P35" s="1697"/>
      <c r="Q35" s="1697"/>
      <c r="R35" s="1697"/>
      <c r="S35" s="1697"/>
      <c r="T35" s="1697"/>
      <c r="U35" s="1697"/>
    </row>
    <row r="36" spans="1:21">
      <c r="A36" s="3224"/>
      <c r="B36" s="3233" t="s">
        <v>2058</v>
      </c>
      <c r="C36" s="3234"/>
      <c r="D36" s="1795" t="s">
        <v>2989</v>
      </c>
      <c r="E36" s="3235"/>
      <c r="F36" s="3235"/>
      <c r="G36" s="1690" t="str">
        <f>IF(B35="场地未平整","估价结果处理","")</f>
        <v/>
      </c>
      <c r="H36" s="3236"/>
      <c r="I36" s="3236"/>
      <c r="J36" s="1697"/>
      <c r="K36" s="1778"/>
      <c r="L36" s="1726"/>
      <c r="M36" s="1726"/>
      <c r="N36" s="1697"/>
      <c r="O36" s="1698"/>
      <c r="P36" s="1697"/>
      <c r="Q36" s="1697"/>
      <c r="R36" s="1697"/>
      <c r="S36" s="1697"/>
      <c r="T36" s="1697"/>
      <c r="U36" s="1697"/>
    </row>
    <row r="37" spans="1:21" ht="28.5">
      <c r="A37" s="3224"/>
      <c r="B37" s="3254" t="s">
        <v>849</v>
      </c>
      <c r="C37" s="1727" t="s">
        <v>850</v>
      </c>
      <c r="D37" s="1728">
        <v>43221</v>
      </c>
      <c r="E37" s="1729"/>
      <c r="F37" s="1697"/>
      <c r="G37" s="1697"/>
      <c r="H37" s="1697"/>
      <c r="I37" s="1710"/>
      <c r="J37" s="1697"/>
      <c r="K37" s="1778"/>
      <c r="L37" s="1697"/>
      <c r="M37" s="1697"/>
      <c r="N37" s="1697"/>
      <c r="O37" s="1697"/>
      <c r="P37" s="1697"/>
      <c r="Q37" s="1697"/>
      <c r="R37" s="1697"/>
      <c r="S37" s="1697"/>
      <c r="T37" s="1697"/>
      <c r="U37" s="1697"/>
    </row>
    <row r="38" spans="1:21">
      <c r="A38" s="3224"/>
      <c r="B38" s="3255"/>
      <c r="C38" s="1672" t="s">
        <v>851</v>
      </c>
      <c r="D38" s="1794">
        <f>ROUNDDOWN(MIN(('数据-取费表'!$B$2-D37)/365,D34),1)</f>
        <v>-0.5</v>
      </c>
      <c r="E38" s="1730" t="s">
        <v>852</v>
      </c>
      <c r="F38" s="1697"/>
      <c r="G38" s="1697"/>
      <c r="H38" s="1697"/>
      <c r="I38" s="1710"/>
      <c r="J38" s="1697"/>
      <c r="K38" s="1778"/>
      <c r="L38" s="1697"/>
      <c r="M38" s="1697"/>
      <c r="N38" s="1697"/>
      <c r="O38" s="1697"/>
      <c r="P38" s="1697"/>
      <c r="Q38" s="1697"/>
      <c r="R38" s="1697"/>
      <c r="S38" s="1697"/>
      <c r="T38" s="1697"/>
      <c r="U38" s="1697"/>
    </row>
    <row r="39" spans="1:21">
      <c r="A39" s="3225"/>
      <c r="B39" s="3256"/>
      <c r="C39" s="1700" t="str">
        <f>IF(D38&lt;1,"不存在土地闲置",IF(B35="宗地内已开工建设","已开工，不存在土地闲置","估价对象已涉嫌土地闲置"))</f>
        <v>不存在土地闲置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37" t="s">
        <v>1989</v>
      </c>
      <c r="T40" s="1734" t="str">
        <f>NUMBERSTRING(7-K40,1)&amp;"通"</f>
        <v>七通</v>
      </c>
      <c r="U40" s="1697"/>
    </row>
    <row r="41" spans="1:21" ht="28.5">
      <c r="A41" s="1666"/>
      <c r="B41" s="3229" t="s">
        <v>1723</v>
      </c>
      <c r="C41" s="3229"/>
      <c r="D41" s="3229"/>
      <c r="E41" s="3229"/>
      <c r="F41" s="1735" t="str">
        <f>C10</f>
        <v>陕西省西安市</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37"/>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2902</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19" sqref="A1:AU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33220.35</v>
      </c>
      <c r="B3" s="22">
        <f>IF(C3="否",G5-AT5,G5)</f>
        <v>166445.44999999998</v>
      </c>
      <c r="C3" s="23" t="s">
        <v>3018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171399.65</v>
      </c>
      <c r="H5" s="27">
        <f t="shared" ref="H5:AT5" si="0">SUM(H13:H641)</f>
        <v>162794.10999999999</v>
      </c>
      <c r="I5" s="27">
        <f t="shared" si="0"/>
        <v>88150.11</v>
      </c>
      <c r="J5" s="27">
        <f t="shared" si="0"/>
        <v>0</v>
      </c>
      <c r="K5" s="27">
        <f t="shared" si="0"/>
        <v>27443.54</v>
      </c>
      <c r="L5" s="27">
        <f t="shared" si="0"/>
        <v>0</v>
      </c>
      <c r="M5" s="27">
        <f t="shared" si="0"/>
        <v>47200.46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3651.34</v>
      </c>
      <c r="AD5" s="27">
        <f t="shared" si="0"/>
        <v>0</v>
      </c>
      <c r="AE5" s="27">
        <f t="shared" si="0"/>
        <v>0</v>
      </c>
      <c r="AF5" s="27">
        <f t="shared" si="0"/>
        <v>0</v>
      </c>
      <c r="AG5" s="27">
        <f t="shared" si="0"/>
        <v>0</v>
      </c>
      <c r="AH5" s="27">
        <f t="shared" si="0"/>
        <v>0</v>
      </c>
      <c r="AI5" s="27">
        <f t="shared" si="0"/>
        <v>0</v>
      </c>
      <c r="AJ5" s="27">
        <f t="shared" si="0"/>
        <v>0</v>
      </c>
      <c r="AK5" s="27">
        <f t="shared" si="0"/>
        <v>0</v>
      </c>
      <c r="AL5" s="27">
        <f t="shared" si="0"/>
        <v>350</v>
      </c>
      <c r="AM5" s="27">
        <f t="shared" si="0"/>
        <v>0</v>
      </c>
      <c r="AN5" s="27">
        <f t="shared" si="0"/>
        <v>3301.34</v>
      </c>
      <c r="AO5" s="27">
        <f t="shared" si="0"/>
        <v>0</v>
      </c>
      <c r="AP5" s="27">
        <f t="shared" si="0"/>
        <v>0</v>
      </c>
      <c r="AQ5" s="27">
        <f t="shared" si="0"/>
        <v>0</v>
      </c>
      <c r="AR5" s="27">
        <f t="shared" si="0"/>
        <v>0</v>
      </c>
      <c r="AS5" s="27">
        <f t="shared" si="0"/>
        <v>0</v>
      </c>
      <c r="AT5" s="27">
        <f t="shared" si="0"/>
        <v>4954.2</v>
      </c>
      <c r="AU5" s="991"/>
      <c r="AV5" s="26" t="s">
        <v>168</v>
      </c>
      <c r="AW5" s="992"/>
      <c r="AX5" s="992"/>
      <c r="AY5" s="28" t="s">
        <v>3</v>
      </c>
      <c r="AZ5" s="29">
        <f t="shared" ref="AZ5:BT5" si="1">SUM(AZ13:AZ641)</f>
        <v>166445.44999999998</v>
      </c>
      <c r="BA5" s="29">
        <f t="shared" si="1"/>
        <v>162794.10999999999</v>
      </c>
      <c r="BB5" s="29">
        <f t="shared" si="1"/>
        <v>88150.11</v>
      </c>
      <c r="BC5" s="29">
        <f t="shared" si="1"/>
        <v>27443.54</v>
      </c>
      <c r="BD5" s="29">
        <f t="shared" si="1"/>
        <v>47200.46</v>
      </c>
      <c r="BE5" s="29">
        <f t="shared" si="1"/>
        <v>0</v>
      </c>
      <c r="BF5" s="29">
        <f t="shared" si="1"/>
        <v>0</v>
      </c>
      <c r="BG5" s="29">
        <f t="shared" si="1"/>
        <v>0</v>
      </c>
      <c r="BH5" s="29">
        <f t="shared" si="1"/>
        <v>0</v>
      </c>
      <c r="BI5" s="29">
        <f t="shared" si="1"/>
        <v>0</v>
      </c>
      <c r="BJ5" s="29">
        <f t="shared" si="1"/>
        <v>0</v>
      </c>
      <c r="BK5" s="29">
        <f t="shared" si="1"/>
        <v>0</v>
      </c>
      <c r="BL5" s="29">
        <f t="shared" si="1"/>
        <v>3651.34</v>
      </c>
      <c r="BM5" s="29">
        <f t="shared" si="1"/>
        <v>0</v>
      </c>
      <c r="BN5" s="29">
        <f t="shared" si="1"/>
        <v>0</v>
      </c>
      <c r="BO5" s="29">
        <f t="shared" si="1"/>
        <v>0</v>
      </c>
      <c r="BP5" s="29">
        <f t="shared" si="1"/>
        <v>0</v>
      </c>
      <c r="BQ5" s="29">
        <f t="shared" si="1"/>
        <v>350</v>
      </c>
      <c r="BR5" s="29">
        <f t="shared" si="1"/>
        <v>3301.34</v>
      </c>
      <c r="BS5" s="29">
        <f t="shared" si="1"/>
        <v>0</v>
      </c>
      <c r="BT5" s="30">
        <f t="shared" si="1"/>
        <v>0</v>
      </c>
    </row>
    <row r="6" spans="1:72" s="37" customFormat="1" ht="12.75">
      <c r="A6" s="26" t="s">
        <v>169</v>
      </c>
      <c r="B6" s="31"/>
      <c r="C6" s="31"/>
      <c r="D6" s="32"/>
      <c r="E6" s="27">
        <f>H6+AC6+AT6</f>
        <v>33220.35</v>
      </c>
      <c r="F6" s="27" t="s">
        <v>1</v>
      </c>
      <c r="G6" s="27" t="s">
        <v>2</v>
      </c>
      <c r="H6" s="33">
        <f>SUMIF(I$12:AB$12,"总值",I6:AB6)</f>
        <v>32491.589999999997</v>
      </c>
      <c r="I6" s="27">
        <f t="shared" ref="I6:AB6" si="2">ROUND($A$3*I5/$B$3,2)</f>
        <v>17593.62</v>
      </c>
      <c r="J6" s="27">
        <f t="shared" si="2"/>
        <v>0</v>
      </c>
      <c r="K6" s="27">
        <f t="shared" si="2"/>
        <v>5477.37</v>
      </c>
      <c r="L6" s="27">
        <f t="shared" si="2"/>
        <v>0</v>
      </c>
      <c r="M6" s="27">
        <f t="shared" si="2"/>
        <v>9420.6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728.76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69.86</v>
      </c>
      <c r="AM6" s="27">
        <f t="shared" si="3"/>
        <v>0</v>
      </c>
      <c r="AN6" s="27">
        <f t="shared" si="3"/>
        <v>658.9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33220.35</v>
      </c>
      <c r="AZ6" s="27" t="s">
        <v>3</v>
      </c>
      <c r="BA6" s="27">
        <f>ROUND($AY$6*BA5/$AZ$5,2)</f>
        <v>32491.59</v>
      </c>
      <c r="BB6" s="27">
        <f>ROUND($AY$6*BB5/$AZ$5,2)</f>
        <v>17593.62</v>
      </c>
      <c r="BC6" s="27">
        <f t="shared" ref="BC6:BH6" si="4">ROUND($AY$6*BC5/$AZ$5,2)</f>
        <v>5477.37</v>
      </c>
      <c r="BD6" s="27">
        <f t="shared" si="4"/>
        <v>9420.6</v>
      </c>
      <c r="BE6" s="27">
        <f t="shared" si="4"/>
        <v>0</v>
      </c>
      <c r="BF6" s="27">
        <f t="shared" si="4"/>
        <v>0</v>
      </c>
      <c r="BG6" s="27">
        <f t="shared" si="4"/>
        <v>0</v>
      </c>
      <c r="BH6" s="27">
        <f t="shared" si="4"/>
        <v>0</v>
      </c>
      <c r="BI6" s="27">
        <f t="shared" ref="BI6:BT6" si="5">ROUND($AY$6*BI5/$AZ$5,2)</f>
        <v>0</v>
      </c>
      <c r="BJ6" s="27">
        <f t="shared" si="5"/>
        <v>0</v>
      </c>
      <c r="BK6" s="27">
        <f t="shared" si="5"/>
        <v>0</v>
      </c>
      <c r="BL6" s="27">
        <f t="shared" si="5"/>
        <v>728.76</v>
      </c>
      <c r="BM6" s="27">
        <f t="shared" si="5"/>
        <v>0</v>
      </c>
      <c r="BN6" s="27">
        <f t="shared" si="5"/>
        <v>0</v>
      </c>
      <c r="BO6" s="27">
        <f t="shared" si="5"/>
        <v>0</v>
      </c>
      <c r="BP6" s="27">
        <f t="shared" si="5"/>
        <v>0</v>
      </c>
      <c r="BQ6" s="27">
        <f t="shared" si="5"/>
        <v>69.86</v>
      </c>
      <c r="BR6" s="27">
        <f t="shared" si="5"/>
        <v>658.9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3011</v>
      </c>
      <c r="J9" s="51"/>
      <c r="K9" s="3049" t="s">
        <v>3011</v>
      </c>
      <c r="L9" s="51"/>
      <c r="M9" s="3049"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2987</v>
      </c>
      <c r="J10" s="51"/>
      <c r="K10" s="3051" t="s">
        <v>2987</v>
      </c>
      <c r="L10" s="51"/>
      <c r="M10" s="3051" t="s">
        <v>3014</v>
      </c>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3012</v>
      </c>
      <c r="J11" s="71"/>
      <c r="K11" s="3050" t="s">
        <v>3013</v>
      </c>
      <c r="L11" s="71"/>
      <c r="M11" s="70" t="s">
        <v>3003</v>
      </c>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t="str">
        <f>K11</f>
        <v>底商</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1679</v>
      </c>
      <c r="D13" s="3045" t="s">
        <v>1680</v>
      </c>
      <c r="E13" s="27">
        <f t="shared" ref="E13:E20" si="6">IF($C$3="是",ROUND($A$3*G13/$B$3,2),ROUND($A$3*(G13-AT13)/$B$3,2))</f>
        <v>17593.62</v>
      </c>
      <c r="F13" s="81"/>
      <c r="G13" s="82">
        <f t="shared" ref="G13:G20" si="7">H13+AC13+AT13</f>
        <v>88150.11</v>
      </c>
      <c r="H13" s="33">
        <f t="shared" ref="H13:H20" si="8">SUMIF(I$12:AB$12,"总值",I13:AB13)</f>
        <v>88150.11</v>
      </c>
      <c r="I13" s="3048">
        <f>面积表!B4</f>
        <v>88150.11</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办公</v>
      </c>
      <c r="AY13" s="999">
        <f t="shared" ref="AY13:AY20" si="11">ROUND($AY$6*AZ13/$AZ$5,2)</f>
        <v>17593.62</v>
      </c>
      <c r="AZ13" s="27">
        <f t="shared" ref="AZ13:AZ20" si="12">BA13+BL13</f>
        <v>88150.11</v>
      </c>
      <c r="BA13" s="27">
        <f t="shared" ref="BA13:BA20" si="13">SUM(BB13:BK13)</f>
        <v>88150.11</v>
      </c>
      <c r="BB13" s="27">
        <f t="shared" ref="BB13:BB20" si="14">IF($D13="是",I13-J13,0)</f>
        <v>88150.11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2987</v>
      </c>
      <c r="D14" s="3045" t="s">
        <v>1680</v>
      </c>
      <c r="E14" s="27">
        <f t="shared" si="6"/>
        <v>5477.37</v>
      </c>
      <c r="F14" s="81"/>
      <c r="G14" s="82">
        <f t="shared" si="7"/>
        <v>27443.54</v>
      </c>
      <c r="H14" s="33">
        <f t="shared" si="8"/>
        <v>27443.54</v>
      </c>
      <c r="I14" s="3048"/>
      <c r="J14" s="3048"/>
      <c r="K14" s="3048">
        <f>面积表!B5</f>
        <v>27443.54</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商业</v>
      </c>
      <c r="AY14" s="999">
        <f t="shared" si="11"/>
        <v>5477.37</v>
      </c>
      <c r="AZ14" s="27">
        <f t="shared" si="12"/>
        <v>27443.54</v>
      </c>
      <c r="BA14" s="27">
        <f t="shared" si="13"/>
        <v>27443.54</v>
      </c>
      <c r="BB14" s="27">
        <f t="shared" si="14"/>
        <v>0</v>
      </c>
      <c r="BC14" s="27">
        <f t="shared" si="15"/>
        <v>27443.54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2995</v>
      </c>
      <c r="D15" s="3045" t="s">
        <v>1680</v>
      </c>
      <c r="E15" s="27">
        <f t="shared" si="6"/>
        <v>69.86</v>
      </c>
      <c r="F15" s="81"/>
      <c r="G15" s="82">
        <f t="shared" si="7"/>
        <v>350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350</v>
      </c>
      <c r="AD15" s="3052"/>
      <c r="AE15" s="3052"/>
      <c r="AF15" s="3052"/>
      <c r="AG15" s="3052"/>
      <c r="AH15" s="3052"/>
      <c r="AI15" s="3052"/>
      <c r="AJ15" s="3052"/>
      <c r="AK15" s="3052"/>
      <c r="AL15" s="3052">
        <f>面积表!B6</f>
        <v>350</v>
      </c>
      <c r="AM15" s="3052"/>
      <c r="AN15" s="3052"/>
      <c r="AO15" s="3052"/>
      <c r="AP15" s="3052"/>
      <c r="AQ15" s="3052"/>
      <c r="AR15" s="3052"/>
      <c r="AS15" s="3052"/>
      <c r="AT15" s="3053"/>
      <c r="AU15" s="3054"/>
      <c r="AV15" s="17">
        <f t="shared" si="10"/>
        <v>0</v>
      </c>
      <c r="AW15" s="17">
        <f t="shared" si="10"/>
        <v>0</v>
      </c>
      <c r="AX15" s="17" t="str">
        <f t="shared" si="10"/>
        <v>物业</v>
      </c>
      <c r="AY15" s="999">
        <f t="shared" si="11"/>
        <v>69.86</v>
      </c>
      <c r="AZ15" s="27">
        <f t="shared" si="12"/>
        <v>350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350</v>
      </c>
      <c r="BM15" s="27">
        <f t="shared" si="25"/>
        <v>0</v>
      </c>
      <c r="BN15" s="27">
        <f t="shared" si="26"/>
        <v>0</v>
      </c>
      <c r="BO15" s="27">
        <f t="shared" si="27"/>
        <v>0</v>
      </c>
      <c r="BP15" s="27">
        <f t="shared" si="28"/>
        <v>0</v>
      </c>
      <c r="BQ15" s="27">
        <f t="shared" si="29"/>
        <v>350</v>
      </c>
      <c r="BR15" s="27">
        <f t="shared" si="30"/>
        <v>0</v>
      </c>
      <c r="BS15" s="27">
        <f t="shared" si="31"/>
        <v>0</v>
      </c>
      <c r="BT15" s="36">
        <f t="shared" si="32"/>
        <v>0</v>
      </c>
    </row>
    <row r="16" spans="1:72" s="18" customFormat="1" ht="12.75">
      <c r="A16" s="3044"/>
      <c r="B16" s="3044"/>
      <c r="C16" s="3046" t="s">
        <v>2999</v>
      </c>
      <c r="D16" s="3045" t="s">
        <v>1680</v>
      </c>
      <c r="E16" s="27">
        <f t="shared" si="6"/>
        <v>358.93</v>
      </c>
      <c r="F16" s="81"/>
      <c r="G16" s="82">
        <f t="shared" si="7"/>
        <v>1798.34</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1798.34</v>
      </c>
      <c r="AD16" s="3052"/>
      <c r="AE16" s="3052"/>
      <c r="AF16" s="3052"/>
      <c r="AG16" s="3052"/>
      <c r="AH16" s="3052"/>
      <c r="AI16" s="3052"/>
      <c r="AJ16" s="3052"/>
      <c r="AK16" s="3052"/>
      <c r="AL16" s="3052"/>
      <c r="AM16" s="3052"/>
      <c r="AN16" s="3052">
        <f>面积表!B9</f>
        <v>1798.34</v>
      </c>
      <c r="AO16" s="3052"/>
      <c r="AP16" s="3052"/>
      <c r="AQ16" s="3052"/>
      <c r="AR16" s="3052"/>
      <c r="AS16" s="3052"/>
      <c r="AT16" s="3053"/>
      <c r="AU16" s="3054"/>
      <c r="AV16" s="17">
        <f t="shared" si="10"/>
        <v>0</v>
      </c>
      <c r="AW16" s="17">
        <f t="shared" si="10"/>
        <v>0</v>
      </c>
      <c r="AX16" s="17" t="str">
        <f t="shared" si="10"/>
        <v>设备</v>
      </c>
      <c r="AY16" s="999">
        <f t="shared" si="11"/>
        <v>358.93</v>
      </c>
      <c r="AZ16" s="27">
        <f t="shared" si="12"/>
        <v>1798.34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1798.34</v>
      </c>
      <c r="BM16" s="27">
        <f t="shared" si="25"/>
        <v>0</v>
      </c>
      <c r="BN16" s="27">
        <f t="shared" si="26"/>
        <v>0</v>
      </c>
      <c r="BO16" s="27">
        <f t="shared" si="27"/>
        <v>0</v>
      </c>
      <c r="BP16" s="27">
        <f t="shared" si="28"/>
        <v>0</v>
      </c>
      <c r="BQ16" s="27">
        <f t="shared" si="29"/>
        <v>0</v>
      </c>
      <c r="BR16" s="27">
        <f t="shared" si="30"/>
        <v>1798.34</v>
      </c>
      <c r="BS16" s="27">
        <f t="shared" si="31"/>
        <v>0</v>
      </c>
      <c r="BT16" s="36">
        <f t="shared" si="32"/>
        <v>0</v>
      </c>
    </row>
    <row r="17" spans="1:72" s="18" customFormat="1" ht="12.75">
      <c r="A17" s="3044"/>
      <c r="B17" s="3044"/>
      <c r="C17" s="3046" t="s">
        <v>3001</v>
      </c>
      <c r="D17" s="3045" t="s">
        <v>3018</v>
      </c>
      <c r="E17" s="27">
        <f t="shared" si="6"/>
        <v>0</v>
      </c>
      <c r="F17" s="81"/>
      <c r="G17" s="82">
        <f t="shared" si="7"/>
        <v>4954.2</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f>面积表!B10</f>
        <v>4954.2</v>
      </c>
      <c r="AU17" s="3054"/>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t="s">
        <v>3003</v>
      </c>
      <c r="D18" s="3047" t="s">
        <v>1680</v>
      </c>
      <c r="E18" s="87">
        <f t="shared" si="6"/>
        <v>9420.6</v>
      </c>
      <c r="F18" s="88"/>
      <c r="G18" s="89">
        <f t="shared" si="7"/>
        <v>47200.46</v>
      </c>
      <c r="H18" s="90">
        <f t="shared" si="8"/>
        <v>47200.46</v>
      </c>
      <c r="I18" s="1398"/>
      <c r="J18" s="91"/>
      <c r="K18" s="1398"/>
      <c r="L18" s="91"/>
      <c r="M18" s="91">
        <f>面积表!B11</f>
        <v>47200.46</v>
      </c>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t="str">
        <f t="shared" si="10"/>
        <v>车库</v>
      </c>
      <c r="AY18" s="95">
        <f t="shared" si="11"/>
        <v>9420.6</v>
      </c>
      <c r="AZ18" s="87">
        <f t="shared" si="12"/>
        <v>47200.46</v>
      </c>
      <c r="BA18" s="87">
        <f t="shared" si="13"/>
        <v>47200.46</v>
      </c>
      <c r="BB18" s="87">
        <f t="shared" si="14"/>
        <v>0</v>
      </c>
      <c r="BC18" s="87">
        <f t="shared" si="15"/>
        <v>0</v>
      </c>
      <c r="BD18" s="87">
        <f t="shared" si="16"/>
        <v>47200.46</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t="s">
        <v>3005</v>
      </c>
      <c r="D19" s="80" t="s">
        <v>1680</v>
      </c>
      <c r="E19" s="87">
        <f t="shared" si="6"/>
        <v>299.98</v>
      </c>
      <c r="F19" s="88"/>
      <c r="G19" s="89">
        <f t="shared" si="7"/>
        <v>1503</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1503</v>
      </c>
      <c r="AD19" s="92"/>
      <c r="AE19" s="92"/>
      <c r="AF19" s="1398"/>
      <c r="AG19" s="92"/>
      <c r="AH19" s="92"/>
      <c r="AI19" s="92"/>
      <c r="AJ19" s="92"/>
      <c r="AK19" s="92"/>
      <c r="AL19" s="92"/>
      <c r="AM19" s="92"/>
      <c r="AN19" s="1398">
        <f>面积表!B12</f>
        <v>1503</v>
      </c>
      <c r="AO19" s="92"/>
      <c r="AP19" s="92"/>
      <c r="AQ19" s="92"/>
      <c r="AR19" s="92"/>
      <c r="AS19" s="92"/>
      <c r="AT19" s="93"/>
      <c r="AU19" s="94"/>
      <c r="AV19" s="995">
        <f t="shared" si="10"/>
        <v>0</v>
      </c>
      <c r="AW19" s="995">
        <f t="shared" si="10"/>
        <v>0</v>
      </c>
      <c r="AX19" s="995" t="str">
        <f t="shared" si="10"/>
        <v>非机动车</v>
      </c>
      <c r="AY19" s="95">
        <f t="shared" si="11"/>
        <v>299.98</v>
      </c>
      <c r="AZ19" s="87">
        <f t="shared" si="12"/>
        <v>1503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1503</v>
      </c>
      <c r="BM19" s="87">
        <f t="shared" si="25"/>
        <v>0</v>
      </c>
      <c r="BN19" s="87">
        <f t="shared" si="26"/>
        <v>0</v>
      </c>
      <c r="BO19" s="87">
        <f t="shared" si="27"/>
        <v>0</v>
      </c>
      <c r="BP19" s="87">
        <f t="shared" si="28"/>
        <v>0</v>
      </c>
      <c r="BQ19" s="87">
        <f t="shared" si="29"/>
        <v>0</v>
      </c>
      <c r="BR19" s="87">
        <f t="shared" si="30"/>
        <v>1503</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A4" zoomScale="90" zoomScaleNormal="90" zoomScaleSheetLayoutView="90" workbookViewId="0">
      <selection activeCell="F27" sqref="F27"/>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6" t="s">
        <v>203</v>
      </c>
      <c r="B2" s="3276"/>
      <c r="C2" s="3276"/>
      <c r="D2" s="1979" t="s">
        <v>204</v>
      </c>
      <c r="E2" s="106" t="s">
        <v>205</v>
      </c>
      <c r="F2" s="1988"/>
      <c r="G2" s="1201"/>
      <c r="H2" s="1202"/>
      <c r="I2" s="1203" t="s">
        <v>858</v>
      </c>
      <c r="J2" s="1988"/>
      <c r="K2" s="1988"/>
      <c r="L2" s="1988"/>
    </row>
    <row r="3" spans="1:16" ht="15.75" thickBot="1">
      <c r="A3" s="3277" t="s">
        <v>206</v>
      </c>
      <c r="B3" s="3277"/>
      <c r="C3" s="3277"/>
      <c r="D3" s="107">
        <f>'数据-基础表'!AY6</f>
        <v>33220.35</v>
      </c>
      <c r="E3" s="107">
        <f>'数据-基础表'!AZ5</f>
        <v>166445.44999999998</v>
      </c>
      <c r="F3" s="1988"/>
      <c r="G3" s="280" t="s">
        <v>859</v>
      </c>
      <c r="H3" s="275" t="s">
        <v>860</v>
      </c>
      <c r="I3" s="1980">
        <f>ROUND('数据-基础表'!B3/'数据-基础表'!A3,2)</f>
        <v>5.01</v>
      </c>
      <c r="J3" s="1988"/>
      <c r="K3" s="1988"/>
      <c r="L3" s="1988"/>
    </row>
    <row r="4" spans="1:16" ht="15">
      <c r="A4" s="3278"/>
      <c r="B4" s="3279"/>
      <c r="C4" s="3280"/>
      <c r="D4" s="108" t="s">
        <v>204</v>
      </c>
      <c r="E4" s="109" t="s">
        <v>205</v>
      </c>
      <c r="F4" s="1988"/>
      <c r="G4" s="1204"/>
      <c r="H4" s="275" t="s">
        <v>861</v>
      </c>
      <c r="I4" s="1980">
        <f>ROUND(SUMIF('数据-基础表'!I9:AS9,"地上",'数据-基础表'!I5:AS5)/'数据-基础表'!A3,2)</f>
        <v>3.49</v>
      </c>
      <c r="J4" s="1988"/>
      <c r="K4" s="1988"/>
      <c r="L4" s="1988"/>
    </row>
    <row r="5" spans="1:16">
      <c r="A5" s="110" t="s">
        <v>207</v>
      </c>
      <c r="B5" s="3281" t="s">
        <v>230</v>
      </c>
      <c r="C5" s="3281"/>
      <c r="D5" s="111">
        <f>ROUND($D$3*E5/$E$3,2)</f>
        <v>0</v>
      </c>
      <c r="E5" s="112">
        <f>SUMIF('数据-基础表'!$11:$11,"住宅",'数据-基础表'!$5:$5)</f>
        <v>0</v>
      </c>
      <c r="F5" s="1988"/>
      <c r="G5" s="280" t="s">
        <v>862</v>
      </c>
      <c r="H5" s="275" t="s">
        <v>860</v>
      </c>
      <c r="I5" s="1980">
        <f>ROUND(E31/D31,2)</f>
        <v>5.01</v>
      </c>
      <c r="J5" s="1988"/>
      <c r="K5" s="1988"/>
      <c r="L5" s="1988"/>
    </row>
    <row r="6" spans="1:16" ht="15" thickBot="1">
      <c r="A6" s="113"/>
      <c r="B6" s="3281" t="s">
        <v>208</v>
      </c>
      <c r="C6" s="3281"/>
      <c r="D6" s="111">
        <f>ROUND($D$3*E6/$E$3,2)</f>
        <v>33220.35</v>
      </c>
      <c r="E6" s="112">
        <f>E3-E5</f>
        <v>166445.44999999998</v>
      </c>
      <c r="F6" s="1988"/>
      <c r="G6" s="1204"/>
      <c r="H6" s="275" t="s">
        <v>861</v>
      </c>
      <c r="I6" s="1980">
        <f>ROUND(F31/D31,2)</f>
        <v>3.49</v>
      </c>
      <c r="J6" s="1988"/>
      <c r="K6" s="1988"/>
      <c r="L6" s="1988"/>
    </row>
    <row r="7" spans="1:16" ht="15">
      <c r="A7" s="3273"/>
      <c r="B7" s="3274"/>
      <c r="C7" s="3275"/>
      <c r="D7" s="108" t="s">
        <v>204</v>
      </c>
      <c r="E7" s="114" t="s">
        <v>231</v>
      </c>
      <c r="F7" s="1988"/>
      <c r="G7" s="1159" t="s">
        <v>1647</v>
      </c>
      <c r="H7" s="1160"/>
      <c r="I7" s="1850">
        <f>I6</f>
        <v>3.49</v>
      </c>
      <c r="J7" s="1988"/>
      <c r="K7" s="1988"/>
      <c r="L7" s="1988"/>
    </row>
    <row r="8" spans="1:16">
      <c r="A8" s="110" t="s">
        <v>209</v>
      </c>
      <c r="B8" s="115" t="s">
        <v>210</v>
      </c>
      <c r="C8" s="111" t="s">
        <v>211</v>
      </c>
      <c r="D8" s="111">
        <f t="shared" ref="D8:D15" si="0">ROUND($D$3*E8/$E$3,2)</f>
        <v>23070.99</v>
      </c>
      <c r="E8" s="116">
        <f>SUMIF('数据-基础表'!BB10:BK10,"地上",'数据-基础表'!BB5:BK5)</f>
        <v>115593.65</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9420.6</v>
      </c>
      <c r="E14" s="116">
        <f>SUMPRODUCT(('数据-基础表'!BB10:BK10="地下")*('数据-基础表'!BB11:BK11="车库—商业")*('数据-基础表'!BB5:BK5))</f>
        <v>47200.46</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32491.590000000004</v>
      </c>
      <c r="E16" s="120">
        <f>SUM(E8:E15)</f>
        <v>162794.10999999999</v>
      </c>
      <c r="F16" s="1988"/>
      <c r="G16" s="1990"/>
      <c r="H16" s="971" t="s">
        <v>219</v>
      </c>
      <c r="I16" s="972"/>
      <c r="J16" s="1988"/>
      <c r="K16" s="3267" t="s">
        <v>2573</v>
      </c>
      <c r="L16" s="3268"/>
      <c r="M16" s="3268"/>
      <c r="N16" s="3268"/>
      <c r="O16" s="3268"/>
      <c r="P16" s="3269"/>
    </row>
    <row r="17" spans="1:19" ht="15">
      <c r="A17" s="121" t="s">
        <v>216</v>
      </c>
      <c r="B17" s="122" t="s">
        <v>217</v>
      </c>
      <c r="C17" s="2302" t="s">
        <v>2317</v>
      </c>
      <c r="D17" s="108" t="s">
        <v>204</v>
      </c>
      <c r="E17" s="124" t="s">
        <v>205</v>
      </c>
      <c r="F17" s="125"/>
      <c r="G17" s="1369"/>
      <c r="H17" s="973" t="s">
        <v>218</v>
      </c>
      <c r="I17" s="974" t="s">
        <v>2316</v>
      </c>
      <c r="J17" s="1988"/>
      <c r="K17" s="3270" t="s">
        <v>2574</v>
      </c>
      <c r="L17" s="3271"/>
      <c r="M17" s="3272"/>
      <c r="N17" s="3270" t="s">
        <v>2575</v>
      </c>
      <c r="O17" s="3271"/>
      <c r="P17" s="3272"/>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5" t="s">
        <v>3015</v>
      </c>
      <c r="D19" s="111">
        <f t="shared" ref="D19:D26" si="1">ROUND($D$3*E19/$E$3,2)</f>
        <v>17593.62</v>
      </c>
      <c r="E19" s="134">
        <f t="shared" ref="E19:E26" si="2">SUM(F19:G19)</f>
        <v>88150.11</v>
      </c>
      <c r="F19" s="135">
        <f>'数据-基础表'!I13</f>
        <v>88150.11</v>
      </c>
      <c r="G19" s="1371"/>
      <c r="H19" s="977">
        <f>ROUND($D$3*I19/$E$3,2)</f>
        <v>394.61</v>
      </c>
      <c r="I19" s="116">
        <f>IF($I$17="自定义",P19,M19)</f>
        <v>1977.14</v>
      </c>
      <c r="J19" s="1988"/>
      <c r="K19" s="2636">
        <f t="shared" ref="K19:K26" si="3">ROUND(E$28*E19/E$27,2)</f>
        <v>1977.14</v>
      </c>
      <c r="L19" s="275">
        <f t="shared" ref="L19:L26" si="4">ROUND(IF(COUNTIF(C19,"*住宅*")&gt;0,E$29*E19/E$32,0),2)</f>
        <v>0</v>
      </c>
      <c r="M19" s="2637">
        <f>K19+L19</f>
        <v>1977.14</v>
      </c>
      <c r="N19" s="2638"/>
      <c r="O19" s="2639"/>
      <c r="P19" s="2640">
        <f>N19+O19</f>
        <v>0</v>
      </c>
      <c r="R19" s="275">
        <f t="shared" ref="R19:S26" si="5">D19+H19</f>
        <v>17988.23</v>
      </c>
      <c r="S19" s="2305">
        <f t="shared" si="5"/>
        <v>90127.25</v>
      </c>
    </row>
    <row r="20" spans="1:19">
      <c r="A20" s="138"/>
      <c r="B20" s="115" t="s">
        <v>226</v>
      </c>
      <c r="C20" s="3055" t="s">
        <v>3016</v>
      </c>
      <c r="D20" s="111">
        <f t="shared" si="1"/>
        <v>5477.37</v>
      </c>
      <c r="E20" s="134">
        <f t="shared" si="2"/>
        <v>27443.54</v>
      </c>
      <c r="F20" s="135">
        <f>'数据-基础表'!K14</f>
        <v>27443.54</v>
      </c>
      <c r="G20" s="1371"/>
      <c r="H20" s="977">
        <f t="shared" ref="H20:H26" si="6">ROUND($D$3*I20/$E$3,2)</f>
        <v>122.85</v>
      </c>
      <c r="I20" s="116">
        <f t="shared" ref="I20:I26" si="7">IF($I$17="自定义",P20,M20)</f>
        <v>615.54</v>
      </c>
      <c r="J20" s="1988"/>
      <c r="K20" s="2636">
        <f t="shared" si="3"/>
        <v>615.54</v>
      </c>
      <c r="L20" s="275">
        <f t="shared" si="4"/>
        <v>0</v>
      </c>
      <c r="M20" s="2637">
        <f t="shared" ref="M20:M26" si="8">K20+L20</f>
        <v>615.54</v>
      </c>
      <c r="N20" s="2638"/>
      <c r="O20" s="2639"/>
      <c r="P20" s="2640">
        <f t="shared" ref="P20:P26" si="9">N20+O20</f>
        <v>0</v>
      </c>
      <c r="R20" s="275">
        <f t="shared" si="5"/>
        <v>5600.22</v>
      </c>
      <c r="S20" s="2305">
        <f t="shared" si="5"/>
        <v>28059.08</v>
      </c>
    </row>
    <row r="21" spans="1:19">
      <c r="A21" s="138"/>
      <c r="B21" s="115" t="s">
        <v>226</v>
      </c>
      <c r="C21" s="3055" t="s">
        <v>3017</v>
      </c>
      <c r="D21" s="111">
        <f t="shared" si="1"/>
        <v>9420.6</v>
      </c>
      <c r="E21" s="134">
        <f t="shared" si="2"/>
        <v>47200.46</v>
      </c>
      <c r="F21" s="135"/>
      <c r="G21" s="1371">
        <f>'数据-基础表'!M18</f>
        <v>47200.46</v>
      </c>
      <c r="H21" s="977">
        <f t="shared" si="6"/>
        <v>211.3</v>
      </c>
      <c r="I21" s="116">
        <f t="shared" si="7"/>
        <v>1058.67</v>
      </c>
      <c r="J21" s="1988"/>
      <c r="K21" s="2636">
        <f t="shared" si="3"/>
        <v>1058.67</v>
      </c>
      <c r="L21" s="275">
        <f t="shared" si="4"/>
        <v>0</v>
      </c>
      <c r="M21" s="2637">
        <f t="shared" si="8"/>
        <v>1058.67</v>
      </c>
      <c r="N21" s="2638"/>
      <c r="O21" s="2639"/>
      <c r="P21" s="2640">
        <f t="shared" si="9"/>
        <v>0</v>
      </c>
      <c r="R21" s="275">
        <f t="shared" si="5"/>
        <v>9631.9</v>
      </c>
      <c r="S21" s="2305">
        <f t="shared" si="5"/>
        <v>48259.13</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32491.589999999997</v>
      </c>
      <c r="E27" s="143">
        <f>IF(SUM(E19:E26)='数据-基础表'!BA5,SUM(E19:E26),IF(F27="地上面积有误","面积有误","地下面积有误"))</f>
        <v>162794.10999999999</v>
      </c>
      <c r="F27" s="134">
        <f>IF(SUM(F19:F26)=E8,SUM(F19:F26),"地上面积有误")</f>
        <v>115593.65</v>
      </c>
      <c r="G27" s="112">
        <f>SUM(G19:G26)</f>
        <v>47200.46</v>
      </c>
      <c r="H27" s="978">
        <f>SUM(H19:H26)</f>
        <v>728.76</v>
      </c>
      <c r="I27" s="979">
        <f>SUM(I19:I26)</f>
        <v>3651.3500000000004</v>
      </c>
      <c r="J27" s="1988"/>
      <c r="K27" s="2645">
        <f>SUM(K19:K26)</f>
        <v>3651.3500000000004</v>
      </c>
      <c r="L27" s="2646">
        <f>SUM(L19:L26)</f>
        <v>0</v>
      </c>
      <c r="M27" s="2647">
        <f>SUM(M19:M26)</f>
        <v>3651.3500000000004</v>
      </c>
      <c r="N27" s="2645">
        <f t="shared" ref="N27:O27" si="10">SUM(N19:N26)</f>
        <v>0</v>
      </c>
      <c r="O27" s="2646">
        <f t="shared" si="10"/>
        <v>0</v>
      </c>
      <c r="P27" s="2648">
        <f>SUM(P19:P26)</f>
        <v>0</v>
      </c>
      <c r="R27" s="2309">
        <f>IF(SUM(R19:R26)=$D$3,SUM(R19:R26),SUM(R19:R26)&amp;"误差"&amp;ROUND(SUM(R19:R26)-$D$3,2))</f>
        <v>33220.35</v>
      </c>
      <c r="S27" s="275" t="str">
        <f>IF(SUM(S19:S26)=$E$3,SUM(S19:S26),SUM(S19:S26)&amp;"误差"&amp;ROUND(SUM(S19:S26)-E3,2))</f>
        <v>166445.46误差0.01</v>
      </c>
    </row>
    <row r="28" spans="1:19">
      <c r="A28" s="138"/>
      <c r="B28" s="115" t="s">
        <v>227</v>
      </c>
      <c r="C28" s="136" t="s">
        <v>228</v>
      </c>
      <c r="D28" s="111">
        <f>ROUND($D$3*E28/$E$3,2)</f>
        <v>728.76</v>
      </c>
      <c r="E28" s="134">
        <f>SUM(F28:G28)</f>
        <v>3651.34</v>
      </c>
      <c r="F28" s="144">
        <f>'数据-基础表'!BQ5+'数据-基础表'!BS5</f>
        <v>350</v>
      </c>
      <c r="G28" s="145">
        <f>'数据-基础表'!BR5+'数据-基础表'!BT5</f>
        <v>3301.34</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728.76</v>
      </c>
      <c r="E30" s="134">
        <f>SUM(E28:E29)</f>
        <v>3651.34</v>
      </c>
      <c r="F30" s="134">
        <f>SUM(F28:F29)</f>
        <v>350</v>
      </c>
      <c r="G30" s="112">
        <f>SUM(G28:G29)</f>
        <v>3301.34</v>
      </c>
      <c r="H30" s="1988"/>
      <c r="I30" s="1988"/>
      <c r="J30" s="1988"/>
      <c r="K30" s="1988"/>
      <c r="L30" s="1988"/>
    </row>
    <row r="31" spans="1:19" ht="32.25" customHeight="1" thickBot="1">
      <c r="A31" s="1373"/>
      <c r="B31" s="1374" t="s">
        <v>229</v>
      </c>
      <c r="C31" s="2334" t="s">
        <v>2326</v>
      </c>
      <c r="D31" s="1375">
        <f>D27+D30</f>
        <v>33220.35</v>
      </c>
      <c r="E31" s="1375">
        <f>E27+E30</f>
        <v>166445.44999999998</v>
      </c>
      <c r="F31" s="1376">
        <f>F27+F30</f>
        <v>115943.65</v>
      </c>
      <c r="G31" s="1377">
        <f>G27+G30</f>
        <v>50501.8</v>
      </c>
      <c r="H31" s="1988"/>
      <c r="I31" s="1988"/>
      <c r="J31" s="1988"/>
      <c r="K31" s="1988"/>
      <c r="L31" s="1988"/>
    </row>
    <row r="32" spans="1:19">
      <c r="A32" s="1988"/>
      <c r="B32" s="2367" t="s">
        <v>2325</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43020</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40.5">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办公</v>
      </c>
      <c r="B6" s="2341" t="str">
        <f>IF(A6=0,"","经营性")</f>
        <v>经营性</v>
      </c>
      <c r="C6" s="173" t="s">
        <v>2987</v>
      </c>
      <c r="D6" s="2312">
        <f>SUMIF(项目基本情况!D$15:I$15,C6,项目基本情况!D$18:I$18)</f>
        <v>40</v>
      </c>
      <c r="E6" s="2313">
        <f>IF(B6="","",SUMIF(项目基本情况!D$15:I$15,C6,项目基本情况!D$17:I$17))</f>
        <v>57465</v>
      </c>
      <c r="F6" s="174">
        <f>SUMIF(项目基本情况!D$15:I$15,C6,项目基本情况!D$19:I$19)</f>
        <v>39.57</v>
      </c>
      <c r="G6" s="175">
        <f>IF(ISERROR(ROUND(POWER(1+H6,D6-F6)*(POWER(1+H6,F6)-1)/(POWER(1+H6,D6)-1),3)),0,ROUND(POWER(1+H6,D6-F6)*(POWER(1+H6,F6)-1)/(POWER(1+H6,D6)-1),3))</f>
        <v>0.996</v>
      </c>
      <c r="H6" s="3056">
        <v>4.4999999999999998E-2</v>
      </c>
      <c r="I6" s="3056">
        <v>5.5E-2</v>
      </c>
      <c r="J6" s="176">
        <v>8.5000000000000006E-2</v>
      </c>
      <c r="K6" s="179">
        <f>SUMIF('数据-汇总表'!C$19:C$33,'数据-取费表'!A6,'数据-汇总表'!E$19:E$33)</f>
        <v>88150.11</v>
      </c>
      <c r="L6" s="3057">
        <v>3500</v>
      </c>
      <c r="M6" s="177">
        <f t="shared" ref="M6:M14" si="0">ROUND(K6*L6/10000,0)</f>
        <v>30853</v>
      </c>
      <c r="N6" s="3058">
        <v>0</v>
      </c>
      <c r="O6" s="177">
        <f>IF($N$5="成新度","——",ROUND(M6*N6,0))</f>
        <v>0</v>
      </c>
      <c r="P6" s="178">
        <f>IF($N$5="成新度","——",M6-O6)</f>
        <v>30853</v>
      </c>
      <c r="Q6" s="3059">
        <v>0.15</v>
      </c>
      <c r="R6" s="179">
        <f>SUMIF('数据-汇总表'!C$19:C$33,A6,'数据-汇总表'!R$19:R$33)</f>
        <v>17988.23</v>
      </c>
      <c r="S6" s="132">
        <f>IF('数据-汇总表'!$I$17="按面积比例",SUMIF('数据-汇总表'!C$19:C$33,A6,'数据-汇总表'!K$19:K$33),SUMIF('数据-汇总表'!C$19:C$33,A6,'数据-汇总表'!N$19:N$33))</f>
        <v>1977.14</v>
      </c>
      <c r="T6" s="2238">
        <f>IF($T$4="按面积比例",IF(ISERROR(ROUND($M$14*S6/S$16,0)),"0",ROUND($M$14*S6/S$16,0)),"需自行计算录入")</f>
        <v>494</v>
      </c>
      <c r="U6" s="180"/>
      <c r="V6" s="181"/>
      <c r="W6" s="181"/>
      <c r="X6" s="2325"/>
      <c r="Y6" s="182">
        <v>1</v>
      </c>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0.82499999999999996</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5">
      <c r="A7" s="2306" t="str">
        <f>'数据-汇总表'!C20</f>
        <v>商业</v>
      </c>
      <c r="B7" s="2341" t="str">
        <f t="shared" ref="B7:B13" si="1">IF(A7=0,"","经营性")</f>
        <v>经营性</v>
      </c>
      <c r="C7" s="173" t="s">
        <v>2987</v>
      </c>
      <c r="D7" s="2312">
        <f>SUMIF(项目基本情况!D$15:I$15,C7,项目基本情况!D$18:I$18)</f>
        <v>40</v>
      </c>
      <c r="E7" s="2313">
        <f>IF(B7="","",SUMIF(项目基本情况!D$15:I$15,C7,项目基本情况!D$17:I$17))</f>
        <v>57465</v>
      </c>
      <c r="F7" s="174">
        <f>SUMIF(项目基本情况!D$15:I$15,C7,项目基本情况!D$19:I$19)</f>
        <v>39.57</v>
      </c>
      <c r="G7" s="175">
        <f t="shared" ref="G7:G11" si="2">IF(ISERROR(ROUND(POWER(1+H7,D7-F7)*(POWER(1+H7,F7)-1)/(POWER(1+H7,D7)-1),3)),0,ROUND(POWER(1+H7,D7-F7)*(POWER(1+H7,F7)-1)/(POWER(1+H7,D7)-1),3))</f>
        <v>0.996</v>
      </c>
      <c r="H7" s="3056">
        <v>4.4999999999999998E-2</v>
      </c>
      <c r="I7" s="3056">
        <v>5.5E-2</v>
      </c>
      <c r="J7" s="176">
        <v>8.5000000000000006E-2</v>
      </c>
      <c r="K7" s="179">
        <f>SUMIF('数据-汇总表'!C$19:C$33,'数据-取费表'!A7,'数据-汇总表'!E$19:E$33)</f>
        <v>27443.54</v>
      </c>
      <c r="L7" s="3057">
        <v>3500</v>
      </c>
      <c r="M7" s="177">
        <f t="shared" si="0"/>
        <v>9605</v>
      </c>
      <c r="N7" s="3058">
        <v>0</v>
      </c>
      <c r="O7" s="177">
        <f t="shared" ref="O7:O14" si="3">IF($N$5="成新度","——",ROUND(M7*N7,0))</f>
        <v>0</v>
      </c>
      <c r="P7" s="178">
        <f t="shared" ref="P7:P14" si="4">IF($N$5="成新度","——",M7-O7)</f>
        <v>9605</v>
      </c>
      <c r="Q7" s="3059">
        <v>0.2</v>
      </c>
      <c r="R7" s="179">
        <f>SUMIF('数据-汇总表'!C$19:C$33,A7,'数据-汇总表'!R$19:R$33)</f>
        <v>5600.22</v>
      </c>
      <c r="S7" s="132">
        <f>IF('数据-汇总表'!$I$17="按面积比例",SUMIF('数据-汇总表'!C$19:C$33,A7,'数据-汇总表'!K$19:K$33),SUMIF('数据-汇总表'!C$19:C$33,A7,'数据-汇总表'!N$19:N$33))</f>
        <v>615.54</v>
      </c>
      <c r="T7" s="2238">
        <f t="shared" ref="T7:T13" si="5">IF($T$4="按面积比例",IF(ISERROR(ROUND($M$14*S7/S$16,0)),"0",ROUND($M$14*S7/S$16,0)),"需自行计算录入")</f>
        <v>154</v>
      </c>
      <c r="U7" s="180">
        <v>2.2000000000000002</v>
      </c>
      <c r="V7" s="181">
        <v>0.03</v>
      </c>
      <c r="W7" s="181">
        <v>0.15</v>
      </c>
      <c r="X7" s="2325"/>
      <c r="Y7" s="182">
        <v>1</v>
      </c>
      <c r="Z7" s="183"/>
      <c r="AA7" s="176"/>
      <c r="AB7" s="176"/>
      <c r="AC7" s="2328"/>
      <c r="AD7" s="184"/>
      <c r="AE7" s="975">
        <f t="shared" ref="AE7:AE13" ca="1" si="6">IF(AN7="",0,SUMIF(INDIRECT("'"&amp;AN7&amp;"'"&amp;"!E:E"),$AE$5,INDIRECT("'"&amp;AN7&amp;"'"&amp;"!F:F")))</f>
        <v>37.57</v>
      </c>
      <c r="AF7" s="141"/>
      <c r="AG7" s="1216">
        <f t="shared" ref="AG7:AG13" si="7">IF(AF7="",0,AE7-AF7)</f>
        <v>0</v>
      </c>
      <c r="AH7" s="141"/>
      <c r="AI7" s="187">
        <v>365</v>
      </c>
      <c r="AJ7" s="188"/>
      <c r="AK7" s="3190">
        <v>1.4999999999999999E-2</v>
      </c>
      <c r="AL7" s="3191">
        <v>2E-3</v>
      </c>
      <c r="AM7" s="3192">
        <v>0.02</v>
      </c>
      <c r="AN7" s="2420" t="s">
        <v>3021</v>
      </c>
      <c r="AO7" s="2004"/>
      <c r="AP7" s="1207">
        <f t="shared" ref="AP7:AP13" si="8">ROUND(1-1/(1+H7)^F7,3)</f>
        <v>0.82499999999999996</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5">
      <c r="A8" s="2306" t="str">
        <f>'数据-汇总表'!C21</f>
        <v>车库</v>
      </c>
      <c r="B8" s="2341" t="str">
        <f t="shared" si="1"/>
        <v>经营性</v>
      </c>
      <c r="C8" s="173" t="s">
        <v>2987</v>
      </c>
      <c r="D8" s="2312">
        <f>SUMIF(项目基本情况!D$15:I$15,C8,项目基本情况!D$18:I$18)</f>
        <v>40</v>
      </c>
      <c r="E8" s="2313">
        <f>IF(B8="","",SUMIF(项目基本情况!D$15:I$15,C8,项目基本情况!D$17:I$17))</f>
        <v>57465</v>
      </c>
      <c r="F8" s="174">
        <f>SUMIF(项目基本情况!D$15:I$15,C8,项目基本情况!D$19:I$19)</f>
        <v>39.57</v>
      </c>
      <c r="G8" s="175">
        <f t="shared" si="2"/>
        <v>0.996</v>
      </c>
      <c r="H8" s="3056">
        <v>4.4999999999999998E-2</v>
      </c>
      <c r="I8" s="3183">
        <v>0.05</v>
      </c>
      <c r="J8" s="176">
        <v>8.5000000000000006E-2</v>
      </c>
      <c r="K8" s="179">
        <f>SUMIF('数据-汇总表'!C$19:C$33,'数据-取费表'!A8,'数据-汇总表'!E$19:E$33)</f>
        <v>47200.46</v>
      </c>
      <c r="L8" s="3057">
        <v>3000</v>
      </c>
      <c r="M8" s="177">
        <f>ROUND(K8*L8/10000,0)</f>
        <v>14160</v>
      </c>
      <c r="N8" s="3058">
        <v>0</v>
      </c>
      <c r="O8" s="177">
        <f t="shared" si="3"/>
        <v>0</v>
      </c>
      <c r="P8" s="178">
        <f t="shared" si="4"/>
        <v>14160</v>
      </c>
      <c r="Q8" s="3059">
        <v>0.03</v>
      </c>
      <c r="R8" s="179">
        <f>SUMIF('数据-汇总表'!C$19:C$33,A8,'数据-汇总表'!R$19:R$33)</f>
        <v>9631.9</v>
      </c>
      <c r="S8" s="132">
        <f>IF('数据-汇总表'!$I$17="按面积比例",SUMIF('数据-汇总表'!C$19:C$33,A8,'数据-汇总表'!K$19:K$33),SUMIF('数据-汇总表'!C$19:C$33,A8,'数据-汇总表'!N$19:N$33))</f>
        <v>1058.67</v>
      </c>
      <c r="T8" s="2238">
        <f t="shared" si="5"/>
        <v>265</v>
      </c>
      <c r="U8" s="180">
        <v>600</v>
      </c>
      <c r="V8" s="181">
        <v>0.02</v>
      </c>
      <c r="W8" s="181">
        <v>0.1</v>
      </c>
      <c r="X8" s="2325"/>
      <c r="Y8" s="182">
        <v>1</v>
      </c>
      <c r="Z8" s="183"/>
      <c r="AA8" s="176"/>
      <c r="AB8" s="176"/>
      <c r="AC8" s="2328"/>
      <c r="AD8" s="184"/>
      <c r="AE8" s="975">
        <f t="shared" ca="1" si="6"/>
        <v>37.57</v>
      </c>
      <c r="AF8" s="141"/>
      <c r="AG8" s="1216">
        <f t="shared" si="7"/>
        <v>0</v>
      </c>
      <c r="AH8" s="3182">
        <f>面积表!C11-30</f>
        <v>1510</v>
      </c>
      <c r="AI8" s="187">
        <v>12</v>
      </c>
      <c r="AJ8" s="188"/>
      <c r="AK8" s="3190">
        <v>1.4999999999999999E-2</v>
      </c>
      <c r="AL8" s="3191">
        <v>2E-3</v>
      </c>
      <c r="AM8" s="3192">
        <v>0.02</v>
      </c>
      <c r="AN8" s="2420" t="s">
        <v>3026</v>
      </c>
      <c r="AO8" s="2004"/>
      <c r="AP8" s="1207">
        <f t="shared" si="8"/>
        <v>0.82499999999999996</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2318</v>
      </c>
      <c r="B14" s="2310" t="s">
        <v>1681</v>
      </c>
      <c r="C14" s="2311" t="s">
        <v>2318</v>
      </c>
      <c r="D14" s="2312"/>
      <c r="E14" s="2313"/>
      <c r="F14" s="174"/>
      <c r="G14" s="175"/>
      <c r="H14" s="2314"/>
      <c r="I14" s="2314"/>
      <c r="J14" s="2314"/>
      <c r="K14" s="179">
        <f>SUMIF('数据-汇总表'!C$19:C$33,'数据-取费表'!A14,'数据-汇总表'!E$19:E$33)</f>
        <v>3651.34</v>
      </c>
      <c r="L14" s="193">
        <v>2500</v>
      </c>
      <c r="M14" s="177">
        <f t="shared" si="0"/>
        <v>913</v>
      </c>
      <c r="N14" s="194">
        <v>0</v>
      </c>
      <c r="O14" s="177">
        <f t="shared" si="3"/>
        <v>0</v>
      </c>
      <c r="P14" s="178">
        <f t="shared" si="4"/>
        <v>913</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166445.44999999998</v>
      </c>
      <c r="L16" s="206">
        <f>ROUND(M16*10000/SUM(K6:K14),0)</f>
        <v>3336</v>
      </c>
      <c r="M16" s="206">
        <f>SUM(M6:M14)</f>
        <v>55531</v>
      </c>
      <c r="N16" s="207">
        <f>ROUND(SUMPRODUCT(M6:M14,N6:N14)/M16,3)</f>
        <v>0</v>
      </c>
      <c r="O16" s="206">
        <f>SUM(O6:O14)</f>
        <v>0</v>
      </c>
      <c r="P16" s="206">
        <f>SUM(P6:P14)</f>
        <v>55531</v>
      </c>
      <c r="Q16" s="208">
        <f>ROUND(SUMPRODUCT(Q6:Q13,K6:K13)/SUMPRODUCT((Q6:Q13&gt;0)*(K6:K13)),2)</f>
        <v>0.12</v>
      </c>
      <c r="R16" s="2315">
        <f>SUM(R6:R13)</f>
        <v>33220.35</v>
      </c>
      <c r="S16" s="209">
        <f>SUM(S6:S13)</f>
        <v>3651.3500000000004</v>
      </c>
      <c r="T16" s="210">
        <f>IF(SUMIF(T6:T13,"&lt;9E307")=M14,SUMIF(T6:T13,"&lt;9E307"),"有误，请检查")</f>
        <v>913</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0.82499999999999996</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2339</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150</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150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v>0</v>
      </c>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100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v>
      </c>
      <c r="C34" s="2369" t="s">
        <v>2904</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1">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6"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16</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3019</v>
      </c>
      <c r="C53" s="3107" t="s">
        <v>2914</v>
      </c>
      <c r="D53" s="3108"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3020</v>
      </c>
      <c r="B54" s="186">
        <v>16</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2916</v>
      </c>
      <c r="B55" s="186"/>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2917</v>
      </c>
      <c r="B56" s="186"/>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2918</v>
      </c>
      <c r="B57" s="186"/>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2919</v>
      </c>
      <c r="B58" s="186"/>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2920</v>
      </c>
      <c r="B59" s="186"/>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2921</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2922</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2923</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2924</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2" t="s">
        <v>1665</v>
      </c>
      <c r="B1" s="3283"/>
      <c r="C1" s="3283"/>
      <c r="D1" s="3283"/>
      <c r="E1" s="3283"/>
      <c r="F1" s="3283"/>
      <c r="G1" s="3283"/>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2" t="s">
        <v>2931</v>
      </c>
      <c r="D3" s="2013"/>
      <c r="E3" s="1232" t="s">
        <v>1668</v>
      </c>
      <c r="F3" s="1233" t="s">
        <v>1656</v>
      </c>
      <c r="G3" s="3116" t="s">
        <v>2930</v>
      </c>
      <c r="H3" s="2012"/>
      <c r="I3" s="2012"/>
      <c r="J3" s="2012"/>
      <c r="K3" s="2012"/>
      <c r="L3" s="2012"/>
      <c r="M3" s="2012"/>
      <c r="N3" s="2012"/>
      <c r="O3" s="2012"/>
      <c r="P3" s="2012"/>
      <c r="Q3" s="2012"/>
      <c r="R3" s="2012"/>
    </row>
    <row r="4" spans="1:18" ht="41.25">
      <c r="A4" s="1232"/>
      <c r="B4" s="1234" t="s">
        <v>1669</v>
      </c>
      <c r="C4" s="3113" t="s">
        <v>2932</v>
      </c>
      <c r="D4" s="2013"/>
      <c r="E4" s="1235"/>
      <c r="F4" s="1236" t="s">
        <v>1670</v>
      </c>
      <c r="G4" s="3114" t="s">
        <v>2927</v>
      </c>
      <c r="H4" s="2012"/>
      <c r="I4" s="2012"/>
      <c r="J4" s="2012"/>
      <c r="K4" s="2012"/>
      <c r="L4" s="2012"/>
      <c r="M4" s="2012"/>
      <c r="N4" s="2012"/>
      <c r="O4" s="2012"/>
      <c r="P4" s="2012"/>
      <c r="Q4" s="2012"/>
      <c r="R4" s="2012"/>
    </row>
    <row r="5" spans="1:18" ht="41.25">
      <c r="A5" s="1232"/>
      <c r="B5" s="1234" t="s">
        <v>1671</v>
      </c>
      <c r="C5" s="3113" t="s">
        <v>2933</v>
      </c>
      <c r="D5" s="2013"/>
      <c r="E5" s="1235"/>
      <c r="F5" s="1234" t="s">
        <v>2553</v>
      </c>
      <c r="G5" s="3114" t="s">
        <v>2928</v>
      </c>
      <c r="H5" s="2012"/>
      <c r="I5" s="2012"/>
      <c r="J5" s="2012"/>
      <c r="K5" s="2012"/>
      <c r="L5" s="2012"/>
      <c r="M5" s="2012"/>
      <c r="N5" s="2012"/>
      <c r="O5" s="2012"/>
      <c r="P5" s="2012"/>
      <c r="Q5" s="2012"/>
      <c r="R5" s="2012"/>
    </row>
    <row r="6" spans="1:18" ht="54">
      <c r="A6" s="1232"/>
      <c r="B6" s="1234" t="s">
        <v>1657</v>
      </c>
      <c r="C6" s="3114" t="s">
        <v>2927</v>
      </c>
      <c r="D6" s="2013"/>
      <c r="E6" s="1235"/>
      <c r="F6" s="1234" t="s">
        <v>2554</v>
      </c>
      <c r="G6" s="3114" t="s">
        <v>2925</v>
      </c>
      <c r="H6" s="2012"/>
      <c r="I6" s="2012"/>
      <c r="J6" s="2012"/>
      <c r="K6" s="2012"/>
      <c r="L6" s="2012"/>
      <c r="M6" s="2012"/>
      <c r="N6" s="2012"/>
      <c r="O6" s="2012"/>
      <c r="P6" s="2012"/>
      <c r="Q6" s="2012"/>
      <c r="R6" s="2012"/>
    </row>
    <row r="7" spans="1:18" ht="41.25" thickBot="1">
      <c r="A7" s="1232"/>
      <c r="B7" s="1234" t="s">
        <v>2553</v>
      </c>
      <c r="C7" s="3114" t="s">
        <v>2928</v>
      </c>
      <c r="D7" s="2014"/>
      <c r="E7" s="1237"/>
      <c r="F7" s="1238" t="s">
        <v>1672</v>
      </c>
      <c r="G7" s="3117" t="s">
        <v>2929</v>
      </c>
      <c r="H7" s="2012"/>
      <c r="I7" s="2012"/>
      <c r="J7" s="2012"/>
      <c r="K7" s="2012"/>
      <c r="L7" s="2012"/>
      <c r="M7" s="2012"/>
      <c r="N7" s="2012"/>
      <c r="O7" s="2012"/>
      <c r="P7" s="2012"/>
      <c r="Q7" s="2012"/>
      <c r="R7" s="2012"/>
    </row>
    <row r="8" spans="1:18" ht="27">
      <c r="A8" s="1232"/>
      <c r="B8" s="1234" t="s">
        <v>2554</v>
      </c>
      <c r="C8" s="3114" t="s">
        <v>2925</v>
      </c>
      <c r="D8" s="2014"/>
      <c r="E8" s="2014"/>
      <c r="F8" s="1557"/>
      <c r="G8" s="1557"/>
      <c r="H8" s="2012"/>
      <c r="I8" s="2012"/>
      <c r="J8" s="2012"/>
      <c r="K8" s="2012"/>
      <c r="L8" s="2012"/>
      <c r="M8" s="2012"/>
      <c r="N8" s="2012"/>
      <c r="O8" s="2012"/>
      <c r="P8" s="2012"/>
      <c r="Q8" s="2012"/>
      <c r="R8" s="2012"/>
    </row>
    <row r="9" spans="1:18" ht="40.5">
      <c r="A9" s="1232"/>
      <c r="B9" s="1234" t="s">
        <v>1658</v>
      </c>
      <c r="C9" s="3113" t="s">
        <v>2926</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5"/>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4"/>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4"/>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18"/>
    </row>
    <row r="22" spans="1:7" ht="27">
      <c r="A22" s="2617"/>
      <c r="B22" s="1234" t="s">
        <v>2554</v>
      </c>
      <c r="C22" s="1008" t="str">
        <f>C8</f>
        <v>估价对象所在区域基础设施水平</v>
      </c>
      <c r="D22" s="2013"/>
      <c r="E22" s="2614"/>
      <c r="F22" s="1250" t="s">
        <v>1673</v>
      </c>
      <c r="G22" s="2824"/>
    </row>
    <row r="23" spans="1:7" ht="15" thickBot="1">
      <c r="A23" s="2617"/>
      <c r="B23" s="1250" t="s">
        <v>1663</v>
      </c>
      <c r="C23" s="3118"/>
      <c r="E23" s="2615"/>
      <c r="F23" s="1251" t="s">
        <v>1677</v>
      </c>
      <c r="G23" s="3119"/>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D29" sqref="D29"/>
    </sheetView>
  </sheetViews>
  <sheetFormatPr defaultColWidth="14.625" defaultRowHeight="13.5"/>
  <cols>
    <col min="1" max="1" width="24.375" customWidth="1"/>
  </cols>
  <sheetData>
    <row r="1" spans="1:9" ht="16.5">
      <c r="A1" s="3076" t="s">
        <v>2853</v>
      </c>
      <c r="B1" s="3076">
        <f>SUM(B14:B23)</f>
        <v>291597.07999999996</v>
      </c>
      <c r="C1" s="3077"/>
      <c r="D1" s="3077"/>
      <c r="E1" s="3077"/>
      <c r="F1" s="3077"/>
    </row>
    <row r="2" spans="1:9" ht="16.5">
      <c r="A2" s="3076" t="s">
        <v>2854</v>
      </c>
      <c r="B2" s="3076">
        <f>SUM(C14:C23)</f>
        <v>58465.149999999994</v>
      </c>
      <c r="C2" s="3077"/>
      <c r="D2" s="3077"/>
      <c r="E2" s="3077"/>
      <c r="F2" s="3077"/>
    </row>
    <row r="3" spans="1:9" ht="16.5">
      <c r="A3" s="3076" t="s">
        <v>2855</v>
      </c>
      <c r="B3" s="3078">
        <f>项目基本情况!D3</f>
        <v>43020</v>
      </c>
      <c r="C3" s="3077"/>
      <c r="D3" s="3077"/>
      <c r="E3" s="3077"/>
      <c r="F3" s="3077"/>
    </row>
    <row r="4" spans="1:9" ht="33">
      <c r="A4" s="3076" t="s">
        <v>2856</v>
      </c>
      <c r="B4" s="3076" t="s">
        <v>2857</v>
      </c>
      <c r="C4" s="3076" t="s">
        <v>2858</v>
      </c>
      <c r="D4" s="3076" t="s">
        <v>2859</v>
      </c>
      <c r="E4" s="3077"/>
      <c r="F4" s="3077"/>
    </row>
    <row r="5" spans="1:9" ht="16.5">
      <c r="A5" s="3076" t="s">
        <v>2860</v>
      </c>
      <c r="B5" s="3076">
        <f ca="1">SUM(D14:D23)</f>
        <v>32071</v>
      </c>
      <c r="C5" s="3076">
        <f ca="1">ROUND(B5*10000/$B$1,0)</f>
        <v>1100</v>
      </c>
      <c r="D5" s="3076">
        <f ca="1">ROUND(B5*10000/$B$2,0)</f>
        <v>5485</v>
      </c>
      <c r="E5" s="3077"/>
      <c r="F5" s="3077"/>
    </row>
    <row r="6" spans="1:9" ht="16.5">
      <c r="A6" s="3076" t="s">
        <v>2861</v>
      </c>
      <c r="B6" s="3076">
        <f ca="1">SUM(G14:G23)</f>
        <v>32071</v>
      </c>
      <c r="C6" s="3076">
        <f t="shared" ref="C6:C8" ca="1" si="0">ROUND(B6*10000/$B$1,0)</f>
        <v>1100</v>
      </c>
      <c r="D6" s="3076">
        <f t="shared" ref="D6:D8" ca="1" si="1">ROUND(B6*10000/$B$2,0)</f>
        <v>5485</v>
      </c>
      <c r="E6" s="3077"/>
      <c r="F6" s="3077"/>
    </row>
    <row r="7" spans="1:9" ht="16.5">
      <c r="A7" s="3076" t="s">
        <v>2862</v>
      </c>
      <c r="B7" s="3076">
        <f>SUM(H14:H23)</f>
        <v>0</v>
      </c>
      <c r="C7" s="3076">
        <f t="shared" si="0"/>
        <v>0</v>
      </c>
      <c r="D7" s="3076">
        <f t="shared" si="1"/>
        <v>0</v>
      </c>
      <c r="E7" s="3077"/>
      <c r="F7" s="3077"/>
    </row>
    <row r="8" spans="1:9" ht="16.5">
      <c r="A8" s="3076" t="s">
        <v>2863</v>
      </c>
      <c r="B8" s="3076">
        <f>SUM(I14:I23)</f>
        <v>0</v>
      </c>
      <c r="C8" s="3076">
        <f t="shared" si="0"/>
        <v>0</v>
      </c>
      <c r="D8" s="3076">
        <f t="shared" si="1"/>
        <v>0</v>
      </c>
      <c r="E8" s="3077"/>
      <c r="F8" s="3077"/>
    </row>
    <row r="9" spans="1:9" ht="16.5">
      <c r="A9" s="3076" t="s">
        <v>2864</v>
      </c>
      <c r="B9" s="3079"/>
      <c r="C9" s="3077"/>
      <c r="D9" s="3077"/>
      <c r="E9" s="3077"/>
      <c r="F9" s="3077"/>
    </row>
    <row r="10" spans="1:9" ht="16.5">
      <c r="A10" s="3076" t="s">
        <v>2865</v>
      </c>
      <c r="B10" s="3079"/>
      <c r="C10" s="3077"/>
      <c r="D10" s="3077"/>
      <c r="E10" s="3077"/>
      <c r="F10" s="3077"/>
    </row>
    <row r="11" spans="1:9" ht="16.5">
      <c r="A11" s="3076" t="s">
        <v>2882</v>
      </c>
      <c r="B11" s="3079"/>
      <c r="C11" s="3077"/>
      <c r="D11" s="3077"/>
      <c r="E11" s="3077"/>
      <c r="F11" s="3077"/>
    </row>
    <row r="12" spans="1:9" ht="16.5">
      <c r="A12" s="3077"/>
      <c r="B12" s="3077"/>
      <c r="C12" s="3077"/>
      <c r="D12" s="3077"/>
      <c r="E12" s="3077"/>
      <c r="F12" s="3077"/>
    </row>
    <row r="13" spans="1:9" ht="33">
      <c r="A13" s="3082" t="s">
        <v>2881</v>
      </c>
      <c r="B13" s="3080" t="s">
        <v>2853</v>
      </c>
      <c r="C13" s="3080" t="s">
        <v>2854</v>
      </c>
      <c r="D13" s="3080" t="s">
        <v>2866</v>
      </c>
      <c r="E13" s="3076" t="s">
        <v>2880</v>
      </c>
      <c r="F13" s="3076" t="s">
        <v>2859</v>
      </c>
      <c r="G13" s="3080" t="s">
        <v>2867</v>
      </c>
      <c r="H13" s="3080" t="s">
        <v>2868</v>
      </c>
      <c r="I13" s="3080" t="s">
        <v>2869</v>
      </c>
    </row>
    <row r="14" spans="1:9" ht="16.5">
      <c r="A14" s="3083" t="s">
        <v>2879</v>
      </c>
      <c r="B14" s="3080">
        <f>'数据-汇总表'!E3</f>
        <v>166445.44999999998</v>
      </c>
      <c r="C14" s="3080">
        <f>'数据-汇总表'!D3</f>
        <v>33220.35</v>
      </c>
      <c r="D14" s="3080">
        <f ca="1">结果表!C42</f>
        <v>18874</v>
      </c>
      <c r="E14" s="3080">
        <f ca="1">ROUND(D14*10000/B14,0)</f>
        <v>1134</v>
      </c>
      <c r="F14" s="3080">
        <f ca="1">ROUND(D14*10000/C14,0)</f>
        <v>5681</v>
      </c>
      <c r="G14" s="3080">
        <f ca="1">结果表!C44</f>
        <v>18874</v>
      </c>
      <c r="H14" s="3080" t="str">
        <f>结果表!C45</f>
        <v>——</v>
      </c>
      <c r="I14" s="3080" t="str">
        <f>结果表!C46</f>
        <v>——</v>
      </c>
    </row>
    <row r="15" spans="1:9" ht="16.5">
      <c r="A15" s="3083" t="s">
        <v>2870</v>
      </c>
      <c r="B15" s="3084">
        <v>125151.63</v>
      </c>
      <c r="C15" s="3084">
        <v>25244.799999999999</v>
      </c>
      <c r="D15" s="3084">
        <v>13197</v>
      </c>
      <c r="E15" s="3080">
        <f t="shared" ref="E15:E23" si="2">ROUND(D15*10000/B15,0)</f>
        <v>1054</v>
      </c>
      <c r="F15" s="3080">
        <f t="shared" ref="F15:F23" si="3">ROUND(D15*10000/C15,0)</f>
        <v>5228</v>
      </c>
      <c r="G15" s="3081">
        <v>13197</v>
      </c>
      <c r="H15" s="3081"/>
      <c r="I15" s="3084"/>
    </row>
    <row r="16" spans="1:9" ht="16.5">
      <c r="A16" s="3083" t="s">
        <v>2871</v>
      </c>
      <c r="B16" s="3084"/>
      <c r="C16" s="3084"/>
      <c r="D16" s="3084"/>
      <c r="E16" s="3080" t="e">
        <f t="shared" si="2"/>
        <v>#DIV/0!</v>
      </c>
      <c r="F16" s="3080" t="e">
        <f t="shared" si="3"/>
        <v>#DIV/0!</v>
      </c>
      <c r="G16" s="3081"/>
      <c r="H16" s="3081"/>
      <c r="I16" s="3084"/>
    </row>
    <row r="17" spans="1:9" ht="16.5">
      <c r="A17" s="3083" t="s">
        <v>2872</v>
      </c>
      <c r="B17" s="3084"/>
      <c r="C17" s="3084"/>
      <c r="D17" s="3084"/>
      <c r="E17" s="3080" t="e">
        <f t="shared" si="2"/>
        <v>#DIV/0!</v>
      </c>
      <c r="F17" s="3080" t="e">
        <f t="shared" si="3"/>
        <v>#DIV/0!</v>
      </c>
      <c r="G17" s="3081"/>
      <c r="H17" s="3081"/>
      <c r="I17" s="3084"/>
    </row>
    <row r="18" spans="1:9" ht="16.5">
      <c r="A18" s="3083" t="s">
        <v>2873</v>
      </c>
      <c r="B18" s="3084"/>
      <c r="C18" s="3084"/>
      <c r="D18" s="3084"/>
      <c r="E18" s="3080" t="e">
        <f t="shared" si="2"/>
        <v>#DIV/0!</v>
      </c>
      <c r="F18" s="3080" t="e">
        <f t="shared" si="3"/>
        <v>#DIV/0!</v>
      </c>
      <c r="G18" s="3084"/>
      <c r="H18" s="3084"/>
      <c r="I18" s="3084"/>
    </row>
    <row r="19" spans="1:9" ht="16.5">
      <c r="A19" s="3083" t="s">
        <v>2874</v>
      </c>
      <c r="B19" s="3084"/>
      <c r="C19" s="3084"/>
      <c r="D19" s="3084"/>
      <c r="E19" s="3080" t="e">
        <f t="shared" si="2"/>
        <v>#DIV/0!</v>
      </c>
      <c r="F19" s="3080" t="e">
        <f t="shared" si="3"/>
        <v>#DIV/0!</v>
      </c>
      <c r="G19" s="3084"/>
      <c r="H19" s="3084"/>
      <c r="I19" s="3084"/>
    </row>
    <row r="20" spans="1:9" ht="16.5">
      <c r="A20" s="3083" t="s">
        <v>2875</v>
      </c>
      <c r="B20" s="3084"/>
      <c r="C20" s="3084"/>
      <c r="D20" s="3084"/>
      <c r="E20" s="3080" t="e">
        <f t="shared" si="2"/>
        <v>#DIV/0!</v>
      </c>
      <c r="F20" s="3080" t="e">
        <f t="shared" si="3"/>
        <v>#DIV/0!</v>
      </c>
      <c r="G20" s="3084"/>
      <c r="H20" s="3084"/>
      <c r="I20" s="3084"/>
    </row>
    <row r="21" spans="1:9" ht="16.5">
      <c r="A21" s="3083" t="s">
        <v>2876</v>
      </c>
      <c r="B21" s="3084"/>
      <c r="C21" s="3084"/>
      <c r="D21" s="3084"/>
      <c r="E21" s="3080" t="e">
        <f t="shared" si="2"/>
        <v>#DIV/0!</v>
      </c>
      <c r="F21" s="3080" t="e">
        <f t="shared" si="3"/>
        <v>#DIV/0!</v>
      </c>
      <c r="G21" s="3084"/>
      <c r="H21" s="3084"/>
      <c r="I21" s="3084"/>
    </row>
    <row r="22" spans="1:9" ht="16.5">
      <c r="A22" s="3083" t="s">
        <v>2877</v>
      </c>
      <c r="B22" s="3084"/>
      <c r="C22" s="3084"/>
      <c r="D22" s="3084"/>
      <c r="E22" s="3080" t="e">
        <f t="shared" si="2"/>
        <v>#DIV/0!</v>
      </c>
      <c r="F22" s="3080" t="e">
        <f t="shared" si="3"/>
        <v>#DIV/0!</v>
      </c>
      <c r="G22" s="3084"/>
      <c r="H22" s="3084"/>
      <c r="I22" s="3084"/>
    </row>
    <row r="23" spans="1:9" ht="16.5">
      <c r="A23" s="3083" t="s">
        <v>2878</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sheetPr>
  <dimension ref="A1:Z206"/>
  <sheetViews>
    <sheetView view="pageBreakPreview" topLeftCell="A7" zoomScaleNormal="100" zoomScaleSheetLayoutView="100" zoomScalePageLayoutView="80" workbookViewId="0">
      <selection activeCell="H28" sqref="H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c r="E1" s="1809" t="s">
        <v>2061</v>
      </c>
      <c r="F1" s="1811"/>
      <c r="G1" s="314"/>
      <c r="H1" s="314"/>
      <c r="I1" s="314"/>
      <c r="J1" s="2033"/>
      <c r="K1" s="2033"/>
      <c r="L1" s="2033"/>
      <c r="M1" s="2033"/>
      <c r="N1" s="2033"/>
      <c r="O1" s="2033"/>
      <c r="P1" s="2033"/>
      <c r="Q1" s="2033"/>
      <c r="R1" s="2033"/>
      <c r="S1" s="2033"/>
      <c r="T1" s="2033"/>
      <c r="U1" s="2033"/>
      <c r="V1" s="2033"/>
    </row>
    <row r="2" spans="1:22" ht="21.75" customHeight="1" thickBot="1">
      <c r="A2" s="3324" t="str">
        <f>项目基本情况!K2</f>
        <v>陕西省西安市西安浐灞生态区金茂四路以东、金桥二路以北出让国有建设用地使用权</v>
      </c>
      <c r="B2" s="3325"/>
      <c r="C2" s="3326"/>
      <c r="D2" s="3326"/>
      <c r="E2" s="3326"/>
      <c r="F2" s="3326"/>
      <c r="G2" s="3325"/>
      <c r="H2" s="3325"/>
      <c r="I2" s="3327"/>
      <c r="J2" s="2034"/>
      <c r="K2" s="2033"/>
      <c r="L2" s="2033"/>
      <c r="M2" s="2033"/>
      <c r="N2" s="2033"/>
      <c r="O2" s="2033"/>
      <c r="P2" s="2033"/>
      <c r="Q2" s="2033"/>
      <c r="R2" s="2033"/>
      <c r="S2" s="2033"/>
      <c r="T2" s="2033"/>
      <c r="U2" s="2033"/>
      <c r="V2" s="2033"/>
    </row>
    <row r="3" spans="1:22" ht="14.25">
      <c r="A3" s="3316" t="s">
        <v>298</v>
      </c>
      <c r="B3" s="3317"/>
      <c r="C3" s="3317"/>
      <c r="D3" s="3317"/>
      <c r="E3" s="3317"/>
      <c r="F3" s="3317"/>
      <c r="G3" s="3317"/>
      <c r="H3" s="3317"/>
      <c r="I3" s="3317"/>
      <c r="J3" s="2034"/>
      <c r="K3" s="2033"/>
      <c r="L3" s="2033"/>
      <c r="M3" s="2033"/>
      <c r="N3" s="2033"/>
      <c r="O3" s="2033"/>
      <c r="P3" s="2033"/>
      <c r="Q3" s="2033"/>
      <c r="R3" s="2033"/>
      <c r="S3" s="2033"/>
      <c r="T3" s="2033"/>
      <c r="U3" s="2033"/>
      <c r="V3" s="2033"/>
    </row>
    <row r="4" spans="1:22" ht="14.25">
      <c r="A4" s="258" t="s">
        <v>299</v>
      </c>
      <c r="B4" s="259" t="s">
        <v>300</v>
      </c>
      <c r="C4" s="260" t="s">
        <v>3028</v>
      </c>
      <c r="D4" s="260" t="s">
        <v>3027</v>
      </c>
      <c r="E4" s="3285" t="s">
        <v>301</v>
      </c>
      <c r="F4" s="3286"/>
      <c r="G4" s="3286"/>
      <c r="H4" s="3286"/>
      <c r="I4" s="3319"/>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84" t="s">
        <v>302</v>
      </c>
      <c r="B5" s="3310">
        <v>25</v>
      </c>
      <c r="C5" s="3308"/>
      <c r="D5" s="3315"/>
      <c r="E5" s="261" t="s">
        <v>303</v>
      </c>
      <c r="F5" s="262"/>
      <c r="G5" s="262"/>
      <c r="H5" s="262"/>
      <c r="I5" s="263"/>
      <c r="J5" s="2034"/>
      <c r="K5" s="2033"/>
      <c r="L5" s="2033"/>
      <c r="M5" s="2033"/>
      <c r="N5" s="2033"/>
      <c r="O5" s="2033"/>
      <c r="P5" s="2033"/>
      <c r="Q5" s="2033"/>
      <c r="R5" s="2033"/>
      <c r="S5" s="2033"/>
      <c r="T5" s="2033"/>
      <c r="U5" s="2033"/>
      <c r="V5" s="2033"/>
    </row>
    <row r="6" spans="1:22" ht="14.25">
      <c r="A6" s="3284"/>
      <c r="B6" s="3310"/>
      <c r="C6" s="3318"/>
      <c r="D6" s="3315"/>
      <c r="E6" s="261" t="s">
        <v>304</v>
      </c>
      <c r="F6" s="262"/>
      <c r="G6" s="262"/>
      <c r="H6" s="262"/>
      <c r="I6" s="263"/>
      <c r="J6" s="2034"/>
      <c r="K6" s="2033"/>
      <c r="L6" s="2033"/>
      <c r="M6" s="2033"/>
      <c r="N6" s="2033"/>
      <c r="O6" s="2033"/>
      <c r="P6" s="2033"/>
      <c r="Q6" s="2033"/>
      <c r="R6" s="2033"/>
      <c r="S6" s="2033"/>
      <c r="T6" s="2033"/>
      <c r="U6" s="2033"/>
      <c r="V6" s="2033"/>
    </row>
    <row r="7" spans="1:22" ht="14.25">
      <c r="A7" s="3284"/>
      <c r="B7" s="3310"/>
      <c r="C7" s="3309"/>
      <c r="D7" s="3315"/>
      <c r="E7" s="261" t="s">
        <v>305</v>
      </c>
      <c r="F7" s="262"/>
      <c r="G7" s="262"/>
      <c r="H7" s="262"/>
      <c r="I7" s="263"/>
      <c r="J7" s="2034"/>
      <c r="K7" s="2033"/>
      <c r="L7" s="2033"/>
      <c r="M7" s="2033"/>
      <c r="N7" s="2033"/>
      <c r="O7" s="2033"/>
      <c r="P7" s="2033"/>
      <c r="Q7" s="2033"/>
      <c r="R7" s="2033"/>
      <c r="S7" s="2033"/>
      <c r="T7" s="2033"/>
      <c r="U7" s="2033"/>
      <c r="V7" s="2033"/>
    </row>
    <row r="8" spans="1:22" ht="14.25">
      <c r="A8" s="3284" t="s">
        <v>306</v>
      </c>
      <c r="B8" s="3310">
        <v>15</v>
      </c>
      <c r="C8" s="3308"/>
      <c r="D8" s="3315"/>
      <c r="E8" s="261" t="s">
        <v>307</v>
      </c>
      <c r="F8" s="262"/>
      <c r="G8" s="262"/>
      <c r="H8" s="262"/>
      <c r="I8" s="263"/>
      <c r="J8" s="2034"/>
      <c r="K8" s="2033"/>
      <c r="L8" s="2033"/>
      <c r="M8" s="2033"/>
      <c r="N8" s="2033"/>
      <c r="O8" s="2033"/>
      <c r="P8" s="2033"/>
      <c r="Q8" s="2033"/>
      <c r="R8" s="2033"/>
      <c r="S8" s="2033"/>
      <c r="T8" s="2033"/>
      <c r="U8" s="2033"/>
      <c r="V8" s="2033"/>
    </row>
    <row r="9" spans="1:22" ht="14.25">
      <c r="A9" s="3284"/>
      <c r="B9" s="3310"/>
      <c r="C9" s="3309"/>
      <c r="D9" s="3315"/>
      <c r="E9" s="261" t="s">
        <v>308</v>
      </c>
      <c r="F9" s="262"/>
      <c r="G9" s="262"/>
      <c r="H9" s="262"/>
      <c r="I9" s="263"/>
      <c r="J9" s="2034"/>
      <c r="K9" s="2033"/>
      <c r="L9" s="2033"/>
      <c r="M9" s="2033"/>
      <c r="N9" s="2033"/>
      <c r="O9" s="2033"/>
      <c r="P9" s="2033"/>
      <c r="Q9" s="2033"/>
      <c r="R9" s="2033"/>
      <c r="S9" s="2033"/>
      <c r="T9" s="2033"/>
      <c r="U9" s="2033"/>
      <c r="V9" s="2033"/>
    </row>
    <row r="10" spans="1:22" ht="14.25">
      <c r="A10" s="3284" t="s">
        <v>309</v>
      </c>
      <c r="B10" s="3310">
        <v>15</v>
      </c>
      <c r="C10" s="3308"/>
      <c r="D10" s="3315"/>
      <c r="E10" s="261" t="s">
        <v>310</v>
      </c>
      <c r="F10" s="262"/>
      <c r="G10" s="262"/>
      <c r="H10" s="262"/>
      <c r="I10" s="263"/>
      <c r="J10" s="2034"/>
      <c r="K10" s="2033"/>
      <c r="L10" s="2033"/>
      <c r="M10" s="2033"/>
      <c r="N10" s="2033"/>
      <c r="O10" s="2033"/>
      <c r="P10" s="2033"/>
      <c r="Q10" s="2033"/>
      <c r="R10" s="2033"/>
      <c r="S10" s="2033"/>
      <c r="T10" s="2033"/>
      <c r="U10" s="2033"/>
      <c r="V10" s="2033"/>
    </row>
    <row r="11" spans="1:22" ht="14.25">
      <c r="A11" s="3284"/>
      <c r="B11" s="3310"/>
      <c r="C11" s="3309"/>
      <c r="D11" s="3315"/>
      <c r="E11" s="261" t="s">
        <v>311</v>
      </c>
      <c r="F11" s="262"/>
      <c r="G11" s="262"/>
      <c r="H11" s="262"/>
      <c r="I11" s="263"/>
      <c r="J11" s="2034"/>
      <c r="K11" s="2033"/>
      <c r="L11" s="2033"/>
      <c r="M11" s="2033"/>
      <c r="N11" s="2033"/>
      <c r="O11" s="2033"/>
      <c r="P11" s="2033"/>
      <c r="Q11" s="2033"/>
      <c r="R11" s="2033"/>
      <c r="S11" s="2033"/>
      <c r="T11" s="2033"/>
      <c r="U11" s="2033"/>
      <c r="V11" s="2033"/>
    </row>
    <row r="12" spans="1:22" ht="14.25">
      <c r="A12" s="3284" t="s">
        <v>312</v>
      </c>
      <c r="B12" s="3310">
        <v>15</v>
      </c>
      <c r="C12" s="3308"/>
      <c r="D12" s="3315"/>
      <c r="E12" s="261" t="s">
        <v>313</v>
      </c>
      <c r="F12" s="262"/>
      <c r="G12" s="262"/>
      <c r="H12" s="262"/>
      <c r="I12" s="263"/>
      <c r="J12" s="2034"/>
      <c r="K12" s="2033"/>
      <c r="L12" s="2033"/>
      <c r="M12" s="2033"/>
      <c r="N12" s="2033"/>
      <c r="O12" s="2033"/>
      <c r="P12" s="2033"/>
      <c r="Q12" s="2033"/>
      <c r="R12" s="2033"/>
      <c r="S12" s="2033"/>
      <c r="T12" s="2033"/>
      <c r="U12" s="2033"/>
      <c r="V12" s="2033"/>
    </row>
    <row r="13" spans="1:22" ht="14.25">
      <c r="A13" s="3284"/>
      <c r="B13" s="3310"/>
      <c r="C13" s="3309"/>
      <c r="D13" s="3315"/>
      <c r="E13" s="261" t="s">
        <v>314</v>
      </c>
      <c r="F13" s="262"/>
      <c r="G13" s="262"/>
      <c r="H13" s="262"/>
      <c r="I13" s="263"/>
      <c r="J13" s="2034"/>
      <c r="K13" s="2033"/>
      <c r="L13" s="2033"/>
      <c r="M13" s="2033"/>
      <c r="N13" s="2033"/>
      <c r="O13" s="2033"/>
      <c r="P13" s="2033"/>
      <c r="Q13" s="2033"/>
      <c r="R13" s="2033"/>
      <c r="S13" s="2033"/>
      <c r="T13" s="2033"/>
      <c r="U13" s="2033"/>
      <c r="V13" s="2033"/>
    </row>
    <row r="14" spans="1:22" ht="14.25">
      <c r="A14" s="3284" t="s">
        <v>315</v>
      </c>
      <c r="B14" s="3310">
        <v>30</v>
      </c>
      <c r="C14" s="3311">
        <v>5</v>
      </c>
      <c r="D14" s="3314">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84"/>
      <c r="B15" s="3310"/>
      <c r="C15" s="3312"/>
      <c r="D15" s="3314"/>
      <c r="E15" s="261" t="s">
        <v>317</v>
      </c>
      <c r="F15" s="262"/>
      <c r="G15" s="262"/>
      <c r="H15" s="262"/>
      <c r="I15" s="263"/>
      <c r="J15" s="2034"/>
      <c r="K15" s="2033"/>
      <c r="L15" s="2033"/>
      <c r="M15" s="2033"/>
      <c r="N15" s="2033"/>
      <c r="O15" s="2033"/>
      <c r="P15" s="2033"/>
      <c r="Q15" s="2033"/>
      <c r="R15" s="2033"/>
      <c r="S15" s="2033"/>
      <c r="T15" s="2033"/>
      <c r="U15" s="2033"/>
      <c r="V15" s="2033"/>
    </row>
    <row r="16" spans="1:22" ht="14.25">
      <c r="A16" s="3284"/>
      <c r="B16" s="3310"/>
      <c r="C16" s="3313"/>
      <c r="D16" s="3314"/>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16900</v>
      </c>
      <c r="D19" s="271">
        <f ca="1">SUMIF(INDIRECT("'"&amp;D4&amp;"'"&amp;"!A:A"),结果表!B19,INDIRECT("'"&amp;D4&amp;"'"&amp;"!B:B"))</f>
        <v>20847</v>
      </c>
      <c r="E19" s="268" t="s">
        <v>323</v>
      </c>
      <c r="F19" s="269" t="s">
        <v>322</v>
      </c>
      <c r="G19" s="272">
        <f ca="1">ROUND(C19*$C$18+D19*$D$18,0)</f>
        <v>18874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1015</v>
      </c>
      <c r="D20" s="277">
        <f ca="1">SUMIF(INDIRECT("'"&amp;D4&amp;"'"&amp;"!A:A"),结果表!B20,INDIRECT("'"&amp;D4&amp;"'"&amp;"!B:B"))</f>
        <v>1252</v>
      </c>
      <c r="E20" s="274"/>
      <c r="F20" s="275" t="s">
        <v>325</v>
      </c>
      <c r="G20" s="278">
        <f ca="1">ROUND(C20*$C$18+D20*$D$18,0)</f>
        <v>1134</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5087</v>
      </c>
      <c r="D21" s="151">
        <f ca="1">SUMIF(INDIRECT("'"&amp;D4&amp;"'"&amp;"!A:A"),结果表!B21,INDIRECT("'"&amp;D4&amp;"'"&amp;"!B:B"))</f>
        <v>6275</v>
      </c>
      <c r="E21" s="274"/>
      <c r="F21" s="280" t="s">
        <v>327</v>
      </c>
      <c r="G21" s="282">
        <f ca="1">ROUND(C21*$C$18+D21*$D$18,0)</f>
        <v>5681</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0.23355029585798825</v>
      </c>
      <c r="E22" s="284"/>
      <c r="F22" s="285"/>
      <c r="G22" s="286">
        <f ca="1">ROUND(G19/('数据-汇总表'!D3/666.67),0)</f>
        <v>379</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0"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91"/>
      <c r="B25" s="1324" t="s">
        <v>331</v>
      </c>
      <c r="C25" s="290">
        <f>IF(B30=0,0,C30)</f>
        <v>0</v>
      </c>
      <c r="D25" s="291"/>
      <c r="E25" s="314"/>
      <c r="F25" s="314"/>
      <c r="G25" s="314"/>
      <c r="H25" s="314"/>
      <c r="I25" s="314"/>
      <c r="J25" s="2033"/>
      <c r="K25" s="1258" t="str">
        <f ca="1">项目基本情况!B16&amp;"国有建设用地使用权价格："&amp;O38&amp;"万元"</f>
        <v>出让国有建设用地使用权价格：18874万元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大写金额：人民币壹亿捌仟捌佰柒拾肆万元整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单位面积地价：5681元/平方米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楼面地价：1134元/平方米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抵押价格：18874万元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大写金额：人民币壹亿捌仟捌佰柒拾肆万元整</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v>
      </c>
      <c r="L31" s="2493"/>
      <c r="M31" s="2493"/>
      <c r="N31" s="2493"/>
      <c r="O31" s="2494"/>
      <c r="P31" s="2033"/>
      <c r="V31" s="2033"/>
    </row>
    <row r="32" spans="1:26" ht="18.75" thickBot="1">
      <c r="A32" s="268" t="s">
        <v>337</v>
      </c>
      <c r="B32" s="1385" t="s">
        <v>1690</v>
      </c>
      <c r="C32" s="1386">
        <f ca="1">G19-C24</f>
        <v>18874</v>
      </c>
      <c r="D32" s="1387" t="s">
        <v>1691</v>
      </c>
      <c r="E32" s="314"/>
      <c r="F32" s="314"/>
      <c r="G32" s="314"/>
      <c r="H32" s="314"/>
      <c r="I32" s="314"/>
      <c r="J32" s="2033"/>
      <c r="K32" s="2492" t="str">
        <f>IF(K31="——","——","大写金额：人民币"&amp;NUMBERSTRING(INT(O40*10000),2)&amp;"元整")</f>
        <v>——</v>
      </c>
      <c r="L32" s="2495"/>
      <c r="M32" s="2495"/>
      <c r="N32" s="2495"/>
      <c r="O32" s="2496"/>
      <c r="P32" s="2033"/>
      <c r="V32" s="2033"/>
    </row>
    <row r="33" spans="1:26" ht="18.75" thickBot="1">
      <c r="A33" s="301" t="s">
        <v>340</v>
      </c>
      <c r="B33" s="1388" t="s">
        <v>1692</v>
      </c>
      <c r="C33" s="264">
        <f ca="1">ROUND(C32*10000/'数据-汇总表'!E3,0)</f>
        <v>1134</v>
      </c>
      <c r="D33" s="1389" t="s">
        <v>1693</v>
      </c>
      <c r="E33" s="3290"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5681</v>
      </c>
      <c r="D34" s="1391" t="s">
        <v>1693</v>
      </c>
      <c r="E34" s="3335"/>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379</v>
      </c>
      <c r="D35" s="1394" t="s">
        <v>1695</v>
      </c>
      <c r="E35" s="3336"/>
      <c r="F35" s="304" t="s">
        <v>342</v>
      </c>
      <c r="G35" s="985"/>
      <c r="H35" s="984" t="s">
        <v>343</v>
      </c>
      <c r="I35" s="314"/>
      <c r="J35" s="2033"/>
      <c r="K35" s="3305" t="s">
        <v>350</v>
      </c>
      <c r="L35" s="3305" t="s">
        <v>351</v>
      </c>
      <c r="M35" s="1267" t="s">
        <v>352</v>
      </c>
      <c r="N35" s="3305" t="s">
        <v>353</v>
      </c>
      <c r="O35" s="3305" t="s">
        <v>354</v>
      </c>
      <c r="P35" s="2033"/>
      <c r="V35" s="2033"/>
    </row>
    <row r="36" spans="1:26" ht="16.5" customHeight="1">
      <c r="A36" s="306" t="s">
        <v>344</v>
      </c>
      <c r="B36" s="307" t="s">
        <v>333</v>
      </c>
      <c r="C36" s="308" t="s">
        <v>345</v>
      </c>
      <c r="D36" s="308" t="s">
        <v>346</v>
      </c>
      <c r="E36" s="309" t="s">
        <v>347</v>
      </c>
      <c r="F36" s="314"/>
      <c r="G36" s="314"/>
      <c r="H36" s="314"/>
      <c r="I36" s="314"/>
      <c r="J36" s="2035"/>
      <c r="K36" s="3306"/>
      <c r="L36" s="3306"/>
      <c r="M36" s="1269" t="s">
        <v>355</v>
      </c>
      <c r="N36" s="3306"/>
      <c r="O36" s="3306"/>
      <c r="P36" s="2033"/>
      <c r="V36" s="2033"/>
    </row>
    <row r="37" spans="1:26" ht="16.5" customHeight="1" thickBot="1">
      <c r="A37" s="1263" t="s">
        <v>348</v>
      </c>
      <c r="B37" s="310"/>
      <c r="C37" s="294"/>
      <c r="D37" s="294"/>
      <c r="E37" s="295"/>
      <c r="F37" s="314"/>
      <c r="G37" s="314"/>
      <c r="H37" s="314"/>
      <c r="I37" s="314"/>
      <c r="J37" s="2035"/>
      <c r="K37" s="3307"/>
      <c r="L37" s="3307"/>
      <c r="M37" s="1270"/>
      <c r="N37" s="3307"/>
      <c r="O37" s="3307"/>
      <c r="P37" s="2033"/>
      <c r="V37" s="2033"/>
    </row>
    <row r="38" spans="1:26" ht="16.5" customHeight="1" thickBot="1">
      <c r="A38" s="1263" t="s">
        <v>349</v>
      </c>
      <c r="B38" s="310"/>
      <c r="C38" s="294"/>
      <c r="D38" s="294"/>
      <c r="E38" s="295"/>
      <c r="F38" s="314"/>
      <c r="G38" s="314"/>
      <c r="H38" s="314"/>
      <c r="I38" s="314"/>
      <c r="J38" s="2035"/>
      <c r="K38" s="1271">
        <f>'数据-汇总表'!D3</f>
        <v>33220.35</v>
      </c>
      <c r="L38" s="1272">
        <f>'数据-汇总表'!E3</f>
        <v>166445.44999999998</v>
      </c>
      <c r="M38" s="1272">
        <f ca="1">C34</f>
        <v>5681</v>
      </c>
      <c r="N38" s="1272">
        <f ca="1">C33</f>
        <v>1134</v>
      </c>
      <c r="O38" s="1273">
        <f ca="1">C32</f>
        <v>18874</v>
      </c>
      <c r="P38" s="2033"/>
      <c r="V38" s="2033"/>
    </row>
    <row r="39" spans="1:26" ht="16.5" customHeight="1" thickBot="1">
      <c r="A39" s="1268"/>
      <c r="B39" s="311"/>
      <c r="C39" s="312"/>
      <c r="D39" s="312"/>
      <c r="E39" s="313"/>
      <c r="F39" s="314"/>
      <c r="G39" s="314"/>
      <c r="H39" s="314"/>
      <c r="I39" s="314"/>
      <c r="J39" s="2035"/>
      <c r="K39" s="3354" t="str">
        <f>MID(A44,3,LEN(A44)-2)</f>
        <v>抵押价格</v>
      </c>
      <c r="L39" s="3355"/>
      <c r="M39" s="3355"/>
      <c r="N39" s="3356"/>
      <c r="O39" s="1396">
        <f ca="1">C44</f>
        <v>18874</v>
      </c>
      <c r="P39" s="2033"/>
      <c r="V39" s="2033"/>
    </row>
    <row r="40" spans="1:26" ht="19.5" thickBot="1">
      <c r="A40" s="104" t="s">
        <v>874</v>
      </c>
      <c r="B40" s="314"/>
      <c r="C40" s="314"/>
      <c r="D40" s="314"/>
      <c r="E40" s="314"/>
      <c r="F40" s="314"/>
      <c r="G40" s="314"/>
      <c r="H40" s="314"/>
      <c r="I40" s="314"/>
      <c r="J40" s="2035"/>
      <c r="K40" s="3354" t="str">
        <f t="shared" ref="K40:K41" si="0">MID(A45,3,LEN(A45)-2)</f>
        <v/>
      </c>
      <c r="L40" s="3355"/>
      <c r="M40" s="3355"/>
      <c r="N40" s="3356"/>
      <c r="O40" s="1396" t="str">
        <f>C45</f>
        <v>——</v>
      </c>
      <c r="P40" s="2033"/>
      <c r="V40" s="2033"/>
    </row>
    <row r="41" spans="1:26" ht="16.5" thickBot="1">
      <c r="A41" s="315" t="s">
        <v>356</v>
      </c>
      <c r="B41" s="316"/>
      <c r="C41" s="317" t="s">
        <v>357</v>
      </c>
      <c r="D41" s="318" t="s">
        <v>358</v>
      </c>
      <c r="E41" s="318" t="s">
        <v>359</v>
      </c>
      <c r="F41" s="319" t="s">
        <v>360</v>
      </c>
      <c r="G41" s="314"/>
      <c r="H41" s="314"/>
      <c r="I41" s="314"/>
      <c r="J41" s="2035"/>
      <c r="K41" s="3354" t="str">
        <f t="shared" si="0"/>
        <v/>
      </c>
      <c r="L41" s="3355"/>
      <c r="M41" s="3355"/>
      <c r="N41" s="3356"/>
      <c r="O41" s="1396" t="str">
        <f>C46</f>
        <v>——</v>
      </c>
      <c r="P41" s="2033"/>
      <c r="V41" s="2033"/>
    </row>
    <row r="42" spans="1:26" ht="29.25">
      <c r="A42" s="3292" t="s">
        <v>2071</v>
      </c>
      <c r="B42" s="3293"/>
      <c r="C42" s="264">
        <f ca="1">C32</f>
        <v>18874</v>
      </c>
      <c r="D42" s="320">
        <f ca="1">C33</f>
        <v>1134</v>
      </c>
      <c r="E42" s="320">
        <f ca="1">C34</f>
        <v>5681</v>
      </c>
      <c r="F42" s="321">
        <f ca="1">C35</f>
        <v>379</v>
      </c>
      <c r="G42" s="314"/>
      <c r="H42" s="314"/>
      <c r="I42" s="322"/>
      <c r="J42" s="2035"/>
      <c r="K42" s="1274" t="s">
        <v>361</v>
      </c>
      <c r="L42" s="2052" t="s">
        <v>362</v>
      </c>
      <c r="M42" s="1275" t="s">
        <v>363</v>
      </c>
      <c r="N42" s="2053" t="s">
        <v>364</v>
      </c>
      <c r="O42" s="2054" t="s">
        <v>365</v>
      </c>
      <c r="P42" s="2033"/>
      <c r="V42" s="2033"/>
    </row>
    <row r="43" spans="1:26" ht="30">
      <c r="A43" s="3303" t="s">
        <v>2739</v>
      </c>
      <c r="B43" s="3304"/>
      <c r="C43" s="264">
        <f>IF(H33="正常操作",G33+G34+G35,G34+G35)</f>
        <v>0</v>
      </c>
      <c r="D43" s="320" t="s">
        <v>43</v>
      </c>
      <c r="E43" s="320" t="s">
        <v>44</v>
      </c>
      <c r="F43" s="321" t="s">
        <v>44</v>
      </c>
      <c r="G43" s="2897" t="s">
        <v>953</v>
      </c>
      <c r="H43" s="314"/>
      <c r="I43" s="322"/>
      <c r="J43" s="2035"/>
      <c r="K43" s="1276" t="str">
        <f>C4</f>
        <v>比较法-住宅、综合</v>
      </c>
      <c r="L43" s="1277">
        <f ca="1">IF(L42="估价结果/万元",C19,C20)</f>
        <v>16900</v>
      </c>
      <c r="M43" s="1278">
        <f>C18</f>
        <v>0.5</v>
      </c>
      <c r="N43" s="1279">
        <f ca="1">IF(N42="测算结果/万元",G19,G20)</f>
        <v>18874</v>
      </c>
      <c r="O43" s="1280">
        <f ca="1">IF(O42="最终结果/万元",C32,C33)</f>
        <v>18874</v>
      </c>
      <c r="P43" s="2033"/>
      <c r="V43" s="2033"/>
    </row>
    <row r="44" spans="1:26" ht="30.75" thickBot="1">
      <c r="A44" s="3292" t="str">
        <f>IF(OR(项目基本情况!E8="抵押价格",项目基本情况!E8="已注销及未注销"),"3.抵押价格","——")</f>
        <v>3.抵押价格</v>
      </c>
      <c r="B44" s="3293"/>
      <c r="C44" s="264">
        <f ca="1">IF(A44="——","——",C42-C43)</f>
        <v>18874</v>
      </c>
      <c r="D44" s="320">
        <f ca="1">ROUND(C44*10000/'数据-汇总表'!E3,0)</f>
        <v>1134</v>
      </c>
      <c r="E44" s="320">
        <f ca="1">ROUND(C44*10000/'数据-汇总表'!D3,0)</f>
        <v>5681</v>
      </c>
      <c r="F44" s="321">
        <f ca="1">ROUND(C44/('数据-汇总表'!D3/666.67),0)</f>
        <v>379</v>
      </c>
      <c r="G44" s="314"/>
      <c r="H44" s="314"/>
      <c r="I44" s="322"/>
      <c r="J44" s="2035"/>
      <c r="K44" s="1281" t="str">
        <f>D4</f>
        <v>剩余法-待开发</v>
      </c>
      <c r="L44" s="1282">
        <f ca="1">IF(L42="估价结果/万元",D19,D20)</f>
        <v>20847</v>
      </c>
      <c r="M44" s="1283">
        <f>D18</f>
        <v>0.5</v>
      </c>
      <c r="N44" s="1284"/>
      <c r="O44" s="1285"/>
      <c r="P44" s="2033"/>
      <c r="V44" s="2033"/>
    </row>
    <row r="45" spans="1:26" ht="15">
      <c r="A45" s="3298" t="str">
        <f>IF(项目基本情况!E8="已注销及未注销","4.抵押担保权已注销时的抵押价格",IF(项目基本情况!E8="已注销","3.抵押担保权已注销时的抵押价格","——"))</f>
        <v>——</v>
      </c>
      <c r="B45" s="3299"/>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94" t="str">
        <f>IF(项目基本情况!E9="抵押净值",IF(A45="——","4.抵押净值","5.抵押净值"),"——")</f>
        <v>——</v>
      </c>
      <c r="B46" s="3295"/>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43" t="s">
        <v>374</v>
      </c>
      <c r="B63" s="3344"/>
      <c r="C63" s="3345"/>
      <c r="D63" s="344">
        <f ca="1">ROUND(C42*F63,0)</f>
        <v>11324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00" t="s">
        <v>378</v>
      </c>
      <c r="B64" s="3301"/>
      <c r="C64" s="3301"/>
      <c r="D64" s="3301"/>
      <c r="E64" s="3301"/>
      <c r="F64" s="3301"/>
      <c r="G64" s="3302"/>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96" t="s">
        <v>386</v>
      </c>
      <c r="B66" s="3297"/>
      <c r="C66" s="3297"/>
      <c r="D66" s="261">
        <f ca="1">IF(H66="情况1",0,IF(H66="情况2",D70,IF(H66="情况3",D71,IF(H66="情况4",D72))))</f>
        <v>604</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58" t="s">
        <v>385</v>
      </c>
      <c r="M66" s="3359"/>
      <c r="N66" s="2487"/>
      <c r="O66" s="2488"/>
      <c r="P66" s="2489"/>
      <c r="Q66" s="2033"/>
      <c r="R66" s="2033"/>
      <c r="S66" s="2033"/>
      <c r="T66" s="2033"/>
      <c r="U66" s="2033"/>
      <c r="V66" s="2033"/>
    </row>
    <row r="67" spans="1:22" ht="25.5" customHeight="1">
      <c r="A67" s="355" t="s">
        <v>390</v>
      </c>
      <c r="B67" s="3287" t="s">
        <v>391</v>
      </c>
      <c r="C67" s="3287"/>
      <c r="D67" s="356">
        <v>0</v>
      </c>
      <c r="E67" s="41" t="s">
        <v>392</v>
      </c>
      <c r="F67" s="62" t="s">
        <v>21</v>
      </c>
      <c r="G67" s="3346"/>
      <c r="H67" s="314"/>
      <c r="I67" s="1295"/>
      <c r="J67" s="2040"/>
      <c r="K67" s="1981">
        <v>2</v>
      </c>
      <c r="L67" s="3357" t="s">
        <v>389</v>
      </c>
      <c r="M67" s="3357"/>
      <c r="N67" s="1328">
        <f>'数据-取费表'!B2</f>
        <v>43020</v>
      </c>
      <c r="O67" s="1328"/>
      <c r="P67" s="1328"/>
      <c r="Q67" s="2033"/>
      <c r="R67" s="2033"/>
      <c r="S67" s="2033"/>
      <c r="T67" s="2033"/>
      <c r="U67" s="2033"/>
      <c r="V67" s="2033"/>
    </row>
    <row r="68" spans="1:22" ht="25.5" customHeight="1">
      <c r="A68" s="357"/>
      <c r="B68" s="3287" t="s">
        <v>394</v>
      </c>
      <c r="C68" s="3287"/>
      <c r="D68" s="358"/>
      <c r="E68" s="77"/>
      <c r="F68" s="359"/>
      <c r="G68" s="3347"/>
      <c r="H68" s="314"/>
      <c r="I68" s="1295"/>
      <c r="J68" s="2040"/>
      <c r="K68" s="1981">
        <v>3</v>
      </c>
      <c r="L68" s="3357" t="s">
        <v>393</v>
      </c>
      <c r="M68" s="3357"/>
      <c r="N68" s="1296">
        <f ca="1">C42</f>
        <v>18874</v>
      </c>
      <c r="O68" s="1296"/>
      <c r="P68" s="1296"/>
      <c r="Q68" s="2033"/>
      <c r="R68" s="2033"/>
      <c r="S68" s="2033"/>
      <c r="T68" s="2033"/>
      <c r="U68" s="2033"/>
      <c r="V68" s="2033"/>
    </row>
    <row r="69" spans="1:22" ht="12" customHeight="1">
      <c r="A69" s="360"/>
      <c r="B69" s="3287" t="s">
        <v>395</v>
      </c>
      <c r="C69" s="3287"/>
      <c r="D69" s="361"/>
      <c r="E69" s="73"/>
      <c r="F69" s="359"/>
      <c r="G69" s="3348"/>
      <c r="H69" s="314"/>
      <c r="I69" s="1295"/>
      <c r="J69" s="2040"/>
      <c r="K69" s="1297">
        <v>4</v>
      </c>
      <c r="L69" s="3362" t="s">
        <v>2892</v>
      </c>
      <c r="M69" s="3363"/>
      <c r="N69" s="1298">
        <f ca="1">C44</f>
        <v>18874</v>
      </c>
      <c r="O69" s="1298"/>
      <c r="P69" s="1298"/>
      <c r="Q69" s="2033"/>
      <c r="R69" s="2033"/>
      <c r="S69" s="2033"/>
      <c r="T69" s="2033"/>
      <c r="U69" s="2033"/>
      <c r="V69" s="2033"/>
    </row>
    <row r="70" spans="1:22" ht="24" customHeight="1">
      <c r="A70" s="362" t="s">
        <v>396</v>
      </c>
      <c r="B70" s="3287" t="s">
        <v>397</v>
      </c>
      <c r="C70" s="3287"/>
      <c r="D70" s="361">
        <f ca="1">ROUND(D63*'数据-取费表'!B41/(1+'数据-取费表'!C42),0)</f>
        <v>604</v>
      </c>
      <c r="E70" s="17" t="s">
        <v>398</v>
      </c>
      <c r="F70" s="363">
        <f>'数据-取费表'!B41</f>
        <v>5.6000000000000001E-2</v>
      </c>
      <c r="G70" s="364"/>
      <c r="H70" s="314"/>
      <c r="I70" s="1295"/>
      <c r="J70" s="2040"/>
      <c r="K70" s="3093"/>
      <c r="L70" s="3094"/>
      <c r="M70" s="3094"/>
      <c r="N70" s="3095" t="s">
        <v>2897</v>
      </c>
      <c r="O70" s="3094"/>
      <c r="P70" s="3096"/>
      <c r="Q70" s="2033"/>
      <c r="R70" s="2033"/>
      <c r="S70" s="2033"/>
      <c r="T70" s="2033"/>
      <c r="U70" s="2033"/>
      <c r="V70" s="2033"/>
    </row>
    <row r="71" spans="1:22" ht="12" customHeight="1">
      <c r="A71" s="362" t="s">
        <v>404</v>
      </c>
      <c r="B71" s="3288" t="s">
        <v>405</v>
      </c>
      <c r="C71" s="3289"/>
      <c r="D71" s="361">
        <f ca="1">ROUND(D63*'数据-取费表'!B41/(1+'数据-取费表'!C42),0)</f>
        <v>604</v>
      </c>
      <c r="E71" s="17" t="s">
        <v>398</v>
      </c>
      <c r="F71" s="363">
        <f>'数据-取费表'!B41</f>
        <v>5.6000000000000001E-2</v>
      </c>
      <c r="G71" s="364"/>
      <c r="H71" s="314"/>
      <c r="I71" s="1295"/>
      <c r="J71" s="2040"/>
      <c r="K71" s="3092" t="s">
        <v>399</v>
      </c>
      <c r="L71" s="3364" t="s">
        <v>400</v>
      </c>
      <c r="M71" s="3364"/>
      <c r="N71" s="3092" t="s">
        <v>401</v>
      </c>
      <c r="O71" s="3092" t="s">
        <v>402</v>
      </c>
      <c r="P71" s="3092" t="s">
        <v>403</v>
      </c>
      <c r="Q71" s="2033"/>
      <c r="R71" s="2033"/>
      <c r="S71" s="2033"/>
      <c r="T71" s="2033"/>
      <c r="U71" s="2033"/>
      <c r="V71" s="2033"/>
    </row>
    <row r="72" spans="1:22" ht="12" customHeight="1">
      <c r="A72" s="362" t="s">
        <v>407</v>
      </c>
      <c r="B72" s="3288" t="s">
        <v>408</v>
      </c>
      <c r="C72" s="3289"/>
      <c r="D72" s="361">
        <f ca="1">C86</f>
        <v>492</v>
      </c>
      <c r="E72" s="73" t="s">
        <v>409</v>
      </c>
      <c r="F72" s="363">
        <f>'数据-取费表'!B41</f>
        <v>5.6000000000000001E-2</v>
      </c>
      <c r="G72" s="364"/>
      <c r="H72" s="1301"/>
      <c r="I72" s="1295"/>
      <c r="J72" s="2040"/>
      <c r="K72" s="1981">
        <v>1</v>
      </c>
      <c r="L72" s="3339" t="s">
        <v>406</v>
      </c>
      <c r="M72" s="3339"/>
      <c r="N72" s="1299">
        <f ca="1">D66</f>
        <v>604</v>
      </c>
      <c r="O72" s="1864" t="str">
        <f>E66</f>
        <v>销售额×税（费）率</v>
      </c>
      <c r="P72" s="1300">
        <f>F66</f>
        <v>5.6000000000000001E-2</v>
      </c>
      <c r="Q72" s="2033"/>
      <c r="R72" s="2033"/>
      <c r="S72" s="2033"/>
      <c r="T72" s="2033"/>
      <c r="U72" s="2033"/>
      <c r="V72" s="2033"/>
    </row>
    <row r="73" spans="1:22" ht="24" customHeight="1">
      <c r="A73" s="3333" t="s">
        <v>411</v>
      </c>
      <c r="B73" s="3297"/>
      <c r="C73" s="3297"/>
      <c r="D73" s="365">
        <f>IF(H73="个人住宅",0,ROUND(D63*I73,0))</f>
        <v>0</v>
      </c>
      <c r="E73" s="17" t="s">
        <v>412</v>
      </c>
      <c r="F73" s="363" t="str">
        <f>IF(H73="正常",I73,"免征")</f>
        <v>免征</v>
      </c>
      <c r="G73" s="364"/>
      <c r="H73" s="191" t="s">
        <v>2461</v>
      </c>
      <c r="I73" s="363">
        <f>'数据-取费表'!B49</f>
        <v>5.0000000000000001E-4</v>
      </c>
      <c r="J73" s="2040"/>
      <c r="K73" s="1981">
        <v>2</v>
      </c>
      <c r="L73" s="3339" t="s">
        <v>410</v>
      </c>
      <c r="M73" s="3339"/>
      <c r="N73" s="1299">
        <f t="shared" ref="N73:P74" si="1">D73</f>
        <v>0</v>
      </c>
      <c r="O73" s="1864" t="str">
        <f t="shared" si="1"/>
        <v>销售额×税（费）率</v>
      </c>
      <c r="P73" s="1300" t="str">
        <f t="shared" si="1"/>
        <v>免征</v>
      </c>
      <c r="Q73" s="2033"/>
      <c r="R73" s="2033"/>
      <c r="S73" s="2033"/>
      <c r="T73" s="2033"/>
      <c r="U73" s="2033"/>
      <c r="V73" s="2033"/>
    </row>
    <row r="74" spans="1:22" ht="24.75">
      <c r="A74" s="3333" t="s">
        <v>415</v>
      </c>
      <c r="B74" s="3297"/>
      <c r="C74" s="3297"/>
      <c r="D74" s="365">
        <f ca="1">IF(H74="个人住宅",D75,D76)</f>
        <v>5754</v>
      </c>
      <c r="E74" s="17" t="s">
        <v>416</v>
      </c>
      <c r="F74" s="363" t="str">
        <f>IF(H74="正常",F76,"免征")</f>
        <v>——</v>
      </c>
      <c r="G74" s="986" t="s">
        <v>417</v>
      </c>
      <c r="H74" s="366" t="s">
        <v>413</v>
      </c>
      <c r="I74" s="42"/>
      <c r="J74" s="2040"/>
      <c r="K74" s="1981">
        <v>3</v>
      </c>
      <c r="L74" s="3339" t="s">
        <v>414</v>
      </c>
      <c r="M74" s="3339"/>
      <c r="N74" s="1299">
        <f t="shared" ca="1" si="1"/>
        <v>5754</v>
      </c>
      <c r="O74" s="1864" t="str">
        <f t="shared" si="1"/>
        <v>增值额×税（费）率</v>
      </c>
      <c r="P74" s="1302" t="str">
        <f t="shared" si="1"/>
        <v>——</v>
      </c>
      <c r="Q74" s="2033"/>
      <c r="R74" s="2033"/>
      <c r="S74" s="2033"/>
      <c r="T74" s="2033"/>
      <c r="U74" s="2033"/>
      <c r="V74" s="2033"/>
    </row>
    <row r="75" spans="1:22" ht="24">
      <c r="A75" s="362" t="s">
        <v>418</v>
      </c>
      <c r="B75" s="3285" t="s">
        <v>419</v>
      </c>
      <c r="C75" s="3319"/>
      <c r="D75" s="367">
        <v>0</v>
      </c>
      <c r="E75" s="41" t="s">
        <v>420</v>
      </c>
      <c r="F75" s="368"/>
      <c r="G75" s="364"/>
      <c r="H75" s="42"/>
      <c r="I75" s="42"/>
      <c r="J75" s="2040"/>
      <c r="K75" s="3085">
        <f>IF(H77="非个人房产","",4)</f>
        <v>4</v>
      </c>
      <c r="L75" s="3339" t="str">
        <f>IF(H77="非个人房产","——","个人所得税")</f>
        <v>个人所得税</v>
      </c>
      <c r="M75" s="3339"/>
      <c r="N75" s="1303">
        <f ca="1">D77</f>
        <v>113</v>
      </c>
      <c r="O75" s="1877" t="str">
        <f>E77</f>
        <v>销售额×税（费）率</v>
      </c>
      <c r="P75" s="1304">
        <f>F77</f>
        <v>0.01</v>
      </c>
      <c r="Q75" s="2033"/>
      <c r="R75" s="2033"/>
      <c r="S75" s="2033"/>
      <c r="T75" s="2033"/>
      <c r="U75" s="2033"/>
      <c r="V75" s="2033"/>
    </row>
    <row r="76" spans="1:22" ht="24.75">
      <c r="A76" s="362" t="s">
        <v>396</v>
      </c>
      <c r="B76" s="3285" t="s">
        <v>422</v>
      </c>
      <c r="C76" s="3286"/>
      <c r="D76" s="365">
        <f ca="1">IF(H76="转让取得",C99,C115)</f>
        <v>5754</v>
      </c>
      <c r="E76" s="17" t="s">
        <v>423</v>
      </c>
      <c r="F76" s="53" t="s">
        <v>21</v>
      </c>
      <c r="G76" s="364"/>
      <c r="H76" s="366" t="s">
        <v>424</v>
      </c>
      <c r="I76" s="42"/>
      <c r="J76" s="2040"/>
      <c r="K76" s="3085" t="str">
        <f>IF(项目基本情况!K6="上海银行",IF(K75="",4,K75+1),"")</f>
        <v/>
      </c>
      <c r="L76" s="3350" t="str">
        <f>IF(项目基本情况!K6="上海银行","其他处置费用","")</f>
        <v/>
      </c>
      <c r="M76" s="3351"/>
      <c r="N76" s="1299" t="str">
        <f>IF(项目基本情况!K6="上海银行",N89,"")</f>
        <v/>
      </c>
      <c r="O76" s="3352" t="str">
        <f>IF(项目基本情况!K6="上海银行","包含处置中涉及的律师、诉讼、拍卖、评估等费用","")</f>
        <v/>
      </c>
      <c r="P76" s="3353"/>
      <c r="Q76" s="2033"/>
      <c r="R76" s="2033"/>
      <c r="S76" s="2033"/>
      <c r="T76" s="2033"/>
      <c r="U76" s="2033"/>
      <c r="V76" s="2033"/>
    </row>
    <row r="77" spans="1:22" ht="26.25" thickBot="1">
      <c r="A77" s="3341" t="s">
        <v>426</v>
      </c>
      <c r="B77" s="3342"/>
      <c r="C77" s="3342"/>
      <c r="D77" s="369">
        <f ca="1">IF(H77="非个人房产","——",IF(H77="个人住宅",0,ROUND(D63*I77,0)))</f>
        <v>113</v>
      </c>
      <c r="E77" s="370" t="str">
        <f>IF(H77="非个人房产","——","销售额×税（费）率")</f>
        <v>销售额×税（费）率</v>
      </c>
      <c r="F77" s="371">
        <f>IF(H77="非个人房产","——",IF(H77="个人住宅","免征",I77))</f>
        <v>0.01</v>
      </c>
      <c r="G77" s="987" t="s">
        <v>417</v>
      </c>
      <c r="H77" s="366" t="s">
        <v>2893</v>
      </c>
      <c r="I77" s="372">
        <v>0.01</v>
      </c>
      <c r="J77" s="2040"/>
      <c r="K77" s="3340">
        <f>IF(AND(K75="",K76=""),4,IF(项目基本情况!K6="上海银行",K76+1,K75+1))</f>
        <v>5</v>
      </c>
      <c r="L77" s="3339" t="s">
        <v>2894</v>
      </c>
      <c r="M77" s="3091" t="s">
        <v>421</v>
      </c>
      <c r="N77" s="1305"/>
      <c r="O77" s="1306">
        <f ca="1">SUMIF(N72:N76,"&lt;9e307")</f>
        <v>6471</v>
      </c>
      <c r="P77" s="1307"/>
      <c r="Q77" s="3089">
        <f ca="1">O77/N69</f>
        <v>0.34285260146232915</v>
      </c>
      <c r="R77" s="2033"/>
      <c r="S77" s="2033"/>
      <c r="T77" s="2033"/>
      <c r="U77" s="2033"/>
      <c r="V77" s="2033"/>
    </row>
    <row r="78" spans="1:22" ht="12" customHeight="1">
      <c r="A78" s="1308"/>
      <c r="B78" s="314"/>
      <c r="C78" s="314"/>
      <c r="D78" s="314"/>
      <c r="E78" s="42"/>
      <c r="F78" s="42"/>
      <c r="G78" s="42"/>
      <c r="H78" s="1006"/>
      <c r="I78" s="314"/>
      <c r="J78" s="2040"/>
      <c r="K78" s="3340"/>
      <c r="L78" s="3339"/>
      <c r="M78" s="3091" t="s">
        <v>425</v>
      </c>
      <c r="N78" s="1305"/>
      <c r="O78" s="1306" t="str">
        <f ca="1">NUMBERSTRING(INT(O77*10000),2)&amp;"元整"</f>
        <v>陆仟肆佰柒拾壹万元整</v>
      </c>
      <c r="P78" s="1307"/>
      <c r="Q78" s="2033"/>
      <c r="R78" s="2033"/>
      <c r="S78" s="2033"/>
      <c r="T78" s="2033"/>
      <c r="U78" s="2033"/>
      <c r="V78" s="2033"/>
    </row>
    <row r="79" spans="1:22" ht="13.5" thickBot="1">
      <c r="A79" s="3334" t="s">
        <v>427</v>
      </c>
      <c r="B79" s="3334"/>
      <c r="C79" s="3334"/>
      <c r="D79" s="3334"/>
      <c r="E79" s="3334"/>
      <c r="F79" s="42"/>
      <c r="G79" s="42"/>
      <c r="H79" s="1006"/>
      <c r="I79" s="314"/>
      <c r="J79" s="2040"/>
      <c r="K79" s="3360">
        <f>K77+1</f>
        <v>6</v>
      </c>
      <c r="L79" s="3339" t="s">
        <v>2895</v>
      </c>
      <c r="M79" s="3091" t="s">
        <v>421</v>
      </c>
      <c r="N79" s="1305"/>
      <c r="O79" s="1306">
        <f ca="1">N69-O77</f>
        <v>12403</v>
      </c>
      <c r="P79" s="1307"/>
      <c r="Q79" s="2033"/>
      <c r="R79" s="2033"/>
      <c r="S79" s="2033"/>
      <c r="T79" s="2033"/>
      <c r="U79" s="2033"/>
      <c r="V79" s="2033"/>
    </row>
    <row r="80" spans="1:22" ht="25.5">
      <c r="A80" s="3329" t="s">
        <v>428</v>
      </c>
      <c r="B80" s="3330"/>
      <c r="C80" s="997"/>
      <c r="D80" s="997" t="s">
        <v>429</v>
      </c>
      <c r="E80" s="373" t="s">
        <v>430</v>
      </c>
      <c r="F80" s="42"/>
      <c r="G80" s="42"/>
      <c r="H80" s="1006"/>
      <c r="I80" s="314"/>
      <c r="J80" s="2033"/>
      <c r="K80" s="3361"/>
      <c r="L80" s="3339"/>
      <c r="M80" s="3091" t="s">
        <v>425</v>
      </c>
      <c r="N80" s="1305"/>
      <c r="O80" s="1306" t="str">
        <f ca="1">NUMBERSTRING(INT(O79*10000),2)&amp;"元整"</f>
        <v>壹亿贰仟肆佰零叁万元整</v>
      </c>
      <c r="P80" s="1307"/>
      <c r="Q80" s="2033"/>
      <c r="R80" s="2033"/>
      <c r="S80" s="2033"/>
      <c r="T80" s="2033"/>
      <c r="U80" s="2033"/>
      <c r="V80" s="2033"/>
    </row>
    <row r="81" spans="1:26" ht="13.5" thickBot="1">
      <c r="A81" s="384" t="s">
        <v>1825</v>
      </c>
      <c r="B81" s="374" t="s">
        <v>431</v>
      </c>
      <c r="C81" s="375">
        <f ca="1">ROUND((C82+C83)/(1+'数据-取费表'!C42),0)</f>
        <v>10785</v>
      </c>
      <c r="D81" s="376"/>
      <c r="E81" s="377"/>
      <c r="F81" s="42"/>
      <c r="G81" s="42"/>
      <c r="H81" s="1006"/>
      <c r="I81" s="314"/>
      <c r="J81" s="2033"/>
      <c r="K81" s="3085">
        <f>K79+1</f>
        <v>7</v>
      </c>
      <c r="L81" s="3337" t="s">
        <v>2896</v>
      </c>
      <c r="M81" s="3338"/>
      <c r="N81" s="1309"/>
      <c r="O81" s="1310">
        <f ca="1">ROUND(O79*10000/'数据-汇总表'!E3,0)</f>
        <v>745</v>
      </c>
      <c r="P81" s="1311"/>
      <c r="Q81" s="2033"/>
      <c r="R81" s="2033"/>
      <c r="S81" s="2033"/>
      <c r="T81" s="2033"/>
      <c r="U81" s="2033"/>
      <c r="V81" s="2033"/>
    </row>
    <row r="82" spans="1:26" ht="13.5" thickTop="1">
      <c r="A82" s="378" t="s">
        <v>1826</v>
      </c>
      <c r="B82" s="379" t="s">
        <v>432</v>
      </c>
      <c r="C82" s="380">
        <f ca="1">D63</f>
        <v>11324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49" t="s">
        <v>2883</v>
      </c>
      <c r="L83" s="3097" t="s">
        <v>2884</v>
      </c>
      <c r="M83" s="3087">
        <f ca="1">IF(N69&gt;10000,N69*0.5%,IF(AND(N69&gt;1000,N69&lt;=10000),N69*1%,IF(AND(N69&gt;100,N69&lt;=1000),N69*3%,IF(AND(N69&gt;10,N69&lt;=100),N69*5%,N69*8%))))</f>
        <v>94.37</v>
      </c>
      <c r="N83" s="53">
        <f ca="1">ROUND(M83,1)</f>
        <v>94.4</v>
      </c>
      <c r="O83" s="3090"/>
      <c r="P83" s="2033"/>
      <c r="Q83" s="2033"/>
      <c r="R83" s="2033"/>
      <c r="S83" s="2033"/>
      <c r="T83" s="2033"/>
      <c r="U83" s="2033"/>
      <c r="V83" s="2033"/>
    </row>
    <row r="84" spans="1:26" ht="12.75">
      <c r="A84" s="384" t="s">
        <v>1828</v>
      </c>
      <c r="B84" s="385" t="s">
        <v>434</v>
      </c>
      <c r="C84" s="386">
        <v>2000</v>
      </c>
      <c r="D84" s="387" t="s">
        <v>19</v>
      </c>
      <c r="E84" s="3132" t="s">
        <v>2952</v>
      </c>
      <c r="F84" s="42"/>
      <c r="G84" s="42"/>
      <c r="H84" s="1006"/>
      <c r="I84" s="314"/>
      <c r="J84" s="2033"/>
      <c r="K84" s="3349"/>
      <c r="L84" s="3097" t="s">
        <v>2885</v>
      </c>
      <c r="M84" s="3087">
        <f ca="1">IF(N69&gt;2000,N69*0.5%,IF(AND(N69&gt;1000,N69&lt;=2000),N69*0.6%,IF(AND(N69&gt;500,N69&lt;=1000),N69*0.7%,IF(AND(N69&gt;200,N69&lt;=500),N69*0.8%,IF(AND(N69&gt;100,N69&lt;=200),N69*0.9%,IF(AND(N69&gt;50,N69&lt;=100),N69*1%,IF(AND(N69&gt;20,N69&lt;=50),N69*1.5%,IF(AND(N69&gt;10,N69&lt;=20),N69*2%,IF(AND(N69&gt;1,N69&lt;=10),N69*2.5%)))))))))</f>
        <v>94.37</v>
      </c>
      <c r="N84" s="53">
        <f t="shared" ref="N84:N85" ca="1" si="2">ROUND(M84,1)</f>
        <v>94.4</v>
      </c>
      <c r="O84" s="2033" t="s">
        <v>2886</v>
      </c>
      <c r="P84" s="2033"/>
      <c r="Q84" s="2033"/>
      <c r="R84" s="2033"/>
      <c r="S84" s="2033"/>
      <c r="T84" s="2033"/>
      <c r="U84" s="2033"/>
      <c r="V84" s="2033"/>
    </row>
    <row r="85" spans="1:26" ht="12.75">
      <c r="A85" s="384" t="s">
        <v>1829</v>
      </c>
      <c r="B85" s="385" t="s">
        <v>435</v>
      </c>
      <c r="C85" s="388">
        <f ca="1">C81-C84</f>
        <v>8785</v>
      </c>
      <c r="D85" s="381" t="s">
        <v>19</v>
      </c>
      <c r="E85" s="382"/>
      <c r="F85" s="42"/>
      <c r="G85" s="42"/>
      <c r="H85" s="1006"/>
      <c r="I85" s="314"/>
      <c r="J85" s="2033"/>
      <c r="K85" s="3349"/>
      <c r="L85" s="3097" t="s">
        <v>2887</v>
      </c>
      <c r="M85" s="3087">
        <f ca="1">IF(N69&gt;1000,N69*0.1%,IF(AND(N69&gt;500,N69&lt;=1000),N69*0.5%,IF(AND(N69&gt;50,N69&lt;=500),N69*1%,IF(AND(N69&gt;1,N69&lt;=50),N69*1.5%))))</f>
        <v>18.873999999999999</v>
      </c>
      <c r="N85" s="53">
        <f t="shared" ca="1" si="2"/>
        <v>18.899999999999999</v>
      </c>
      <c r="O85" s="2033" t="s">
        <v>2886</v>
      </c>
      <c r="P85" s="2033"/>
      <c r="Q85" s="2033"/>
      <c r="R85" s="2033"/>
      <c r="S85" s="2033"/>
      <c r="T85" s="2033"/>
      <c r="U85" s="2033"/>
      <c r="V85" s="2033"/>
    </row>
    <row r="86" spans="1:26" ht="13.5" thickBot="1">
      <c r="A86" s="389" t="s">
        <v>1830</v>
      </c>
      <c r="B86" s="390" t="s">
        <v>436</v>
      </c>
      <c r="C86" s="391">
        <f ca="1">IF(C85&lt;=0,0,ROUND(C85*D86,0))</f>
        <v>492</v>
      </c>
      <c r="D86" s="392">
        <f>'数据-取费表'!B41</f>
        <v>5.6000000000000001E-2</v>
      </c>
      <c r="E86" s="393"/>
      <c r="F86" s="42"/>
      <c r="G86" s="42"/>
      <c r="H86" s="1006"/>
      <c r="I86" s="314"/>
      <c r="J86" s="2033"/>
      <c r="K86" s="3349"/>
      <c r="L86" s="3097" t="s">
        <v>2888</v>
      </c>
      <c r="M86" s="3087">
        <f ca="1">N69*0.5%</f>
        <v>94.37</v>
      </c>
      <c r="N86" s="53">
        <f ca="1">IF(M86&gt;0.5,0.5,ROUND(M86,0))</f>
        <v>0.5</v>
      </c>
      <c r="O86" s="2033" t="s">
        <v>2889</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49"/>
      <c r="L87" s="3097" t="s">
        <v>2890</v>
      </c>
      <c r="M87" s="3087">
        <f ca="1">IF(N69&gt;=10000,(8.25+(N69-10000)*0.01%),IF(AND(N69&gt;=8000,N69&lt;10000),(7.85+(N69-8000)*0.02%),IF(AND(N69&gt;=5000,N69&lt;8000),(6.65+(N69-5000)*0.04%),IF(AND(N69&gt;=2000,N69&lt;5000),(4.25+(PN69-2000)*0.08%),IF(AND(N69&gt;=1000,N69&lt;2000),(2.75+(N69-1000)*0.15%),IF(AND(N69&gt;=100,N69&lt;1000),(0.5+(N69-100)*0.25%),IF(AND(N69&gt;0,N69&lt;100),N69*0.5%)))))))</f>
        <v>9.1373999999999995</v>
      </c>
      <c r="N87" s="53">
        <f ca="1">ROUND(M87*0.9,1)</f>
        <v>8.1999999999999993</v>
      </c>
      <c r="O87" s="3090"/>
      <c r="P87" s="314"/>
      <c r="Q87" s="2033"/>
      <c r="R87" s="2033"/>
      <c r="S87" s="2033"/>
      <c r="T87" s="2033"/>
      <c r="U87" s="2033"/>
      <c r="V87" s="2033"/>
      <c r="W87" s="292"/>
      <c r="X87" s="292"/>
      <c r="Y87" s="292"/>
      <c r="Z87" s="292"/>
    </row>
    <row r="88" spans="1:26" s="1317" customFormat="1" ht="15" thickBot="1">
      <c r="A88" s="3331" t="s">
        <v>437</v>
      </c>
      <c r="B88" s="3332"/>
      <c r="C88" s="3332"/>
      <c r="D88" s="3332"/>
      <c r="E88" s="3332"/>
      <c r="F88" s="3332"/>
      <c r="G88" s="3332"/>
      <c r="H88" s="3332"/>
      <c r="I88" s="1318"/>
      <c r="J88" s="2041"/>
      <c r="K88" s="3349"/>
      <c r="L88" s="3097" t="s">
        <v>2891</v>
      </c>
      <c r="M88" s="3087">
        <f ca="1">IF(N69&gt;10000,N69*0.5%,IF(AND(N69&gt;5000,N69&lt;=10000),N69*1%,IF(AND(N69&gt;1000,N69&lt;=5000),N69*2%,IF(AND(N69&gt;200,N69&lt;=1000),N69*3%,N69*5%))))</f>
        <v>94.37</v>
      </c>
      <c r="N88" s="53">
        <f ca="1">ROUND(M88,1)</f>
        <v>94.4</v>
      </c>
      <c r="O88" s="3090"/>
      <c r="P88" s="11"/>
      <c r="Q88" s="2038"/>
      <c r="R88" s="2038"/>
      <c r="S88" s="2038"/>
      <c r="T88" s="2038"/>
      <c r="U88" s="2038"/>
      <c r="V88" s="2038"/>
      <c r="W88" s="2042"/>
      <c r="X88" s="2042"/>
      <c r="Y88" s="2042"/>
      <c r="Z88" s="2042"/>
    </row>
    <row r="89" spans="1:26" s="1317" customFormat="1" ht="14.25">
      <c r="A89" s="3329" t="s">
        <v>428</v>
      </c>
      <c r="B89" s="3330"/>
      <c r="C89" s="997"/>
      <c r="D89" s="997" t="s">
        <v>429</v>
      </c>
      <c r="E89" s="394" t="s">
        <v>438</v>
      </c>
      <c r="F89" s="395"/>
      <c r="G89" s="395"/>
      <c r="H89" s="396"/>
      <c r="I89" s="1319"/>
      <c r="J89" s="2043"/>
      <c r="K89" s="3349"/>
      <c r="L89" s="3097" t="s">
        <v>27</v>
      </c>
      <c r="M89" s="3088"/>
      <c r="N89" s="53">
        <f ca="1">ROUND(SUM(N83:N88),0)</f>
        <v>311</v>
      </c>
      <c r="O89" s="3098">
        <f ca="1">N89/N69</f>
        <v>1.6477694182473242E-2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10785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2626</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88" t="s">
        <v>447</v>
      </c>
      <c r="F94" s="3287"/>
      <c r="G94" s="3287"/>
      <c r="H94" s="3328"/>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65</v>
      </c>
      <c r="D96" s="409">
        <f>'数据-取费表'!B43</f>
        <v>6.000000000000001E-3</v>
      </c>
      <c r="E96" s="3320" t="s">
        <v>2433</v>
      </c>
      <c r="F96" s="3321"/>
      <c r="G96" s="3321"/>
      <c r="H96" s="3322"/>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8159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3.107006854531607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3976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31" t="s">
        <v>454</v>
      </c>
      <c r="B101" s="3332"/>
      <c r="C101" s="3332"/>
      <c r="D101" s="3332"/>
      <c r="E101" s="3332"/>
      <c r="F101" s="3332"/>
      <c r="G101" s="3332"/>
      <c r="H101" s="3332"/>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29" t="s">
        <v>428</v>
      </c>
      <c r="B102" s="3330"/>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10785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755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v>555</v>
      </c>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55</v>
      </c>
      <c r="D109" s="409"/>
      <c r="E109" s="3323" t="s">
        <v>462</v>
      </c>
      <c r="F109" s="3321"/>
      <c r="G109" s="3321"/>
      <c r="H109" s="1946" t="s">
        <v>2283</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63</v>
      </c>
      <c r="D110" s="409">
        <v>0.1</v>
      </c>
      <c r="E110" s="3323" t="s">
        <v>464</v>
      </c>
      <c r="F110" s="3321"/>
      <c r="G110" s="3321"/>
      <c r="H110" s="3322"/>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65</v>
      </c>
      <c r="D111" s="409">
        <f>'数据-取费表'!B43</f>
        <v>6.000000000000001E-3</v>
      </c>
      <c r="E111" s="3320" t="s">
        <v>2433</v>
      </c>
      <c r="F111" s="3321"/>
      <c r="G111" s="3321"/>
      <c r="H111" s="3322"/>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23" t="s">
        <v>2458</v>
      </c>
      <c r="F112" s="3321"/>
      <c r="G112" s="3321"/>
      <c r="H112" s="3322"/>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10030</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13.284768211920531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5754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35" zoomScale="80" zoomScaleNormal="95" zoomScaleSheetLayoutView="80" workbookViewId="0">
      <selection activeCell="E58" sqref="E5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16900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1015</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5087</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339</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4" t="s">
        <v>523</v>
      </c>
      <c r="D6" s="3375"/>
      <c r="E6" s="3374" t="s">
        <v>524</v>
      </c>
      <c r="F6" s="3375"/>
      <c r="G6" s="3374" t="s">
        <v>525</v>
      </c>
      <c r="H6" s="3375"/>
      <c r="I6" s="3374" t="s">
        <v>526</v>
      </c>
      <c r="J6" s="3375"/>
      <c r="K6" s="517" t="s">
        <v>527</v>
      </c>
      <c r="L6" s="2138"/>
      <c r="M6" s="2137"/>
      <c r="N6" s="2137"/>
      <c r="O6" s="2139"/>
      <c r="P6" s="3376" t="s">
        <v>528</v>
      </c>
      <c r="Q6" s="3377"/>
      <c r="R6" s="3382" t="s">
        <v>524</v>
      </c>
      <c r="S6" s="3383"/>
      <c r="T6" s="3382" t="s">
        <v>525</v>
      </c>
      <c r="U6" s="3383"/>
      <c r="V6" s="3369" t="s">
        <v>526</v>
      </c>
      <c r="W6" s="3369"/>
      <c r="X6" s="1571"/>
      <c r="Y6" s="3382" t="s">
        <v>528</v>
      </c>
      <c r="Z6" s="3383"/>
      <c r="AA6" s="3371" t="s">
        <v>524</v>
      </c>
      <c r="AB6" s="3372" t="s">
        <v>525</v>
      </c>
      <c r="AC6" s="3371" t="s">
        <v>526</v>
      </c>
    </row>
    <row r="7" spans="1:30" ht="20.25">
      <c r="A7" s="518"/>
      <c r="B7" s="519"/>
      <c r="C7" s="3392" t="s">
        <v>2939</v>
      </c>
      <c r="D7" s="3391"/>
      <c r="E7" s="3390" t="s">
        <v>3030</v>
      </c>
      <c r="F7" s="3391"/>
      <c r="G7" s="3390" t="s">
        <v>3031</v>
      </c>
      <c r="H7" s="3391"/>
      <c r="I7" s="3390" t="s">
        <v>3033</v>
      </c>
      <c r="J7" s="3391"/>
      <c r="K7" s="517"/>
      <c r="L7" s="2138"/>
      <c r="M7" s="2137"/>
      <c r="N7" s="2137"/>
      <c r="O7" s="2139"/>
      <c r="P7" s="3378"/>
      <c r="Q7" s="3379"/>
      <c r="R7" s="3384"/>
      <c r="S7" s="3385"/>
      <c r="T7" s="3384"/>
      <c r="U7" s="3385"/>
      <c r="V7" s="3369"/>
      <c r="W7" s="3369"/>
      <c r="X7" s="1571"/>
      <c r="Y7" s="3384"/>
      <c r="Z7" s="3385"/>
      <c r="AA7" s="3372"/>
      <c r="AB7" s="3372"/>
      <c r="AC7" s="3372"/>
    </row>
    <row r="8" spans="1:30" ht="39.75" customHeight="1" thickBot="1">
      <c r="A8" s="518"/>
      <c r="B8" s="519"/>
      <c r="C8" s="3393" t="s">
        <v>2943</v>
      </c>
      <c r="D8" s="3394"/>
      <c r="E8" s="3395" t="s">
        <v>3029</v>
      </c>
      <c r="F8" s="3394"/>
      <c r="G8" s="3388" t="s">
        <v>3032</v>
      </c>
      <c r="H8" s="3389"/>
      <c r="I8" s="3388" t="s">
        <v>3034</v>
      </c>
      <c r="J8" s="3389"/>
      <c r="K8" s="517" t="s">
        <v>529</v>
      </c>
      <c r="L8" s="2138"/>
      <c r="M8" s="2137"/>
      <c r="N8" s="2137"/>
      <c r="O8" s="2139"/>
      <c r="P8" s="3380"/>
      <c r="Q8" s="3381"/>
      <c r="R8" s="3384"/>
      <c r="S8" s="3385"/>
      <c r="T8" s="3386"/>
      <c r="U8" s="3387"/>
      <c r="V8" s="3369"/>
      <c r="W8" s="3369"/>
      <c r="X8" s="1571"/>
      <c r="Y8" s="3386"/>
      <c r="Z8" s="3387"/>
      <c r="AA8" s="3373"/>
      <c r="AB8" s="3373"/>
      <c r="AC8" s="3373"/>
    </row>
    <row r="9" spans="1:30" s="1223" customFormat="1" ht="21" thickBot="1">
      <c r="A9" s="2943"/>
      <c r="B9" s="2950" t="s">
        <v>530</v>
      </c>
      <c r="C9" s="2942">
        <f>'数据-取费表'!B2</f>
        <v>43020</v>
      </c>
      <c r="D9" s="523">
        <v>100</v>
      </c>
      <c r="E9" s="524">
        <v>42011</v>
      </c>
      <c r="F9" s="525">
        <f>SUMIF(72:72,YEAR(E9)&amp;"-"&amp;INT((MONTH(E9)+2)/3),73:73)</f>
        <v>94.5</v>
      </c>
      <c r="G9" s="526">
        <v>42039</v>
      </c>
      <c r="H9" s="523">
        <f>SUMIF(72:72,YEAR(G9)&amp;"-"&amp;INT((MONTH(G9)+2)/3),73:73)</f>
        <v>94.5</v>
      </c>
      <c r="I9" s="526">
        <v>42864</v>
      </c>
      <c r="J9" s="523">
        <f>SUMIF(72:72,YEAR(I9)&amp;"-"&amp;INT((MONTH(I9)+2)/3),73:73)</f>
        <v>99</v>
      </c>
      <c r="K9" s="527"/>
      <c r="L9" s="2140"/>
      <c r="M9" s="2137"/>
      <c r="N9" s="2137"/>
      <c r="O9" s="2141"/>
      <c r="P9" s="3401" t="s">
        <v>531</v>
      </c>
      <c r="Q9" s="3403"/>
      <c r="R9" s="1572" t="s">
        <v>8</v>
      </c>
      <c r="S9" s="1573">
        <f t="shared" ref="S9:S17" si="0">F9</f>
        <v>94.5</v>
      </c>
      <c r="T9" s="1572" t="s">
        <v>8</v>
      </c>
      <c r="U9" s="1573">
        <f t="shared" ref="U9:U17" si="1">H9</f>
        <v>94.5</v>
      </c>
      <c r="V9" s="1572" t="s">
        <v>8</v>
      </c>
      <c r="W9" s="1573">
        <f t="shared" ref="W9:W17" si="2">J9</f>
        <v>99</v>
      </c>
      <c r="X9" s="1574"/>
      <c r="Y9" s="3401" t="s">
        <v>531</v>
      </c>
      <c r="Z9" s="3402"/>
      <c r="AA9" s="1575">
        <f>D9/F9</f>
        <v>1.0582010582010581</v>
      </c>
      <c r="AB9" s="1575">
        <f>D9/H9</f>
        <v>1.0582010582010581</v>
      </c>
      <c r="AC9" s="1575">
        <f>D9/J9</f>
        <v>1.0101010101010102</v>
      </c>
    </row>
    <row r="10" spans="1:30" s="1223" customFormat="1" ht="21" thickBot="1">
      <c r="A10" s="2944"/>
      <c r="B10" s="2951" t="s">
        <v>532</v>
      </c>
      <c r="C10" s="859" t="s">
        <v>533</v>
      </c>
      <c r="D10" s="523">
        <v>100</v>
      </c>
      <c r="E10" s="528" t="s">
        <v>3035</v>
      </c>
      <c r="F10" s="525">
        <f>SUMIF(75:75,E10,76:76)-SUMIF(75:75,C10,76:76)+100</f>
        <v>100</v>
      </c>
      <c r="G10" s="528" t="s">
        <v>3035</v>
      </c>
      <c r="H10" s="523">
        <f>SUMIF(75:75,G10,76:76)-SUMIF(75:75,C10,76:76)+100</f>
        <v>100</v>
      </c>
      <c r="I10" s="528" t="s">
        <v>3035</v>
      </c>
      <c r="J10" s="523">
        <f>SUMIF(75:75,I10,76:76)-SUMIF(75:75,C10,76:76)+100</f>
        <v>100</v>
      </c>
      <c r="K10" s="527"/>
      <c r="L10" s="2140"/>
      <c r="M10" s="2137"/>
      <c r="N10" s="2137"/>
      <c r="O10" s="2141"/>
      <c r="P10" s="3401" t="s">
        <v>534</v>
      </c>
      <c r="Q10" s="3402"/>
      <c r="R10" s="1572" t="s">
        <v>8</v>
      </c>
      <c r="S10" s="1573">
        <f t="shared" si="0"/>
        <v>100</v>
      </c>
      <c r="T10" s="1572" t="s">
        <v>8</v>
      </c>
      <c r="U10" s="1573">
        <f t="shared" si="1"/>
        <v>100</v>
      </c>
      <c r="V10" s="1572" t="s">
        <v>8</v>
      </c>
      <c r="W10" s="1573">
        <f t="shared" si="2"/>
        <v>100</v>
      </c>
      <c r="X10" s="1574"/>
      <c r="Y10" s="3401" t="s">
        <v>534</v>
      </c>
      <c r="Z10" s="3402"/>
      <c r="AA10" s="1575">
        <f t="shared" ref="AA10:AA47" si="3">D10/F10</f>
        <v>1</v>
      </c>
      <c r="AB10" s="1575">
        <f t="shared" ref="AB10:AB47" si="4">D10/H10</f>
        <v>1</v>
      </c>
      <c r="AC10" s="1575">
        <f t="shared" ref="AC10:AC47" si="5">D10/J10</f>
        <v>1</v>
      </c>
    </row>
    <row r="11" spans="1:30" s="1223" customFormat="1" ht="20.25">
      <c r="A11" s="2945"/>
      <c r="B11" s="2952" t="s">
        <v>2765</v>
      </c>
      <c r="C11" s="2939" t="s">
        <v>3037</v>
      </c>
      <c r="D11" s="254">
        <v>100</v>
      </c>
      <c r="E11" s="529" t="s">
        <v>3037</v>
      </c>
      <c r="F11" s="254">
        <f>SUMIF(77:77,E11,78:78)-SUMIF(77:77,C11,78:78)+100</f>
        <v>100</v>
      </c>
      <c r="G11" s="529" t="s">
        <v>3037</v>
      </c>
      <c r="H11" s="254">
        <f>SUMIF(77:77,G11,78:78)-SUMIF(77:77,C11,78:78)+100</f>
        <v>100</v>
      </c>
      <c r="I11" s="529" t="s">
        <v>3037</v>
      </c>
      <c r="J11" s="254">
        <f>SUMIF(77:77,I11,78:78)-SUMIF(77:77,C11,78:78)+100</f>
        <v>100</v>
      </c>
      <c r="K11" s="527"/>
      <c r="L11" s="2140"/>
      <c r="M11" s="2137"/>
      <c r="N11" s="2137"/>
      <c r="O11" s="2142"/>
      <c r="P11" s="3368" t="s">
        <v>536</v>
      </c>
      <c r="Q11" s="1154" t="str">
        <f t="shared" ref="Q11:Q17" si="6">B11</f>
        <v>用途</v>
      </c>
      <c r="R11" s="1572" t="s">
        <v>8</v>
      </c>
      <c r="S11" s="1573">
        <f t="shared" si="0"/>
        <v>100</v>
      </c>
      <c r="T11" s="1572" t="s">
        <v>8</v>
      </c>
      <c r="U11" s="1573">
        <f t="shared" si="1"/>
        <v>100</v>
      </c>
      <c r="V11" s="1572" t="s">
        <v>8</v>
      </c>
      <c r="W11" s="1573">
        <f t="shared" si="2"/>
        <v>100</v>
      </c>
      <c r="X11" s="1574"/>
      <c r="Y11" s="3310" t="s">
        <v>537</v>
      </c>
      <c r="Z11" s="1153" t="str">
        <f t="shared" ref="Z11:Z17" si="7">Q11</f>
        <v>用途</v>
      </c>
      <c r="AA11" s="1575">
        <f t="shared" si="3"/>
        <v>1</v>
      </c>
      <c r="AB11" s="1575">
        <f t="shared" si="4"/>
        <v>1</v>
      </c>
      <c r="AC11" s="1575">
        <f t="shared" si="5"/>
        <v>1</v>
      </c>
    </row>
    <row r="12" spans="1:30" s="1341" customFormat="1" ht="27">
      <c r="A12" s="2946"/>
      <c r="B12" s="2951" t="s">
        <v>2766</v>
      </c>
      <c r="C12" s="913">
        <f>'数据-取费表'!F6</f>
        <v>39.57</v>
      </c>
      <c r="D12" s="255">
        <v>100</v>
      </c>
      <c r="E12" s="532" t="s">
        <v>3036</v>
      </c>
      <c r="F12" s="255">
        <f>ROUND(100/'数据-取费表'!G16,0)</f>
        <v>100</v>
      </c>
      <c r="G12" s="533" t="s">
        <v>3036</v>
      </c>
      <c r="H12" s="255">
        <f>ROUND(100/'数据-取费表'!G16,0)</f>
        <v>100</v>
      </c>
      <c r="I12" s="533" t="s">
        <v>3036</v>
      </c>
      <c r="J12" s="255">
        <f>ROUND(100/'数据-取费表'!G16,0)</f>
        <v>100</v>
      </c>
      <c r="K12" s="534"/>
      <c r="L12" s="2143"/>
      <c r="M12" s="2137"/>
      <c r="N12" s="2137"/>
      <c r="O12" s="2144"/>
      <c r="P12" s="3368"/>
      <c r="Q12" s="1154" t="str">
        <f t="shared" si="6"/>
        <v>土地使用年限（年）</v>
      </c>
      <c r="R12" s="1572" t="s">
        <v>8</v>
      </c>
      <c r="S12" s="1573">
        <f t="shared" si="0"/>
        <v>100</v>
      </c>
      <c r="T12" s="1572" t="s">
        <v>8</v>
      </c>
      <c r="U12" s="1573">
        <f t="shared" si="1"/>
        <v>100</v>
      </c>
      <c r="V12" s="1572" t="s">
        <v>8</v>
      </c>
      <c r="W12" s="1573">
        <f t="shared" si="2"/>
        <v>100</v>
      </c>
      <c r="X12" s="1574"/>
      <c r="Y12" s="3310"/>
      <c r="Z12" s="1153" t="str">
        <f t="shared" si="7"/>
        <v>土地使用年限（年）</v>
      </c>
      <c r="AA12" s="1575">
        <f t="shared" si="3"/>
        <v>1</v>
      </c>
      <c r="AB12" s="1575">
        <f t="shared" si="4"/>
        <v>1</v>
      </c>
      <c r="AC12" s="1575">
        <f t="shared" si="5"/>
        <v>1</v>
      </c>
    </row>
    <row r="13" spans="1:30" ht="20.25">
      <c r="A13" s="2947"/>
      <c r="B13" s="2951" t="s">
        <v>2767</v>
      </c>
      <c r="C13" s="537">
        <f>'数据-汇总表'!I6</f>
        <v>3.49</v>
      </c>
      <c r="D13" s="255">
        <v>100</v>
      </c>
      <c r="E13" s="536">
        <v>4</v>
      </c>
      <c r="F13" s="255">
        <f>LOOKUP(E13,82:82,83:83)-LOOKUP(C13,82:82,83:83)+100</f>
        <v>98</v>
      </c>
      <c r="G13" s="537">
        <v>2</v>
      </c>
      <c r="H13" s="255">
        <f>LOOKUP(G13,82:82,83:83)-LOOKUP(C13,82:82,83:83)+100</f>
        <v>102</v>
      </c>
      <c r="I13" s="536">
        <v>2.2999999999999998</v>
      </c>
      <c r="J13" s="255">
        <f>LOOKUP(I13,82:82,83:83)-LOOKUP(C13,82:82,83:83)+100</f>
        <v>102</v>
      </c>
      <c r="K13" s="538">
        <v>2</v>
      </c>
      <c r="L13" s="2145"/>
      <c r="M13" s="2137"/>
      <c r="N13" s="2137"/>
      <c r="O13" s="2146"/>
      <c r="P13" s="3368"/>
      <c r="Q13" s="1154" t="str">
        <f t="shared" si="6"/>
        <v>容积率</v>
      </c>
      <c r="R13" s="1572" t="s">
        <v>8</v>
      </c>
      <c r="S13" s="1573">
        <f t="shared" si="0"/>
        <v>98</v>
      </c>
      <c r="T13" s="1572" t="s">
        <v>8</v>
      </c>
      <c r="U13" s="1573">
        <f t="shared" si="1"/>
        <v>102</v>
      </c>
      <c r="V13" s="1572" t="s">
        <v>8</v>
      </c>
      <c r="W13" s="1573">
        <f t="shared" si="2"/>
        <v>102</v>
      </c>
      <c r="X13" s="1574"/>
      <c r="Y13" s="3310"/>
      <c r="Z13" s="1153" t="str">
        <f t="shared" si="7"/>
        <v>容积率</v>
      </c>
      <c r="AA13" s="1575">
        <f t="shared" si="3"/>
        <v>1.0204081632653061</v>
      </c>
      <c r="AB13" s="1575">
        <f t="shared" si="4"/>
        <v>0.98039215686274506</v>
      </c>
      <c r="AC13" s="1575">
        <f t="shared" si="5"/>
        <v>0.98039215686274506</v>
      </c>
    </row>
    <row r="14" spans="1:30" s="1223" customFormat="1" ht="21" hidden="1" thickBot="1">
      <c r="A14" s="2944"/>
      <c r="B14" s="2953" t="s">
        <v>2768</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68"/>
      <c r="Q14" s="1154" t="str">
        <f t="shared" si="6"/>
        <v>配建</v>
      </c>
      <c r="R14" s="1572" t="s">
        <v>8</v>
      </c>
      <c r="S14" s="1573">
        <f t="shared" si="0"/>
        <v>100</v>
      </c>
      <c r="T14" s="1572" t="s">
        <v>8</v>
      </c>
      <c r="U14" s="1573">
        <f t="shared" si="1"/>
        <v>100</v>
      </c>
      <c r="V14" s="1572" t="s">
        <v>8</v>
      </c>
      <c r="W14" s="1573">
        <f t="shared" si="2"/>
        <v>100</v>
      </c>
      <c r="X14" s="1574"/>
      <c r="Y14" s="3310"/>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68"/>
      <c r="Q15" s="1154">
        <f t="shared" si="6"/>
        <v>111</v>
      </c>
      <c r="R15" s="1572" t="s">
        <v>8</v>
      </c>
      <c r="S15" s="1573">
        <f t="shared" si="0"/>
        <v>100</v>
      </c>
      <c r="T15" s="1572" t="s">
        <v>8</v>
      </c>
      <c r="U15" s="1573">
        <f t="shared" si="1"/>
        <v>100</v>
      </c>
      <c r="V15" s="1572" t="s">
        <v>8</v>
      </c>
      <c r="W15" s="1573">
        <f t="shared" si="2"/>
        <v>100</v>
      </c>
      <c r="X15" s="1574"/>
      <c r="Y15" s="3310"/>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68"/>
      <c r="Q16" s="1154">
        <f t="shared" si="6"/>
        <v>111</v>
      </c>
      <c r="R16" s="1572" t="s">
        <v>8</v>
      </c>
      <c r="S16" s="1573">
        <f t="shared" si="0"/>
        <v>100</v>
      </c>
      <c r="T16" s="1572" t="s">
        <v>8</v>
      </c>
      <c r="U16" s="1573">
        <f t="shared" si="1"/>
        <v>100</v>
      </c>
      <c r="V16" s="1572" t="s">
        <v>8</v>
      </c>
      <c r="W16" s="1573">
        <f t="shared" si="2"/>
        <v>100</v>
      </c>
      <c r="X16" s="1574"/>
      <c r="Y16" s="3310"/>
      <c r="Z16" s="1153">
        <f t="shared" si="7"/>
        <v>111</v>
      </c>
      <c r="AA16" s="1575">
        <f>D16/F16</f>
        <v>1</v>
      </c>
      <c r="AB16" s="1575">
        <f>D16/H16</f>
        <v>1</v>
      </c>
      <c r="AC16" s="1575">
        <f>D16/J16</f>
        <v>1</v>
      </c>
    </row>
    <row r="17" spans="1:29" ht="99.75" hidden="1">
      <c r="A17" s="2941"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7"/>
      <c r="M17" s="2137"/>
      <c r="N17" s="2137"/>
      <c r="O17" s="2146"/>
      <c r="P17" s="3404" t="s">
        <v>541</v>
      </c>
      <c r="Q17" s="1576" t="str">
        <f t="shared" si="6"/>
        <v>居住社区成熟度</v>
      </c>
      <c r="R17" s="1577" t="s">
        <v>8</v>
      </c>
      <c r="S17" s="1578">
        <f t="shared" si="0"/>
        <v>100</v>
      </c>
      <c r="T17" s="1577" t="s">
        <v>8</v>
      </c>
      <c r="U17" s="1578">
        <f t="shared" si="1"/>
        <v>100</v>
      </c>
      <c r="V17" s="1577" t="s">
        <v>8</v>
      </c>
      <c r="W17" s="1578">
        <f t="shared" si="2"/>
        <v>100</v>
      </c>
      <c r="X17" s="1571"/>
      <c r="Y17" s="3404" t="s">
        <v>541</v>
      </c>
      <c r="Z17" s="1579" t="str">
        <f t="shared" si="7"/>
        <v>居住社区成熟度</v>
      </c>
      <c r="AA17" s="1580">
        <f t="shared" si="3"/>
        <v>1</v>
      </c>
      <c r="AB17" s="1580">
        <f t="shared" si="4"/>
        <v>1</v>
      </c>
      <c r="AC17" s="1580">
        <f t="shared" si="5"/>
        <v>1</v>
      </c>
    </row>
    <row r="18" spans="1:29" ht="20.25" hidden="1">
      <c r="A18" s="535"/>
      <c r="B18" s="556"/>
      <c r="C18" s="557"/>
      <c r="D18" s="560"/>
      <c r="E18" s="561"/>
      <c r="F18" s="558"/>
      <c r="G18" s="559"/>
      <c r="H18" s="562"/>
      <c r="I18" s="561"/>
      <c r="J18" s="558"/>
      <c r="K18" s="534"/>
      <c r="L18" s="2147"/>
      <c r="M18" s="2137"/>
      <c r="N18" s="2137"/>
      <c r="O18" s="2146"/>
      <c r="P18" s="3405"/>
      <c r="Q18" s="1576"/>
      <c r="R18" s="1577"/>
      <c r="S18" s="1578"/>
      <c r="T18" s="1577"/>
      <c r="U18" s="1578"/>
      <c r="V18" s="1577"/>
      <c r="W18" s="1578"/>
      <c r="X18" s="1571"/>
      <c r="Y18" s="3405"/>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405"/>
      <c r="Q19" s="1576" t="str">
        <f>B19</f>
        <v>商业繁华度</v>
      </c>
      <c r="R19" s="1577" t="s">
        <v>8</v>
      </c>
      <c r="S19" s="1578">
        <f>F19</f>
        <v>100</v>
      </c>
      <c r="T19" s="1577" t="s">
        <v>8</v>
      </c>
      <c r="U19" s="1578">
        <f>H19</f>
        <v>100</v>
      </c>
      <c r="V19" s="1577" t="s">
        <v>8</v>
      </c>
      <c r="W19" s="1578">
        <f>J19</f>
        <v>100</v>
      </c>
      <c r="X19" s="1571"/>
      <c r="Y19" s="3405"/>
      <c r="Z19" s="1579" t="str">
        <f>Q19</f>
        <v>商业繁华度</v>
      </c>
      <c r="AA19" s="1580">
        <f t="shared" si="3"/>
        <v>1</v>
      </c>
      <c r="AB19" s="1580">
        <f t="shared" si="4"/>
        <v>1</v>
      </c>
      <c r="AC19" s="1580">
        <f t="shared" si="5"/>
        <v>1</v>
      </c>
    </row>
    <row r="20" spans="1:29" ht="20.25">
      <c r="A20" s="535"/>
      <c r="B20" s="569"/>
      <c r="C20" s="570" t="s">
        <v>3054</v>
      </c>
      <c r="D20" s="566"/>
      <c r="E20" s="572" t="s">
        <v>3054</v>
      </c>
      <c r="F20" s="562"/>
      <c r="G20" s="571" t="s">
        <v>3054</v>
      </c>
      <c r="H20" s="558"/>
      <c r="I20" s="572" t="s">
        <v>3054</v>
      </c>
      <c r="J20" s="558"/>
      <c r="K20" s="534"/>
      <c r="L20" s="2147"/>
      <c r="M20" s="2137"/>
      <c r="N20" s="2137"/>
      <c r="O20" s="2146"/>
      <c r="P20" s="3405"/>
      <c r="Q20" s="1576"/>
      <c r="R20" s="1577"/>
      <c r="S20" s="1578"/>
      <c r="T20" s="1577"/>
      <c r="U20" s="1578"/>
      <c r="V20" s="1577"/>
      <c r="W20" s="1578"/>
      <c r="X20" s="1571"/>
      <c r="Y20" s="3405"/>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405"/>
      <c r="Q21" s="1576" t="str">
        <f>B21</f>
        <v>办公集聚程度</v>
      </c>
      <c r="R21" s="1577" t="s">
        <v>8</v>
      </c>
      <c r="S21" s="1578">
        <f>F21</f>
        <v>100</v>
      </c>
      <c r="T21" s="1577" t="s">
        <v>8</v>
      </c>
      <c r="U21" s="1578">
        <f>H21</f>
        <v>100</v>
      </c>
      <c r="V21" s="1577" t="s">
        <v>8</v>
      </c>
      <c r="W21" s="1578">
        <f>J21</f>
        <v>100</v>
      </c>
      <c r="X21" s="1571"/>
      <c r="Y21" s="3405"/>
      <c r="Z21" s="1579" t="str">
        <f>Q21</f>
        <v>办公集聚程度</v>
      </c>
      <c r="AA21" s="1580">
        <f t="shared" si="3"/>
        <v>1</v>
      </c>
      <c r="AB21" s="1580">
        <f t="shared" si="4"/>
        <v>1</v>
      </c>
      <c r="AC21" s="1580">
        <f t="shared" si="5"/>
        <v>1</v>
      </c>
    </row>
    <row r="22" spans="1:29" ht="20.25">
      <c r="A22" s="535"/>
      <c r="B22" s="569"/>
      <c r="C22" s="557" t="s">
        <v>3054</v>
      </c>
      <c r="D22" s="560"/>
      <c r="E22" s="561" t="s">
        <v>3054</v>
      </c>
      <c r="F22" s="558"/>
      <c r="G22" s="559" t="s">
        <v>3054</v>
      </c>
      <c r="H22" s="558"/>
      <c r="I22" s="561" t="s">
        <v>3054</v>
      </c>
      <c r="J22" s="558"/>
      <c r="K22" s="534"/>
      <c r="L22" s="2147"/>
      <c r="M22" s="2137"/>
      <c r="N22" s="2137"/>
      <c r="O22" s="2146"/>
      <c r="P22" s="3405"/>
      <c r="Q22" s="1576"/>
      <c r="R22" s="1577"/>
      <c r="S22" s="1578"/>
      <c r="T22" s="1577"/>
      <c r="U22" s="1578"/>
      <c r="V22" s="1577"/>
      <c r="W22" s="1578"/>
      <c r="X22" s="1571"/>
      <c r="Y22" s="3405"/>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47"/>
      <c r="M23" s="2137"/>
      <c r="N23" s="2137"/>
      <c r="O23" s="2146"/>
      <c r="P23" s="3405"/>
      <c r="Q23" s="1576" t="str">
        <f>B23</f>
        <v>交通便捷度</v>
      </c>
      <c r="R23" s="1577" t="s">
        <v>8</v>
      </c>
      <c r="S23" s="1578">
        <f>F23</f>
        <v>100</v>
      </c>
      <c r="T23" s="1577" t="s">
        <v>8</v>
      </c>
      <c r="U23" s="1578">
        <f>H23</f>
        <v>100</v>
      </c>
      <c r="V23" s="1577" t="s">
        <v>8</v>
      </c>
      <c r="W23" s="1578">
        <f>J23</f>
        <v>100</v>
      </c>
      <c r="X23" s="1571"/>
      <c r="Y23" s="3405"/>
      <c r="Z23" s="1579" t="str">
        <f>Q23</f>
        <v>交通便捷度</v>
      </c>
      <c r="AA23" s="1580">
        <f t="shared" si="3"/>
        <v>1</v>
      </c>
      <c r="AB23" s="1580">
        <f t="shared" si="4"/>
        <v>1</v>
      </c>
      <c r="AC23" s="1580">
        <f t="shared" si="5"/>
        <v>1</v>
      </c>
    </row>
    <row r="24" spans="1:29" ht="20.25">
      <c r="A24" s="535"/>
      <c r="B24" s="581"/>
      <c r="C24" s="557" t="s">
        <v>3053</v>
      </c>
      <c r="D24" s="560"/>
      <c r="E24" s="561" t="s">
        <v>3053</v>
      </c>
      <c r="F24" s="558"/>
      <c r="G24" s="559" t="s">
        <v>3053</v>
      </c>
      <c r="H24" s="558"/>
      <c r="I24" s="561" t="s">
        <v>3053</v>
      </c>
      <c r="J24" s="558"/>
      <c r="K24" s="534"/>
      <c r="L24" s="2147"/>
      <c r="M24" s="2137"/>
      <c r="N24" s="2137"/>
      <c r="O24" s="2146"/>
      <c r="P24" s="3405"/>
      <c r="Q24" s="1576"/>
      <c r="R24" s="1577"/>
      <c r="S24" s="1578"/>
      <c r="T24" s="1577"/>
      <c r="U24" s="1578"/>
      <c r="V24" s="1577"/>
      <c r="W24" s="1578"/>
      <c r="X24" s="1571"/>
      <c r="Y24" s="3405"/>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7"/>
      <c r="M25" s="2137"/>
      <c r="N25" s="2137"/>
      <c r="O25" s="2146"/>
      <c r="P25" s="3405"/>
      <c r="Q25" s="1576" t="str">
        <f t="shared" ref="Q25:Q39" si="8">B25</f>
        <v>区域土地利用方向</v>
      </c>
      <c r="R25" s="1577" t="s">
        <v>8</v>
      </c>
      <c r="S25" s="1578">
        <f>F25</f>
        <v>100</v>
      </c>
      <c r="T25" s="1577" t="s">
        <v>8</v>
      </c>
      <c r="U25" s="1578">
        <f>H25</f>
        <v>100</v>
      </c>
      <c r="V25" s="1577" t="s">
        <v>8</v>
      </c>
      <c r="W25" s="1578">
        <f>J25</f>
        <v>100</v>
      </c>
      <c r="X25" s="1571"/>
      <c r="Y25" s="3405"/>
      <c r="Z25" s="1579" t="str">
        <f>Q25</f>
        <v>区域土地利用方向</v>
      </c>
      <c r="AA25" s="1580">
        <f t="shared" si="3"/>
        <v>1</v>
      </c>
      <c r="AB25" s="1580">
        <f t="shared" si="4"/>
        <v>1</v>
      </c>
      <c r="AC25" s="1580">
        <f t="shared" si="5"/>
        <v>1</v>
      </c>
    </row>
    <row r="26" spans="1:29" ht="20.25">
      <c r="A26" s="518"/>
      <c r="B26" s="1010"/>
      <c r="C26" s="557" t="s">
        <v>3053</v>
      </c>
      <c r="D26" s="560"/>
      <c r="E26" s="561" t="s">
        <v>3053</v>
      </c>
      <c r="F26" s="558"/>
      <c r="G26" s="559" t="s">
        <v>3053</v>
      </c>
      <c r="H26" s="558"/>
      <c r="I26" s="561" t="s">
        <v>3053</v>
      </c>
      <c r="J26" s="558"/>
      <c r="K26" s="534"/>
      <c r="L26" s="2147"/>
      <c r="M26" s="2137"/>
      <c r="N26" s="2137"/>
      <c r="O26" s="2146"/>
      <c r="P26" s="3405"/>
      <c r="Q26" s="1576"/>
      <c r="R26" s="1577"/>
      <c r="S26" s="1578"/>
      <c r="T26" s="1577"/>
      <c r="U26" s="1578"/>
      <c r="V26" s="1577"/>
      <c r="W26" s="1578"/>
      <c r="X26" s="1571"/>
      <c r="Y26" s="3405"/>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47"/>
      <c r="M27" s="2137"/>
      <c r="N27" s="2137"/>
      <c r="O27" s="2146"/>
      <c r="P27" s="3405"/>
      <c r="Q27" s="1576" t="str">
        <f t="shared" si="8"/>
        <v>自然及人文环境状况</v>
      </c>
      <c r="R27" s="1577" t="s">
        <v>8</v>
      </c>
      <c r="S27" s="1578">
        <f>F27</f>
        <v>100</v>
      </c>
      <c r="T27" s="1577" t="s">
        <v>8</v>
      </c>
      <c r="U27" s="1578">
        <f>H27</f>
        <v>100</v>
      </c>
      <c r="V27" s="1577" t="s">
        <v>8</v>
      </c>
      <c r="W27" s="1578">
        <f>J27</f>
        <v>100</v>
      </c>
      <c r="X27" s="1571"/>
      <c r="Y27" s="3405"/>
      <c r="Z27" s="1579" t="str">
        <f>Q27</f>
        <v>自然及人文环境状况</v>
      </c>
      <c r="AA27" s="1580">
        <f t="shared" si="3"/>
        <v>1</v>
      </c>
      <c r="AB27" s="1580">
        <f t="shared" si="4"/>
        <v>1</v>
      </c>
      <c r="AC27" s="1580">
        <f t="shared" si="5"/>
        <v>1</v>
      </c>
    </row>
    <row r="28" spans="1:29" ht="20.25">
      <c r="A28" s="518"/>
      <c r="B28" s="569"/>
      <c r="C28" s="557" t="s">
        <v>3053</v>
      </c>
      <c r="D28" s="560"/>
      <c r="E28" s="579" t="s">
        <v>3053</v>
      </c>
      <c r="F28" s="558"/>
      <c r="G28" s="557" t="s">
        <v>3053</v>
      </c>
      <c r="H28" s="558"/>
      <c r="I28" s="579" t="s">
        <v>3053</v>
      </c>
      <c r="J28" s="558"/>
      <c r="K28" s="534"/>
      <c r="L28" s="2147"/>
      <c r="M28" s="2137"/>
      <c r="N28" s="2137"/>
      <c r="O28" s="2146"/>
      <c r="P28" s="3405"/>
      <c r="Q28" s="1576"/>
      <c r="R28" s="1577"/>
      <c r="S28" s="1578"/>
      <c r="T28" s="1577"/>
      <c r="U28" s="1578"/>
      <c r="V28" s="1577"/>
      <c r="W28" s="1578"/>
      <c r="X28" s="1571"/>
      <c r="Y28" s="3405"/>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0"/>
      <c r="M29" s="2137"/>
      <c r="N29" s="2137"/>
      <c r="O29" s="2142"/>
      <c r="P29" s="3405"/>
      <c r="Q29" s="1154" t="str">
        <f t="shared" si="8"/>
        <v>公共配套设施</v>
      </c>
      <c r="R29" s="1572" t="s">
        <v>8</v>
      </c>
      <c r="S29" s="1573">
        <f>F29</f>
        <v>100</v>
      </c>
      <c r="T29" s="1572" t="s">
        <v>8</v>
      </c>
      <c r="U29" s="1573">
        <f>H29</f>
        <v>100</v>
      </c>
      <c r="V29" s="1572" t="s">
        <v>8</v>
      </c>
      <c r="W29" s="1573">
        <f>J29</f>
        <v>100</v>
      </c>
      <c r="X29" s="1574"/>
      <c r="Y29" s="3405"/>
      <c r="Z29" s="1153" t="str">
        <f>Q29</f>
        <v>公共配套设施</v>
      </c>
      <c r="AA29" s="1580">
        <f>D29/F29</f>
        <v>1</v>
      </c>
      <c r="AB29" s="1580">
        <f>D29/H29</f>
        <v>1</v>
      </c>
      <c r="AC29" s="1580">
        <f>D29/J29</f>
        <v>1</v>
      </c>
    </row>
    <row r="30" spans="1:29" s="1223" customFormat="1" ht="20.25">
      <c r="A30" s="580"/>
      <c r="B30" s="569"/>
      <c r="C30" s="582" t="s">
        <v>3053</v>
      </c>
      <c r="D30" s="560"/>
      <c r="E30" s="579" t="s">
        <v>3053</v>
      </c>
      <c r="F30" s="558"/>
      <c r="G30" s="557" t="s">
        <v>3053</v>
      </c>
      <c r="H30" s="558"/>
      <c r="I30" s="579" t="s">
        <v>3053</v>
      </c>
      <c r="J30" s="558"/>
      <c r="K30" s="534"/>
      <c r="L30" s="2140"/>
      <c r="M30" s="2137"/>
      <c r="N30" s="2137"/>
      <c r="O30" s="2142"/>
      <c r="P30" s="3405"/>
      <c r="Q30" s="1154"/>
      <c r="R30" s="1572"/>
      <c r="S30" s="1573"/>
      <c r="T30" s="1572"/>
      <c r="U30" s="1573"/>
      <c r="V30" s="1572"/>
      <c r="W30" s="1573"/>
      <c r="X30" s="1574"/>
      <c r="Y30" s="3405"/>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0"/>
      <c r="M31" s="2137"/>
      <c r="N31" s="2137"/>
      <c r="O31" s="2142"/>
      <c r="P31" s="3405"/>
      <c r="Q31" s="2607" t="str">
        <f t="shared" ref="Q31" si="9">B31</f>
        <v>基础设施水平</v>
      </c>
      <c r="R31" s="1572" t="s">
        <v>8</v>
      </c>
      <c r="S31" s="1573">
        <f>F31</f>
        <v>100</v>
      </c>
      <c r="T31" s="1572" t="s">
        <v>8</v>
      </c>
      <c r="U31" s="1573">
        <f>H31</f>
        <v>100</v>
      </c>
      <c r="V31" s="1572" t="s">
        <v>8</v>
      </c>
      <c r="W31" s="1573">
        <f>J31</f>
        <v>100</v>
      </c>
      <c r="X31" s="1574"/>
      <c r="Y31" s="3405"/>
      <c r="Z31" s="2604" t="str">
        <f>Q31</f>
        <v>基础设施水平</v>
      </c>
      <c r="AA31" s="1580">
        <f>D31/F31</f>
        <v>1</v>
      </c>
      <c r="AB31" s="1580">
        <f>D31/H31</f>
        <v>1</v>
      </c>
      <c r="AC31" s="1580">
        <f>D31/J31</f>
        <v>1</v>
      </c>
    </row>
    <row r="32" spans="1:29" s="1223" customFormat="1" ht="20.25">
      <c r="A32" s="580"/>
      <c r="B32" s="569"/>
      <c r="C32" s="582" t="s">
        <v>3079</v>
      </c>
      <c r="D32" s="560"/>
      <c r="E32" s="2621" t="s">
        <v>3079</v>
      </c>
      <c r="F32" s="558"/>
      <c r="G32" s="582" t="s">
        <v>3079</v>
      </c>
      <c r="H32" s="558"/>
      <c r="I32" s="582" t="s">
        <v>3079</v>
      </c>
      <c r="J32" s="558"/>
      <c r="K32" s="534"/>
      <c r="L32" s="2140"/>
      <c r="M32" s="2137"/>
      <c r="N32" s="2137"/>
      <c r="O32" s="2142"/>
      <c r="P32" s="3405"/>
      <c r="Q32" s="2607"/>
      <c r="R32" s="1572"/>
      <c r="S32" s="1573"/>
      <c r="T32" s="1572"/>
      <c r="U32" s="1573"/>
      <c r="V32" s="1572"/>
      <c r="W32" s="1573"/>
      <c r="X32" s="1574"/>
      <c r="Y32" s="3405"/>
      <c r="Z32" s="2604"/>
      <c r="AA32" s="1580">
        <v>1</v>
      </c>
      <c r="AB32" s="1580">
        <v>1</v>
      </c>
      <c r="AC32" s="1580">
        <v>1</v>
      </c>
    </row>
    <row r="33" spans="1:29" ht="20.25">
      <c r="A33" s="535"/>
      <c r="B33" s="569" t="s">
        <v>548</v>
      </c>
      <c r="C33" s="583" t="s">
        <v>3039</v>
      </c>
      <c r="D33" s="578">
        <v>100</v>
      </c>
      <c r="E33" s="586" t="s">
        <v>3039</v>
      </c>
      <c r="F33" s="543">
        <f>SUMIF(106:106,E33,107:107)-SUMIF(106:106,C33,107:107)+100</f>
        <v>100</v>
      </c>
      <c r="G33" s="583" t="s">
        <v>3039</v>
      </c>
      <c r="H33" s="543">
        <f>SUMIF(106:106,G33,107:107)-SUMIF(106:106,C33,107:107)+100</f>
        <v>100</v>
      </c>
      <c r="I33" s="583" t="s">
        <v>3047</v>
      </c>
      <c r="J33" s="543">
        <f>SUMIF(106:106,I33,107:107)-SUMIF(106:106,C33,107:107)+100</f>
        <v>98</v>
      </c>
      <c r="K33" s="538">
        <v>2</v>
      </c>
      <c r="L33" s="2147"/>
      <c r="M33" s="2137"/>
      <c r="N33" s="2137"/>
      <c r="O33" s="2146"/>
      <c r="P33" s="3405"/>
      <c r="Q33" s="1576" t="str">
        <f t="shared" si="8"/>
        <v>临街状况</v>
      </c>
      <c r="R33" s="1577" t="s">
        <v>8</v>
      </c>
      <c r="S33" s="1578">
        <f t="shared" ref="S33:S47" si="10">F33</f>
        <v>100</v>
      </c>
      <c r="T33" s="1577" t="s">
        <v>8</v>
      </c>
      <c r="U33" s="1578">
        <f t="shared" ref="U33:U47" si="11">H33</f>
        <v>100</v>
      </c>
      <c r="V33" s="1577" t="s">
        <v>8</v>
      </c>
      <c r="W33" s="1578">
        <f t="shared" ref="W33:W47" si="12">J33</f>
        <v>98</v>
      </c>
      <c r="X33" s="1571"/>
      <c r="Y33" s="3405"/>
      <c r="Z33" s="1579" t="str">
        <f t="shared" ref="Z33:Z47" si="13">Q33</f>
        <v>临街状况</v>
      </c>
      <c r="AA33" s="1580">
        <f t="shared" si="3"/>
        <v>1</v>
      </c>
      <c r="AB33" s="1580">
        <f t="shared" si="4"/>
        <v>1</v>
      </c>
      <c r="AC33" s="1580">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7"/>
      <c r="M34" s="2137"/>
      <c r="N34" s="2137"/>
      <c r="O34" s="2146"/>
      <c r="P34" s="3405"/>
      <c r="Q34" s="1576" t="str">
        <f t="shared" si="8"/>
        <v>毗邻道路的类型与等级</v>
      </c>
      <c r="R34" s="1577" t="s">
        <v>8</v>
      </c>
      <c r="S34" s="1578">
        <f t="shared" si="10"/>
        <v>100</v>
      </c>
      <c r="T34" s="1577" t="s">
        <v>8</v>
      </c>
      <c r="U34" s="1578">
        <f t="shared" si="11"/>
        <v>100</v>
      </c>
      <c r="V34" s="1577" t="s">
        <v>8</v>
      </c>
      <c r="W34" s="1578">
        <f t="shared" si="12"/>
        <v>100</v>
      </c>
      <c r="X34" s="1571"/>
      <c r="Y34" s="3405"/>
      <c r="Z34" s="1579" t="str">
        <f t="shared" si="13"/>
        <v>毗邻道路的类型与等级</v>
      </c>
      <c r="AA34" s="1580">
        <f t="shared" si="3"/>
        <v>1</v>
      </c>
      <c r="AB34" s="1580">
        <f t="shared" si="4"/>
        <v>1</v>
      </c>
      <c r="AC34" s="1580">
        <f t="shared" si="5"/>
        <v>1</v>
      </c>
    </row>
    <row r="35" spans="1:29" ht="21" thickBot="1">
      <c r="A35" s="535"/>
      <c r="B35" s="569"/>
      <c r="C35" s="557" t="s">
        <v>3046</v>
      </c>
      <c r="D35" s="560"/>
      <c r="E35" s="579" t="s">
        <v>3046</v>
      </c>
      <c r="F35" s="558"/>
      <c r="G35" s="557" t="s">
        <v>3046</v>
      </c>
      <c r="H35" s="558"/>
      <c r="I35" s="579" t="s">
        <v>3046</v>
      </c>
      <c r="J35" s="558"/>
      <c r="K35" s="584"/>
      <c r="L35" s="2147"/>
      <c r="M35" s="2137"/>
      <c r="N35" s="2137"/>
      <c r="O35" s="2146"/>
      <c r="P35" s="3405"/>
      <c r="Q35" s="1576"/>
      <c r="R35" s="1577"/>
      <c r="S35" s="1578"/>
      <c r="T35" s="1577"/>
      <c r="U35" s="1578"/>
      <c r="V35" s="1577"/>
      <c r="W35" s="1578"/>
      <c r="X35" s="1571"/>
      <c r="Y35" s="3405"/>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405"/>
      <c r="Q36" s="1576" t="str">
        <f t="shared" si="8"/>
        <v>土地级别</v>
      </c>
      <c r="R36" s="1577" t="s">
        <v>8</v>
      </c>
      <c r="S36" s="1578">
        <f t="shared" si="10"/>
        <v>100</v>
      </c>
      <c r="T36" s="1577" t="s">
        <v>8</v>
      </c>
      <c r="U36" s="1578">
        <f t="shared" si="11"/>
        <v>100</v>
      </c>
      <c r="V36" s="1577" t="s">
        <v>8</v>
      </c>
      <c r="W36" s="1578">
        <f t="shared" si="12"/>
        <v>100</v>
      </c>
      <c r="X36" s="1571"/>
      <c r="Y36" s="3405"/>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405"/>
      <c r="Q37" s="1576">
        <f t="shared" si="8"/>
        <v>111</v>
      </c>
      <c r="R37" s="1577" t="s">
        <v>8</v>
      </c>
      <c r="S37" s="1578">
        <f t="shared" si="10"/>
        <v>100</v>
      </c>
      <c r="T37" s="1577" t="s">
        <v>8</v>
      </c>
      <c r="U37" s="1578">
        <f t="shared" si="11"/>
        <v>100</v>
      </c>
      <c r="V37" s="1577" t="s">
        <v>8</v>
      </c>
      <c r="W37" s="1578">
        <f t="shared" si="12"/>
        <v>100</v>
      </c>
      <c r="X37" s="1571"/>
      <c r="Y37" s="3405"/>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406" t="s">
        <v>551</v>
      </c>
      <c r="Q38" s="1576">
        <f t="shared" si="8"/>
        <v>111</v>
      </c>
      <c r="R38" s="1577" t="s">
        <v>8</v>
      </c>
      <c r="S38" s="1578">
        <f t="shared" si="10"/>
        <v>100</v>
      </c>
      <c r="T38" s="1577" t="s">
        <v>8</v>
      </c>
      <c r="U38" s="1578">
        <f t="shared" si="11"/>
        <v>100</v>
      </c>
      <c r="V38" s="1577" t="s">
        <v>8</v>
      </c>
      <c r="W38" s="1578">
        <f t="shared" si="12"/>
        <v>100</v>
      </c>
      <c r="X38" s="1571"/>
      <c r="Y38" s="3407"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407"/>
      <c r="Q39" s="1576">
        <f t="shared" si="8"/>
        <v>111</v>
      </c>
      <c r="R39" s="1581" t="s">
        <v>8</v>
      </c>
      <c r="S39" s="1582">
        <f t="shared" si="10"/>
        <v>100</v>
      </c>
      <c r="T39" s="1581" t="s">
        <v>8</v>
      </c>
      <c r="U39" s="1582">
        <f t="shared" si="11"/>
        <v>100</v>
      </c>
      <c r="V39" s="1581" t="s">
        <v>8</v>
      </c>
      <c r="W39" s="1582">
        <f t="shared" si="12"/>
        <v>100</v>
      </c>
      <c r="X39" s="1583"/>
      <c r="Y39" s="3407"/>
      <c r="Z39" s="1584">
        <f t="shared" si="13"/>
        <v>111</v>
      </c>
      <c r="AA39" s="1580">
        <f t="shared" si="3"/>
        <v>1</v>
      </c>
      <c r="AB39" s="1580">
        <f t="shared" si="4"/>
        <v>1</v>
      </c>
      <c r="AC39" s="1580">
        <f t="shared" si="5"/>
        <v>1</v>
      </c>
    </row>
    <row r="40" spans="1:29" ht="20.25">
      <c r="A40" s="2938" t="s">
        <v>2764</v>
      </c>
      <c r="B40" s="598" t="s">
        <v>553</v>
      </c>
      <c r="C40" s="599">
        <f>'数据-汇总表'!D3</f>
        <v>33220.35</v>
      </c>
      <c r="D40" s="600">
        <v>100</v>
      </c>
      <c r="E40" s="599">
        <v>6214.75</v>
      </c>
      <c r="F40" s="600">
        <f>LOOKUP(E40,119:119,120:120)-LOOKUP(C40,119:119,120:120)+100</f>
        <v>99</v>
      </c>
      <c r="G40" s="599">
        <v>105110.39999999999</v>
      </c>
      <c r="H40" s="600">
        <f>LOOKUP(G40,119:119,120:120)-LOOKUP(C40,119:119,120:120)+100</f>
        <v>104</v>
      </c>
      <c r="I40" s="601">
        <v>37843.08</v>
      </c>
      <c r="J40" s="600">
        <f>LOOKUP(I40,119:119,120:120)-LOOKUP(C40,119:119,120:120)+100</f>
        <v>100</v>
      </c>
      <c r="K40" s="584"/>
      <c r="L40" s="2147"/>
      <c r="M40" s="2137"/>
      <c r="N40" s="2137"/>
      <c r="O40" s="2146"/>
      <c r="P40" s="3407"/>
      <c r="Q40" s="1576" t="str">
        <f>B40</f>
        <v>宗地面积</v>
      </c>
      <c r="R40" s="1577" t="s">
        <v>8</v>
      </c>
      <c r="S40" s="1578">
        <f t="shared" si="10"/>
        <v>99</v>
      </c>
      <c r="T40" s="1577" t="s">
        <v>8</v>
      </c>
      <c r="U40" s="1578">
        <f t="shared" si="11"/>
        <v>104</v>
      </c>
      <c r="V40" s="1577" t="s">
        <v>8</v>
      </c>
      <c r="W40" s="1578">
        <f t="shared" si="12"/>
        <v>100</v>
      </c>
      <c r="X40" s="1571"/>
      <c r="Y40" s="3407"/>
      <c r="Z40" s="1579" t="str">
        <f t="shared" si="13"/>
        <v>宗地面积</v>
      </c>
      <c r="AA40" s="1580">
        <f t="shared" si="3"/>
        <v>1.0101010101010102</v>
      </c>
      <c r="AB40" s="1580">
        <f t="shared" si="4"/>
        <v>0.96153846153846156</v>
      </c>
      <c r="AC40" s="1580">
        <f t="shared" si="5"/>
        <v>1</v>
      </c>
    </row>
    <row r="41" spans="1:29" ht="20.25">
      <c r="A41" s="597"/>
      <c r="B41" s="530" t="s">
        <v>554</v>
      </c>
      <c r="C41" s="602" t="s">
        <v>3067</v>
      </c>
      <c r="D41" s="543">
        <v>100</v>
      </c>
      <c r="E41" s="602" t="s">
        <v>3067</v>
      </c>
      <c r="F41" s="543">
        <f>SUMIF(121:121,E41,122:122)-SUMIF(121:121,C41,122:122)+100</f>
        <v>100</v>
      </c>
      <c r="G41" s="602" t="s">
        <v>3067</v>
      </c>
      <c r="H41" s="543">
        <f>SUMIF(121:121,G41,122:122)-SUMIF(121:121,C41,122:122)+100</f>
        <v>100</v>
      </c>
      <c r="I41" s="602" t="s">
        <v>3067</v>
      </c>
      <c r="J41" s="543">
        <f>SUMIF(121:121,I41,122:122)-SUMIF(121:121,C41,122:122)+100</f>
        <v>100</v>
      </c>
      <c r="K41" s="587"/>
      <c r="L41" s="2147"/>
      <c r="M41" s="2137"/>
      <c r="N41" s="2137"/>
      <c r="O41" s="2146"/>
      <c r="P41" s="3407"/>
      <c r="Q41" s="1576" t="str">
        <f t="shared" ref="Q41:Q47" si="14">B41</f>
        <v>宗地形状</v>
      </c>
      <c r="R41" s="1577" t="s">
        <v>8</v>
      </c>
      <c r="S41" s="1578">
        <f t="shared" si="10"/>
        <v>100</v>
      </c>
      <c r="T41" s="1577" t="s">
        <v>8</v>
      </c>
      <c r="U41" s="1578">
        <f t="shared" si="11"/>
        <v>100</v>
      </c>
      <c r="V41" s="1577" t="s">
        <v>8</v>
      </c>
      <c r="W41" s="1578">
        <f t="shared" si="12"/>
        <v>100</v>
      </c>
      <c r="X41" s="1571"/>
      <c r="Y41" s="3407"/>
      <c r="Z41" s="1579" t="str">
        <f t="shared" si="13"/>
        <v>宗地形状</v>
      </c>
      <c r="AA41" s="1580">
        <f t="shared" si="3"/>
        <v>1</v>
      </c>
      <c r="AB41" s="1580">
        <f t="shared" si="4"/>
        <v>1</v>
      </c>
      <c r="AC41" s="1580">
        <f t="shared" si="5"/>
        <v>1</v>
      </c>
    </row>
    <row r="42" spans="1:29" ht="20.25">
      <c r="A42" s="597"/>
      <c r="B42" s="530" t="s">
        <v>555</v>
      </c>
      <c r="C42" s="602" t="s">
        <v>3068</v>
      </c>
      <c r="D42" s="543">
        <v>100</v>
      </c>
      <c r="E42" s="602" t="s">
        <v>3068</v>
      </c>
      <c r="F42" s="543">
        <f>SUMIF(123:123,E42,124:124)-SUMIF(123:123,C42,124:124)+100</f>
        <v>100</v>
      </c>
      <c r="G42" s="602" t="s">
        <v>3068</v>
      </c>
      <c r="H42" s="543">
        <f>SUMIF(123:123,G42,124:124)-SUMIF(123:123,C42,124:124)+100</f>
        <v>100</v>
      </c>
      <c r="I42" s="602" t="s">
        <v>3068</v>
      </c>
      <c r="J42" s="543">
        <f>SUMIF(123:123,I42,124:124)-SUMIF(123:123,C42,124:124)+100</f>
        <v>100</v>
      </c>
      <c r="K42" s="587"/>
      <c r="L42" s="2147"/>
      <c r="M42" s="2137"/>
      <c r="N42" s="2137"/>
      <c r="O42" s="2146"/>
      <c r="P42" s="3407"/>
      <c r="Q42" s="1576" t="str">
        <f t="shared" si="14"/>
        <v>临街宽度及深度</v>
      </c>
      <c r="R42" s="1577" t="s">
        <v>8</v>
      </c>
      <c r="S42" s="1578">
        <f t="shared" si="10"/>
        <v>100</v>
      </c>
      <c r="T42" s="1577" t="s">
        <v>8</v>
      </c>
      <c r="U42" s="1578">
        <f t="shared" si="11"/>
        <v>100</v>
      </c>
      <c r="V42" s="1577" t="s">
        <v>8</v>
      </c>
      <c r="W42" s="1578">
        <f t="shared" si="12"/>
        <v>100</v>
      </c>
      <c r="X42" s="1571"/>
      <c r="Y42" s="3407"/>
      <c r="Z42" s="1579" t="str">
        <f t="shared" si="13"/>
        <v>临街宽度及深度</v>
      </c>
      <c r="AA42" s="1580">
        <f t="shared" si="3"/>
        <v>1</v>
      </c>
      <c r="AB42" s="1580">
        <f t="shared" si="4"/>
        <v>1</v>
      </c>
      <c r="AC42" s="1580">
        <f t="shared" si="5"/>
        <v>1</v>
      </c>
    </row>
    <row r="43" spans="1:29" s="1223" customFormat="1" ht="20.25">
      <c r="A43" s="603"/>
      <c r="B43" s="1900" t="s">
        <v>2429</v>
      </c>
      <c r="C43" s="604" t="s">
        <v>3069</v>
      </c>
      <c r="D43" s="255">
        <v>100</v>
      </c>
      <c r="E43" s="604" t="s">
        <v>3069</v>
      </c>
      <c r="F43" s="543">
        <f>SUMIF(125:125,E43,126:126)-SUMIF(125:125,C43,126:126)+100</f>
        <v>100</v>
      </c>
      <c r="G43" s="604" t="s">
        <v>3069</v>
      </c>
      <c r="H43" s="543">
        <f>SUMIF(125:125,G43,126:126)-SUMIF(125:125,C43,126:126)+100</f>
        <v>100</v>
      </c>
      <c r="I43" s="604" t="s">
        <v>3069</v>
      </c>
      <c r="J43" s="543">
        <f>SUMIF(125:125,I43,126:126)-SUMIF(125:125,C43,126:126)+100</f>
        <v>100</v>
      </c>
      <c r="K43" s="587"/>
      <c r="L43" s="2140"/>
      <c r="M43" s="2137"/>
      <c r="N43" s="2137"/>
      <c r="O43" s="2142"/>
      <c r="P43" s="3407"/>
      <c r="Q43" s="1576" t="str">
        <f t="shared" si="14"/>
        <v>宗地开发程度</v>
      </c>
      <c r="R43" s="1572" t="s">
        <v>8</v>
      </c>
      <c r="S43" s="1573">
        <f t="shared" si="10"/>
        <v>100</v>
      </c>
      <c r="T43" s="1572" t="s">
        <v>8</v>
      </c>
      <c r="U43" s="1573">
        <f t="shared" si="11"/>
        <v>100</v>
      </c>
      <c r="V43" s="1572" t="s">
        <v>8</v>
      </c>
      <c r="W43" s="1573">
        <f t="shared" si="12"/>
        <v>100</v>
      </c>
      <c r="X43" s="1574"/>
      <c r="Y43" s="3407"/>
      <c r="Z43" s="1153" t="str">
        <f t="shared" si="13"/>
        <v>宗地开发程度</v>
      </c>
      <c r="AA43" s="1575">
        <f t="shared" si="3"/>
        <v>1</v>
      </c>
      <c r="AB43" s="1575">
        <f t="shared" si="4"/>
        <v>1</v>
      </c>
      <c r="AC43" s="1575">
        <f t="shared" si="5"/>
        <v>1</v>
      </c>
    </row>
    <row r="44" spans="1:29" ht="21" thickBot="1">
      <c r="A44" s="597"/>
      <c r="B44" s="530" t="s">
        <v>556</v>
      </c>
      <c r="C44" s="602" t="s">
        <v>3053</v>
      </c>
      <c r="D44" s="543">
        <v>100</v>
      </c>
      <c r="E44" s="602" t="s">
        <v>3053</v>
      </c>
      <c r="F44" s="543">
        <f>SUMIF(127:127,E44,128:128)-SUMIF(127:127,C44,128:128)+100</f>
        <v>100</v>
      </c>
      <c r="G44" s="602" t="s">
        <v>3053</v>
      </c>
      <c r="H44" s="543">
        <f>SUMIF(127:127,G44,128:128)-SUMIF(127:127,C44,128:128)+100</f>
        <v>100</v>
      </c>
      <c r="I44" s="602" t="s">
        <v>3053</v>
      </c>
      <c r="J44" s="543">
        <f>SUMIF(127:127,I44,128:128)-SUMIF(127:127,C44,128:128)+100</f>
        <v>100</v>
      </c>
      <c r="K44" s="587"/>
      <c r="L44" s="2147"/>
      <c r="M44" s="2137"/>
      <c r="N44" s="2137"/>
      <c r="O44" s="2146"/>
      <c r="P44" s="3407" t="s">
        <v>551</v>
      </c>
      <c r="Q44" s="1576" t="str">
        <f t="shared" si="14"/>
        <v>工程地质条件</v>
      </c>
      <c r="R44" s="1577" t="s">
        <v>8</v>
      </c>
      <c r="S44" s="1578">
        <f t="shared" si="10"/>
        <v>100</v>
      </c>
      <c r="T44" s="1577" t="s">
        <v>8</v>
      </c>
      <c r="U44" s="1578">
        <f t="shared" si="11"/>
        <v>100</v>
      </c>
      <c r="V44" s="1577" t="s">
        <v>8</v>
      </c>
      <c r="W44" s="1578">
        <f t="shared" si="12"/>
        <v>100</v>
      </c>
      <c r="X44" s="1571"/>
      <c r="Y44" s="3407"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407"/>
      <c r="Q45" s="1576">
        <f t="shared" si="14"/>
        <v>111</v>
      </c>
      <c r="R45" s="1577" t="s">
        <v>8</v>
      </c>
      <c r="S45" s="1578">
        <f t="shared" si="10"/>
        <v>100</v>
      </c>
      <c r="T45" s="1577" t="s">
        <v>8</v>
      </c>
      <c r="U45" s="1578">
        <f t="shared" si="11"/>
        <v>100</v>
      </c>
      <c r="V45" s="1577" t="s">
        <v>8</v>
      </c>
      <c r="W45" s="1578">
        <f t="shared" si="12"/>
        <v>100</v>
      </c>
      <c r="X45" s="1571"/>
      <c r="Y45" s="3407"/>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407"/>
      <c r="Q46" s="1576">
        <f t="shared" si="14"/>
        <v>111</v>
      </c>
      <c r="R46" s="1577" t="s">
        <v>8</v>
      </c>
      <c r="S46" s="1578">
        <f t="shared" si="10"/>
        <v>100</v>
      </c>
      <c r="T46" s="1577" t="s">
        <v>8</v>
      </c>
      <c r="U46" s="1578">
        <f t="shared" si="11"/>
        <v>100</v>
      </c>
      <c r="V46" s="1577" t="s">
        <v>8</v>
      </c>
      <c r="W46" s="1578">
        <f t="shared" si="12"/>
        <v>100</v>
      </c>
      <c r="X46" s="1571"/>
      <c r="Y46" s="3407"/>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407"/>
      <c r="Q47" s="1576">
        <f t="shared" si="14"/>
        <v>111</v>
      </c>
      <c r="R47" s="1581" t="s">
        <v>8</v>
      </c>
      <c r="S47" s="1582">
        <f t="shared" si="10"/>
        <v>100</v>
      </c>
      <c r="T47" s="1581" t="s">
        <v>8</v>
      </c>
      <c r="U47" s="1582">
        <f t="shared" si="11"/>
        <v>100</v>
      </c>
      <c r="V47" s="1581" t="s">
        <v>8</v>
      </c>
      <c r="W47" s="1582">
        <f t="shared" si="12"/>
        <v>100</v>
      </c>
      <c r="X47" s="1583"/>
      <c r="Y47" s="3407"/>
      <c r="Z47" s="1584">
        <f t="shared" si="13"/>
        <v>111</v>
      </c>
      <c r="AA47" s="1580">
        <f t="shared" si="3"/>
        <v>1</v>
      </c>
      <c r="AB47" s="1580">
        <f t="shared" si="4"/>
        <v>1</v>
      </c>
      <c r="AC47" s="1580">
        <f t="shared" si="5"/>
        <v>1</v>
      </c>
    </row>
    <row r="48" spans="1:29" ht="20.25">
      <c r="A48" s="610" t="s">
        <v>557</v>
      </c>
      <c r="B48" s="611" t="s">
        <v>3040</v>
      </c>
      <c r="C48" s="612" t="s">
        <v>1</v>
      </c>
      <c r="D48" s="613"/>
      <c r="E48" s="614">
        <v>1327.49</v>
      </c>
      <c r="F48" s="615"/>
      <c r="G48" s="616">
        <v>1488.91</v>
      </c>
      <c r="H48" s="617"/>
      <c r="I48" s="616">
        <v>1438.43</v>
      </c>
      <c r="J48" s="617"/>
      <c r="K48" s="1343"/>
      <c r="L48" s="2149"/>
      <c r="M48" s="2137"/>
      <c r="N48" s="2137"/>
      <c r="O48" s="2150"/>
      <c r="P48" s="3368" t="str">
        <f>A48</f>
        <v>成交单价</v>
      </c>
      <c r="Q48" s="3368"/>
      <c r="R48" s="3369">
        <f>E48</f>
        <v>1327.49</v>
      </c>
      <c r="S48" s="3369"/>
      <c r="T48" s="3369">
        <f>G48</f>
        <v>1488.91</v>
      </c>
      <c r="U48" s="3369"/>
      <c r="V48" s="3369">
        <f>I48</f>
        <v>1438.43</v>
      </c>
      <c r="W48" s="3369"/>
      <c r="X48" s="1563"/>
      <c r="Y48" s="1585"/>
      <c r="Z48" s="1563"/>
      <c r="AA48" s="1563"/>
      <c r="AB48" s="1563"/>
      <c r="AC48" s="1563"/>
    </row>
    <row r="49" spans="1:29" ht="21" thickBot="1">
      <c r="A49" s="618" t="s">
        <v>2702</v>
      </c>
      <c r="B49" s="619"/>
      <c r="C49" s="620">
        <f>R50</f>
        <v>1462</v>
      </c>
      <c r="D49" s="621"/>
      <c r="E49" s="620">
        <f>R49</f>
        <v>1448</v>
      </c>
      <c r="F49" s="622"/>
      <c r="G49" s="623">
        <f>T49</f>
        <v>1485</v>
      </c>
      <c r="H49" s="621"/>
      <c r="I49" s="620">
        <f>V49</f>
        <v>1454</v>
      </c>
      <c r="J49" s="621"/>
      <c r="K49" s="1344"/>
      <c r="L49" s="2149"/>
      <c r="M49" s="2137"/>
      <c r="N49" s="2137"/>
      <c r="O49" s="2150"/>
      <c r="P49" s="3368" t="str">
        <f>A49</f>
        <v>比较价格（元/平方米）</v>
      </c>
      <c r="Q49" s="3368"/>
      <c r="R49" s="3370">
        <f>ROUND(PRODUCT(R48,AA9:AA47),0)</f>
        <v>1448</v>
      </c>
      <c r="S49" s="3370"/>
      <c r="T49" s="3370">
        <f>ROUND(PRODUCT(T48,AB9:AB47),0)</f>
        <v>1485</v>
      </c>
      <c r="U49" s="3370"/>
      <c r="V49" s="3370">
        <f>ROUND(PRODUCT(V48,AC9:AC47),0)</f>
        <v>1454</v>
      </c>
      <c r="W49" s="3370"/>
      <c r="X49" s="1563"/>
      <c r="Y49" s="1563"/>
      <c r="Z49" s="1563"/>
      <c r="AA49" s="1563"/>
      <c r="AB49" s="1563"/>
      <c r="AC49" s="1563"/>
    </row>
    <row r="50" spans="1:29" ht="21" thickBot="1">
      <c r="A50" s="624" t="s">
        <v>2945</v>
      </c>
      <c r="B50" s="625"/>
      <c r="C50" s="626">
        <f>R50</f>
        <v>1462</v>
      </c>
      <c r="D50" s="626"/>
      <c r="E50" s="626"/>
      <c r="F50" s="626"/>
      <c r="G50" s="626"/>
      <c r="H50" s="626"/>
      <c r="I50" s="626"/>
      <c r="J50" s="626"/>
      <c r="K50" s="1345"/>
      <c r="L50" s="2149"/>
      <c r="M50" s="2137"/>
      <c r="N50" s="2137"/>
      <c r="O50" s="2150"/>
      <c r="P50" s="3365" t="str">
        <f>A50</f>
        <v>估价对象XX用房的比较价格（楼面单价，元/平方米）</v>
      </c>
      <c r="Q50" s="3366"/>
      <c r="R50" s="3367">
        <f>ROUND(AVERAGE(R49:V49),0)</f>
        <v>1462</v>
      </c>
      <c r="S50" s="3367"/>
      <c r="T50" s="3367"/>
      <c r="U50" s="3367"/>
      <c r="V50" s="3367"/>
      <c r="W50" s="3367"/>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9.0780344861354889E-2</v>
      </c>
      <c r="F53" s="630" t="str">
        <f>IF(OR(E53&gt;=0.3,E53&lt;=-0.3),"超过30%","")</f>
        <v/>
      </c>
      <c r="G53" s="629">
        <f>IF(G48&lt;G49,G49/G48-1,G48/G49-1)</f>
        <v>2.6329966329967647E-3</v>
      </c>
      <c r="H53" s="630" t="str">
        <f>IF(OR(G53&gt;=0.3,G53&lt;=-0.3),"超过30%","")</f>
        <v/>
      </c>
      <c r="I53" s="629">
        <f>IF(I48&lt;I49,I49/I48-1,I48/I49-1)</f>
        <v>1.0824301495380384E-2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2.5552486187845336E-2</v>
      </c>
      <c r="F54" s="630" t="str">
        <f>IF(OR(E54&gt;=0.2,E54&lt;=-0.2),"超过20%","")</f>
        <v/>
      </c>
      <c r="G54" s="629">
        <f>IF(G49&lt;I49,I49/G49-1,G49/I49-1)</f>
        <v>2.1320495185694677E-2</v>
      </c>
      <c r="H54" s="630" t="str">
        <f>IF(OR(G54&gt;=0.2,G54&lt;=-0.2),"超过20%","")</f>
        <v/>
      </c>
      <c r="I54" s="629">
        <f>IF(I49&lt;E49,E49/I49-1,I49/E49-1)</f>
        <v>4.1436464088397962E-3</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0.1215979028090608</v>
      </c>
      <c r="F55" s="630" t="str">
        <f>IF(OR(E55&gt;=0.3,E55&lt;=-0.3),"超过30%","")</f>
        <v/>
      </c>
      <c r="G55" s="629">
        <f>IF(G48&lt;I48,I48/G48-1,G48/I48-1)</f>
        <v>3.5093817564983976E-2</v>
      </c>
      <c r="H55" s="630" t="str">
        <f>IF(OR(G55&gt;=0.3,G55&lt;=-0.3),"超过30%","")</f>
        <v/>
      </c>
      <c r="I55" s="629">
        <f>IF(I48&lt;E48,E48/I48-1,I48/E48-1)</f>
        <v>8.3571251007540592E-2</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96" t="s">
        <v>2285</v>
      </c>
      <c r="H57" s="3397"/>
      <c r="I57" s="1559" t="s">
        <v>1724</v>
      </c>
      <c r="J57" s="1559" t="str">
        <f>项目基本情况!F41</f>
        <v>陕西省西安市</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1462</v>
      </c>
      <c r="C58" s="638">
        <v>1</v>
      </c>
      <c r="D58" s="2233">
        <v>1</v>
      </c>
      <c r="E58" s="638">
        <f>'数据-汇总表'!E8+'数据-汇总表'!E9</f>
        <v>115593.65</v>
      </c>
      <c r="F58" s="639">
        <f t="shared" ref="F58:F67" si="15">ROUND(B58*E58/10000,0)</f>
        <v>16900</v>
      </c>
      <c r="G58" s="3398"/>
      <c r="H58" s="3399"/>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400"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400"/>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400"/>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400"/>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47200.46</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162794.10999999999</v>
      </c>
      <c r="F68" s="647">
        <f>IF(B48="楼面地价",SUM(F58:F67),ROUND(C50*E68/10000,0))</f>
        <v>16900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2017-10-1</v>
      </c>
      <c r="D70" s="2830">
        <f>EDATE(C70,-3)</f>
        <v>42917</v>
      </c>
      <c r="E70" s="2830">
        <f t="shared" ref="E70:N70" si="18">EDATE(D70,-3)</f>
        <v>42826</v>
      </c>
      <c r="F70" s="2830">
        <f t="shared" si="18"/>
        <v>42736</v>
      </c>
      <c r="G70" s="2830">
        <f t="shared" si="18"/>
        <v>42644</v>
      </c>
      <c r="H70" s="2830">
        <f t="shared" si="18"/>
        <v>42552</v>
      </c>
      <c r="I70" s="2830">
        <f t="shared" si="18"/>
        <v>42461</v>
      </c>
      <c r="J70" s="2830">
        <f t="shared" si="18"/>
        <v>42370</v>
      </c>
      <c r="K70" s="2830">
        <f t="shared" si="18"/>
        <v>42278</v>
      </c>
      <c r="L70" s="2830">
        <f t="shared" si="18"/>
        <v>42186</v>
      </c>
      <c r="M70" s="2830">
        <f t="shared" si="18"/>
        <v>42095</v>
      </c>
      <c r="N70" s="2830">
        <f t="shared" si="18"/>
        <v>42005</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2655</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78" t="s">
        <v>3038</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1</v>
      </c>
      <c r="D82" s="544">
        <v>2</v>
      </c>
      <c r="E82" s="544">
        <v>3</v>
      </c>
      <c r="F82" s="544">
        <v>4</v>
      </c>
      <c r="G82" s="544">
        <v>5</v>
      </c>
      <c r="H82" s="544">
        <v>6</v>
      </c>
      <c r="I82" s="544">
        <v>7</v>
      </c>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691" t="s">
        <v>3041</v>
      </c>
      <c r="D108" s="691" t="s">
        <v>3042</v>
      </c>
      <c r="E108" s="691" t="s">
        <v>3043</v>
      </c>
      <c r="F108" s="691" t="s">
        <v>3044</v>
      </c>
      <c r="G108" s="691" t="s">
        <v>3045</v>
      </c>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v>
      </c>
      <c r="J118" s="3124" t="str">
        <f t="shared" si="25"/>
        <v>(含)-</v>
      </c>
      <c r="K118" s="3124" t="str">
        <f t="shared" si="25"/>
        <v>(含)-</v>
      </c>
      <c r="L118" s="3125" t="str">
        <f t="shared" si="25"/>
        <v>(含)-</v>
      </c>
      <c r="M118" s="3126"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20000</v>
      </c>
      <c r="E119" s="733">
        <v>40000</v>
      </c>
      <c r="F119" s="733">
        <v>60000</v>
      </c>
      <c r="G119" s="733">
        <v>80000</v>
      </c>
      <c r="H119" s="733">
        <v>100000</v>
      </c>
      <c r="I119" s="733">
        <v>120000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29">
        <v>103</v>
      </c>
      <c r="G120" s="729">
        <v>104</v>
      </c>
      <c r="H120" s="729">
        <v>105</v>
      </c>
      <c r="I120" s="729">
        <v>106</v>
      </c>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721" t="s">
        <v>3055</v>
      </c>
      <c r="D121" s="3179" t="s">
        <v>3056</v>
      </c>
      <c r="E121" s="721" t="s">
        <v>3057</v>
      </c>
      <c r="F121" s="721" t="s">
        <v>3058</v>
      </c>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691" t="s">
        <v>3059</v>
      </c>
      <c r="D123" s="691" t="s">
        <v>3060</v>
      </c>
      <c r="E123" s="691" t="s">
        <v>3061</v>
      </c>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3062</v>
      </c>
      <c r="D125" s="1379" t="s">
        <v>3063</v>
      </c>
      <c r="E125" s="1379" t="s">
        <v>3064</v>
      </c>
      <c r="F125" s="1379" t="s">
        <v>3065</v>
      </c>
      <c r="G125" s="1379" t="s">
        <v>3066</v>
      </c>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691" t="s">
        <v>3048</v>
      </c>
      <c r="D127" s="691" t="s">
        <v>3049</v>
      </c>
      <c r="E127" s="721" t="s">
        <v>3050</v>
      </c>
      <c r="F127" s="721" t="s">
        <v>3051</v>
      </c>
      <c r="G127" s="721" t="s">
        <v>3052</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96" t="str">
        <f>项目基本情况!B1</f>
        <v>陕西省西安市西安浐灞生态区金茂四路以东、金桥二路以北出让国有建设用地使用权预评估</v>
      </c>
      <c r="C37" s="3196"/>
      <c r="D37" s="3196"/>
      <c r="E37" s="3196"/>
      <c r="F37" s="3196"/>
      <c r="G37" s="3196"/>
      <c r="H37" s="3196"/>
      <c r="I37" s="3196"/>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C30" sqref="C30"/>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20847</v>
      </c>
      <c r="C2" s="2109"/>
      <c r="D2" s="2109"/>
      <c r="E2" s="2109"/>
      <c r="F2" s="2109"/>
      <c r="G2" s="2109"/>
      <c r="H2" s="2109"/>
      <c r="I2" s="2109"/>
      <c r="J2" s="2109"/>
      <c r="K2" s="2109"/>
    </row>
    <row r="3" spans="1:31" s="2046" customFormat="1" ht="18" customHeight="1">
      <c r="A3" s="2111" t="s">
        <v>1686</v>
      </c>
      <c r="B3" s="2112">
        <f ca="1">ROUND(B2*10000/IF(B1="",'数据-汇总表'!E3,INDIRECT("'数据-取费表'!K"&amp;$K$1)),0)</f>
        <v>1252</v>
      </c>
      <c r="C3" s="2109"/>
      <c r="D3" s="2109"/>
      <c r="E3" s="2109"/>
      <c r="F3" s="2109"/>
      <c r="G3" s="2109"/>
      <c r="H3" s="2109"/>
      <c r="I3" s="2109"/>
      <c r="J3" s="2109"/>
      <c r="K3" s="2109"/>
    </row>
    <row r="4" spans="1:31" s="2046" customFormat="1" ht="18" customHeight="1">
      <c r="A4" s="429" t="s">
        <v>468</v>
      </c>
      <c r="B4" s="430">
        <f ca="1">ROUND(B2*10000/IF(B1="",'数据-汇总表'!D3,INDIRECT("'数据-取费表'!R"&amp;$K$1)),0)</f>
        <v>6275</v>
      </c>
      <c r="C4" s="431"/>
      <c r="D4" s="425"/>
      <c r="E4" s="425"/>
      <c r="F4" s="425"/>
      <c r="G4" s="425"/>
      <c r="H4" s="425"/>
      <c r="I4" s="425"/>
      <c r="J4" s="425"/>
      <c r="K4" s="425"/>
    </row>
    <row r="5" spans="1:31" s="2046" customFormat="1" ht="18" customHeight="1" thickBot="1">
      <c r="A5" s="432"/>
      <c r="B5" s="433">
        <f ca="1">ROUND(B2/(IF(B1="",'数据-汇总表'!D3,INDIRECT("'数据-取费表'!R"&amp;$K$1))/666.67),0)</f>
        <v>418</v>
      </c>
      <c r="C5" s="434" t="s">
        <v>469</v>
      </c>
      <c r="D5" s="425"/>
      <c r="E5" s="425"/>
      <c r="F5" s="425"/>
      <c r="G5" s="425"/>
      <c r="H5" s="425"/>
      <c r="I5" s="425"/>
      <c r="J5" s="425"/>
      <c r="K5" s="425"/>
    </row>
    <row r="6" spans="1:31" s="2116" customFormat="1" ht="16.5" customHeight="1">
      <c r="A6" s="2859" t="s">
        <v>1844</v>
      </c>
      <c r="B6" s="2860"/>
      <c r="C6" s="2861">
        <f ca="1">SUM(C10:K10)</f>
        <v>112786</v>
      </c>
      <c r="D6" s="2860"/>
      <c r="E6" s="2860"/>
      <c r="F6" s="2860"/>
      <c r="G6" s="2860"/>
      <c r="H6" s="2860"/>
      <c r="I6" s="2860"/>
      <c r="J6" s="2860"/>
      <c r="K6" s="2862"/>
    </row>
    <row r="7" spans="1:31" s="2118" customFormat="1" ht="15">
      <c r="A7" s="2863" t="s">
        <v>470</v>
      </c>
      <c r="B7" s="2864" t="s">
        <v>471</v>
      </c>
      <c r="C7" s="439" t="s">
        <v>1679</v>
      </c>
      <c r="D7" s="439" t="s">
        <v>2987</v>
      </c>
      <c r="E7" s="439" t="s">
        <v>3003</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5">
        <f>'不动产比较法-办公'!B3</f>
        <v>8128</v>
      </c>
      <c r="D8" s="2865">
        <f ca="1">不动产收益法!B3</f>
        <v>11702</v>
      </c>
      <c r="E8" s="3193">
        <f ca="1">'不动产收益法 (车库)'!B3</f>
        <v>1912</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88150.11</v>
      </c>
      <c r="D9" s="444">
        <f>SUMIF('数据-汇总表'!$C19:$C33,'剩余法-待开发'!D7,'数据-汇总表'!$E19:$E33)</f>
        <v>27443.54</v>
      </c>
      <c r="E9" s="444">
        <f>SUMIF('数据-汇总表'!$C19:$C33,'剩余法-待开发'!E7,'数据-汇总表'!$E19:$E33)</f>
        <v>47200.46</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1849</v>
      </c>
      <c r="B10" s="2853" t="s">
        <v>474</v>
      </c>
      <c r="C10" s="3060">
        <f>'不动产比较法-办公'!B2</f>
        <v>71648</v>
      </c>
      <c r="D10" s="3060">
        <f ca="1">不动产收益法!B2</f>
        <v>32115</v>
      </c>
      <c r="E10" s="3194">
        <f ca="1">'不动产收益法 (车库)'!B2</f>
        <v>9023</v>
      </c>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1845</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1850</v>
      </c>
      <c r="B13" s="2874" t="s">
        <v>479</v>
      </c>
      <c r="C13" s="453">
        <f ca="1">IF(B1="",'数据-取费表'!P16,INDIRECT("'数据-取费表'!p"&amp;$K$1)+INDIRECT("'数据-取费表'!t"&amp;$K$1))</f>
        <v>55531</v>
      </c>
      <c r="D13" s="2875"/>
      <c r="E13" s="2876"/>
      <c r="F13" s="2877"/>
      <c r="G13" s="2843"/>
      <c r="H13" s="2844"/>
      <c r="I13" s="2844"/>
      <c r="J13" s="2844"/>
      <c r="K13" s="2845"/>
    </row>
    <row r="14" spans="1:31" s="2121" customFormat="1" ht="13.5" customHeight="1">
      <c r="A14" s="2873" t="s">
        <v>1851</v>
      </c>
      <c r="B14" s="2874" t="s">
        <v>480</v>
      </c>
      <c r="C14" s="53">
        <f ca="1">ROUND(C13*F14,0)</f>
        <v>1666</v>
      </c>
      <c r="D14" s="2875"/>
      <c r="E14" s="2876"/>
      <c r="F14" s="2878">
        <f>'数据-取费表'!B33</f>
        <v>0.03</v>
      </c>
      <c r="G14" s="2843" t="s">
        <v>481</v>
      </c>
      <c r="H14" s="2844"/>
      <c r="I14" s="2844"/>
      <c r="J14" s="2844"/>
      <c r="K14" s="2845"/>
    </row>
    <row r="15" spans="1:31" s="2121" customFormat="1" ht="13.5" customHeight="1">
      <c r="A15" s="2873" t="s">
        <v>1852</v>
      </c>
      <c r="B15" s="2874" t="s">
        <v>482</v>
      </c>
      <c r="C15" s="53">
        <f ca="1">ROUND(IF(B1="",SUMIF('数据-取费表'!C:C,"住宅",'数据-取费表'!P:P)*F15,IF(INDIRECT("'数据-取费表'!c"&amp;$K$1)="住宅",INDIRECT("'数据-取费表'!P"&amp;$K$1)*F15,0)),0)</f>
        <v>0</v>
      </c>
      <c r="D15" s="2875"/>
      <c r="E15" s="2876"/>
      <c r="F15" s="2878">
        <f>'数据-取费表'!B34</f>
        <v>0</v>
      </c>
      <c r="G15" s="2843" t="s">
        <v>483</v>
      </c>
      <c r="H15" s="2844"/>
      <c r="I15" s="2844"/>
      <c r="J15" s="2844"/>
      <c r="K15" s="2845"/>
    </row>
    <row r="16" spans="1:31" s="2122" customFormat="1" ht="13.5" customHeight="1">
      <c r="A16" s="2873" t="s">
        <v>1853</v>
      </c>
      <c r="B16" s="2874" t="s">
        <v>484</v>
      </c>
      <c r="C16" s="53">
        <f ca="1">ROUND(D16*E16/10000,0)</f>
        <v>3329</v>
      </c>
      <c r="D16" s="2875">
        <f ca="1">IF(B1="",'数据-汇总表'!E3,INDIRECT("'数据-取费表'!K"&amp;$K$1)+INDIRECT("'数据-取费表'!S"&amp;$K$1))</f>
        <v>166445.44999999998</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1854</v>
      </c>
      <c r="B17" s="2874" t="s">
        <v>485</v>
      </c>
      <c r="C17" s="2879">
        <f ca="1">ROUND(C13*F17,0)</f>
        <v>833</v>
      </c>
      <c r="D17" s="478"/>
      <c r="E17" s="2879"/>
      <c r="F17" s="2880">
        <f>'数据-取费表'!B36</f>
        <v>1.4999999999999999E-2</v>
      </c>
      <c r="G17" s="261" t="s">
        <v>486</v>
      </c>
      <c r="H17" s="2846"/>
      <c r="I17" s="2846"/>
      <c r="J17" s="2846"/>
      <c r="K17" s="279"/>
    </row>
    <row r="18" spans="1:14" s="2121" customFormat="1" ht="13.5" customHeight="1">
      <c r="A18" s="2881" t="s">
        <v>1855</v>
      </c>
      <c r="B18" s="2882" t="s">
        <v>487</v>
      </c>
      <c r="C18" s="2883">
        <f ca="1">SUM(C13:C17)</f>
        <v>61359</v>
      </c>
      <c r="D18" s="2884"/>
      <c r="E18" s="471"/>
      <c r="F18" s="471"/>
      <c r="G18" s="2847" t="s">
        <v>2435</v>
      </c>
      <c r="H18" s="2848"/>
      <c r="I18" s="2848"/>
      <c r="J18" s="2848"/>
      <c r="K18" s="2849"/>
    </row>
    <row r="19" spans="1:14" s="2121" customFormat="1" ht="13.5" customHeight="1">
      <c r="A19" s="2881" t="s">
        <v>1856</v>
      </c>
      <c r="B19" s="2882" t="s">
        <v>488</v>
      </c>
      <c r="C19" s="2839">
        <f ca="1">ROUND(D19*E19/10000,0)</f>
        <v>1664</v>
      </c>
      <c r="D19" s="2885">
        <f ca="1">D16</f>
        <v>166445.44999999998</v>
      </c>
      <c r="E19" s="2839">
        <f>'数据-取费表'!B32</f>
        <v>100</v>
      </c>
      <c r="F19" s="471"/>
      <c r="G19" s="2843" t="s">
        <v>489</v>
      </c>
      <c r="H19" s="2844"/>
      <c r="I19" s="2848"/>
      <c r="J19" s="2848"/>
      <c r="K19" s="2849"/>
    </row>
    <row r="20" spans="1:14" s="2121" customFormat="1" ht="13.5" customHeight="1">
      <c r="A20" s="2881" t="s">
        <v>1857</v>
      </c>
      <c r="B20" s="2882" t="s">
        <v>490</v>
      </c>
      <c r="C20" s="2839">
        <f ca="1">C21+C22-IF(B1="",'数据-取费表'!B29,IF(G20="已全部缴纳",C21+C22,H20))</f>
        <v>2497</v>
      </c>
      <c r="D20" s="2885"/>
      <c r="E20" s="2839"/>
      <c r="F20" s="2886"/>
      <c r="G20" s="3120"/>
      <c r="H20" s="2841"/>
      <c r="I20" s="2842" t="s">
        <v>2660</v>
      </c>
      <c r="J20" s="2848"/>
      <c r="K20" s="2849"/>
    </row>
    <row r="21" spans="1:14" s="2121" customFormat="1" ht="13.5" customHeight="1">
      <c r="A21" s="2873" t="s">
        <v>1858</v>
      </c>
      <c r="B21" s="2874" t="s">
        <v>491</v>
      </c>
      <c r="C21" s="53">
        <f ca="1">ROUND(D21*E21/10000,0)</f>
        <v>0</v>
      </c>
      <c r="D21" s="2875">
        <f ca="1">IF(B1="",'数据-汇总表'!E5,IF(INDIRECT("'数据-取费表'!c"&amp;$K$1)="住宅",INDIRECT("'数据-取费表'!k"&amp;$K$1),0))</f>
        <v>0</v>
      </c>
      <c r="E21" s="53">
        <f>'数据-取费表'!B27</f>
        <v>150</v>
      </c>
      <c r="F21" s="2878"/>
      <c r="G21" s="26"/>
      <c r="H21" s="51"/>
      <c r="I21" s="51"/>
      <c r="J21" s="51"/>
      <c r="K21" s="2850"/>
    </row>
    <row r="22" spans="1:14" s="2121" customFormat="1" ht="13.5" customHeight="1">
      <c r="A22" s="2873" t="s">
        <v>1859</v>
      </c>
      <c r="B22" s="2874" t="s">
        <v>492</v>
      </c>
      <c r="C22" s="53">
        <f ca="1">ROUND(D22*E22/10000,0)</f>
        <v>2497</v>
      </c>
      <c r="D22" s="2875">
        <f ca="1">IF(B1="",'数据-汇总表'!E6,IF(INDIRECT("'数据-取费表'!c"&amp;$K$1)="住宅",INDIRECT("'数据-取费表'!s"&amp;$K$1),INDIRECT("'数据-取费表'!k"&amp;$K$1)+INDIRECT("'数据-取费表'!s"&amp;$K$1)))</f>
        <v>166445.44999999998</v>
      </c>
      <c r="E22" s="53">
        <f>'数据-取费表'!B28</f>
        <v>150</v>
      </c>
      <c r="F22" s="2878"/>
      <c r="G22" s="26"/>
      <c r="H22" s="51"/>
      <c r="I22" s="51"/>
      <c r="J22" s="51"/>
      <c r="K22" s="2850"/>
    </row>
    <row r="23" spans="1:14" s="2121" customFormat="1" ht="13.5" customHeight="1">
      <c r="A23" s="2881" t="s">
        <v>1860</v>
      </c>
      <c r="B23" s="3066" t="s">
        <v>2843</v>
      </c>
      <c r="C23" s="2883">
        <f ca="1">ROUND((C18+C19+C20)*F23,0)</f>
        <v>1310</v>
      </c>
      <c r="D23" s="471"/>
      <c r="E23" s="471"/>
      <c r="F23" s="2887">
        <f>'数据-取费表'!B37</f>
        <v>0.02</v>
      </c>
      <c r="G23" s="2843" t="s">
        <v>2436</v>
      </c>
      <c r="H23" s="2844"/>
      <c r="I23" s="2844"/>
      <c r="J23" s="2844"/>
      <c r="K23" s="2845"/>
      <c r="L23" s="2123"/>
      <c r="M23" s="2123"/>
      <c r="N23" s="2123"/>
    </row>
    <row r="24" spans="1:14" s="2121" customFormat="1" ht="13.5" customHeight="1">
      <c r="A24" s="2881" t="s">
        <v>1861</v>
      </c>
      <c r="B24" s="3066" t="s">
        <v>2846</v>
      </c>
      <c r="C24" s="2883">
        <f ca="1">ROUND(C6*F24,0)</f>
        <v>2256</v>
      </c>
      <c r="D24" s="478"/>
      <c r="E24" s="476"/>
      <c r="F24" s="2887">
        <f>'数据-取费表'!B38</f>
        <v>0.02</v>
      </c>
      <c r="G24" s="2852" t="s">
        <v>499</v>
      </c>
      <c r="H24" s="2846"/>
      <c r="I24" s="2846"/>
      <c r="J24" s="2846"/>
      <c r="K24" s="279"/>
      <c r="L24" s="2123"/>
      <c r="M24" s="2123"/>
      <c r="N24" s="2123"/>
    </row>
    <row r="25" spans="1:14" s="2124" customFormat="1" ht="13.5" customHeight="1">
      <c r="A25" s="2881" t="s">
        <v>1862</v>
      </c>
      <c r="B25" s="3066" t="s">
        <v>2844</v>
      </c>
      <c r="C25" s="470">
        <f>ROUND(F25/(1+'数据-取费表'!C42),4)</f>
        <v>2.9000000000000001E-2</v>
      </c>
      <c r="D25" s="465" t="s">
        <v>2838</v>
      </c>
      <c r="E25" s="472"/>
      <c r="F25" s="2887">
        <f>'数据-取费表'!B48+'数据-取费表'!B49</f>
        <v>3.0499999999999999E-2</v>
      </c>
      <c r="G25" s="2851" t="s">
        <v>2293</v>
      </c>
      <c r="H25" s="2844"/>
      <c r="I25" s="2844"/>
      <c r="J25" s="2844"/>
      <c r="K25" s="2845"/>
    </row>
    <row r="26" spans="1:14" s="2123" customFormat="1" ht="13.5" customHeight="1">
      <c r="A26" s="2881" t="s">
        <v>1863</v>
      </c>
      <c r="B26" s="3067" t="s">
        <v>2845</v>
      </c>
      <c r="C26" s="2888">
        <f ca="1">C28</f>
        <v>3282</v>
      </c>
      <c r="D26" s="470">
        <f ca="1">C27</f>
        <v>0.10009999999999999</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1858</v>
      </c>
      <c r="B27" s="2889" t="s">
        <v>496</v>
      </c>
      <c r="C27" s="2890">
        <f ca="1">ROUND(IF('数据-取费表'!B22&lt;=1,(1+C25)*F26*'数据-取费表'!B24,(1+C25)*(POWER((1+F26),'数据-取费表'!B24)-1)),4)</f>
        <v>0.10009999999999999</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1859</v>
      </c>
      <c r="B28" s="2889" t="s">
        <v>2847</v>
      </c>
      <c r="C28" s="2891">
        <f ca="1">ROUND(IF('数据-取费表'!B22&lt;=1,(C18+C19+C20+C23+C24)*F26*'数据-取费表'!B24/2,(C18+C19+C20+C23+C24)*(POWER((1+F26),'数据-取费表'!B24/2)-1)),0)</f>
        <v>3282</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1864</v>
      </c>
      <c r="B29" s="2882" t="s">
        <v>497</v>
      </c>
      <c r="C29" s="2883">
        <f ca="1">ROUND(C6*F29/(1+'数据-取费表'!C42),0)</f>
        <v>6015</v>
      </c>
      <c r="D29" s="471"/>
      <c r="E29" s="471"/>
      <c r="F29" s="3068">
        <f>'数据-取费表'!B41</f>
        <v>5.6000000000000001E-2</v>
      </c>
      <c r="G29" s="2852" t="s">
        <v>498</v>
      </c>
      <c r="H29" s="2844"/>
      <c r="I29" s="2844"/>
      <c r="J29" s="2844"/>
      <c r="K29" s="2845"/>
    </row>
    <row r="30" spans="1:14" s="2126" customFormat="1" ht="13.5" customHeight="1">
      <c r="A30" s="1639" t="s">
        <v>1865</v>
      </c>
      <c r="B30" s="2893" t="s">
        <v>500</v>
      </c>
      <c r="C30" s="2888">
        <f ca="1">C31</f>
        <v>78383</v>
      </c>
      <c r="D30" s="480">
        <f ca="1">C32</f>
        <v>0.12909999999999999</v>
      </c>
      <c r="E30" s="472" t="s">
        <v>495</v>
      </c>
      <c r="F30" s="474"/>
      <c r="G30" s="2843" t="s">
        <v>501</v>
      </c>
      <c r="H30" s="2844"/>
      <c r="I30" s="2844"/>
      <c r="J30" s="2844"/>
      <c r="K30" s="2845"/>
    </row>
    <row r="31" spans="1:14" s="2125" customFormat="1" ht="13.5" customHeight="1">
      <c r="A31" s="806" t="s">
        <v>1858</v>
      </c>
      <c r="B31" s="2889"/>
      <c r="C31" s="453">
        <f ca="1">C18+C19+C20+C23+C24+C26+C29</f>
        <v>78383</v>
      </c>
      <c r="D31" s="475"/>
      <c r="E31" s="476"/>
      <c r="F31" s="477"/>
      <c r="G31" s="261"/>
      <c r="H31" s="2846"/>
      <c r="I31" s="2846"/>
      <c r="J31" s="2846"/>
      <c r="K31" s="279"/>
    </row>
    <row r="32" spans="1:14" s="2125" customFormat="1" ht="13.5" customHeight="1">
      <c r="A32" s="806" t="s">
        <v>1859</v>
      </c>
      <c r="B32" s="2889"/>
      <c r="C32" s="53">
        <f ca="1">ROUND(C25+D26,4)</f>
        <v>0.12909999999999999</v>
      </c>
      <c r="D32" s="475"/>
      <c r="E32" s="476"/>
      <c r="F32" s="477"/>
      <c r="G32" s="261"/>
      <c r="H32" s="2846"/>
      <c r="I32" s="2846"/>
      <c r="J32" s="2846"/>
      <c r="K32" s="279"/>
    </row>
    <row r="33" spans="1:11" s="2127" customFormat="1" ht="13.5" customHeight="1">
      <c r="A33" s="3065" t="s">
        <v>2842</v>
      </c>
      <c r="B33" s="3063" t="s">
        <v>2840</v>
      </c>
      <c r="C33" s="481">
        <f ca="1">C35</f>
        <v>8290</v>
      </c>
      <c r="D33" s="470">
        <f ca="1">C34</f>
        <v>0.1235</v>
      </c>
      <c r="E33" s="472" t="s">
        <v>495</v>
      </c>
      <c r="F33" s="482">
        <f ca="1">IF(B1="",'数据-取费表'!Q16,INDIRECT("'数据-取费表'!q"&amp;$K$1))</f>
        <v>0.12</v>
      </c>
      <c r="G33" s="2847"/>
      <c r="H33" s="2848"/>
      <c r="I33" s="2848"/>
      <c r="J33" s="2848"/>
      <c r="K33" s="2849"/>
    </row>
    <row r="34" spans="1:11" s="2128" customFormat="1" ht="13.5" customHeight="1">
      <c r="A34" s="378" t="s">
        <v>1858</v>
      </c>
      <c r="B34" s="2894" t="s">
        <v>502</v>
      </c>
      <c r="C34" s="475">
        <f ca="1">ROUND((1+C25)*F33,4)</f>
        <v>0.1235</v>
      </c>
      <c r="D34" s="475"/>
      <c r="E34" s="476"/>
      <c r="F34" s="483"/>
      <c r="G34" s="261" t="s">
        <v>2294</v>
      </c>
      <c r="H34" s="2846"/>
      <c r="I34" s="2846"/>
      <c r="J34" s="2846"/>
      <c r="K34" s="279"/>
    </row>
    <row r="35" spans="1:11" s="2128" customFormat="1" ht="13.5" customHeight="1" thickBot="1">
      <c r="A35" s="1640" t="s">
        <v>1859</v>
      </c>
      <c r="B35" s="3064" t="s">
        <v>2848</v>
      </c>
      <c r="C35" s="1632">
        <f ca="1">ROUND((C18+C19+C20+C23+C24)*F33,0)</f>
        <v>8290</v>
      </c>
      <c r="D35" s="1633"/>
      <c r="E35" s="2895"/>
      <c r="F35" s="1634"/>
      <c r="G35" s="2853"/>
      <c r="H35" s="2854"/>
      <c r="I35" s="2854"/>
      <c r="J35" s="2854"/>
      <c r="K35" s="2855"/>
    </row>
    <row r="36" spans="1:11" s="2090" customFormat="1" ht="13.5" customHeight="1" thickBot="1">
      <c r="A36" s="284" t="s">
        <v>1846</v>
      </c>
      <c r="B36" s="2857"/>
      <c r="C36" s="2896">
        <f ca="1">ROUND((C6-C30-C33)/(1+D30+D33),0)</f>
        <v>20847</v>
      </c>
      <c r="D36" s="2857"/>
      <c r="E36" s="2857"/>
      <c r="F36" s="2857"/>
      <c r="G36" s="2856" t="s">
        <v>2849</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I49" sqref="I49"/>
    </sheetView>
  </sheetViews>
  <sheetFormatPr defaultRowHeight="14.25"/>
  <cols>
    <col min="1" max="1" width="10.5" style="1340" customWidth="1"/>
    <col min="2" max="2" width="15.75" style="1340" customWidth="1"/>
    <col min="3" max="3" width="19.125" style="1340" customWidth="1"/>
    <col min="4" max="4" width="12.25" style="1340" customWidth="1"/>
    <col min="5" max="5" width="18.125" style="1340" customWidth="1"/>
    <col min="6" max="6" width="12.25" style="1340" customWidth="1"/>
    <col min="7" max="7" width="20.875" style="1340" customWidth="1"/>
    <col min="8" max="8" width="12.25" style="1340" customWidth="1"/>
    <col min="9" max="9" width="18.2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t="s">
        <v>1679</v>
      </c>
      <c r="E1" s="509"/>
      <c r="F1" s="2838" t="s">
        <v>3070</v>
      </c>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f>ROUND(B3*D3/10000,0)</f>
        <v>71648</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f>C50</f>
        <v>8128</v>
      </c>
      <c r="C3" s="855" t="s">
        <v>723</v>
      </c>
      <c r="D3" s="854">
        <f>SUMIF('数据-汇总表'!$C19:$C33,D1,'数据-汇总表'!$E19:$E33)</f>
        <v>88150.11</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4" t="s">
        <v>523</v>
      </c>
      <c r="D4" s="3375"/>
      <c r="E4" s="3412" t="s">
        <v>524</v>
      </c>
      <c r="F4" s="3413"/>
      <c r="G4" s="3374" t="s">
        <v>525</v>
      </c>
      <c r="H4" s="3375"/>
      <c r="I4" s="3374" t="s">
        <v>526</v>
      </c>
      <c r="J4" s="3375"/>
      <c r="K4" s="517" t="s">
        <v>527</v>
      </c>
      <c r="L4" s="2138"/>
      <c r="M4" s="2139"/>
      <c r="N4" s="2139"/>
      <c r="O4" s="2139"/>
      <c r="P4" s="3414" t="s">
        <v>528</v>
      </c>
      <c r="Q4" s="3377"/>
      <c r="R4" s="3382" t="s">
        <v>524</v>
      </c>
      <c r="S4" s="3383"/>
      <c r="T4" s="3382" t="s">
        <v>525</v>
      </c>
      <c r="U4" s="3383"/>
      <c r="V4" s="3369" t="s">
        <v>526</v>
      </c>
      <c r="W4" s="3369"/>
      <c r="X4" s="1571"/>
      <c r="Y4" s="3382" t="s">
        <v>528</v>
      </c>
      <c r="Z4" s="3383"/>
      <c r="AA4" s="3371" t="s">
        <v>524</v>
      </c>
      <c r="AB4" s="3371" t="s">
        <v>525</v>
      </c>
      <c r="AC4" s="3371" t="s">
        <v>526</v>
      </c>
    </row>
    <row r="5" spans="1:29" ht="15">
      <c r="A5" s="518"/>
      <c r="B5" s="519"/>
      <c r="C5" s="3392" t="s">
        <v>2939</v>
      </c>
      <c r="D5" s="3391"/>
      <c r="E5" s="3420" t="s">
        <v>3071</v>
      </c>
      <c r="F5" s="3421"/>
      <c r="G5" s="3390" t="s">
        <v>3075</v>
      </c>
      <c r="H5" s="3391"/>
      <c r="I5" s="3390" t="s">
        <v>3077</v>
      </c>
      <c r="J5" s="3391"/>
      <c r="K5" s="517"/>
      <c r="L5" s="2138"/>
      <c r="M5" s="2139"/>
      <c r="N5" s="2139"/>
      <c r="O5" s="2139"/>
      <c r="P5" s="3415"/>
      <c r="Q5" s="3379"/>
      <c r="R5" s="3384"/>
      <c r="S5" s="3385"/>
      <c r="T5" s="3384"/>
      <c r="U5" s="3385"/>
      <c r="V5" s="3369"/>
      <c r="W5" s="3369"/>
      <c r="X5" s="1571"/>
      <c r="Y5" s="3384"/>
      <c r="Z5" s="3385"/>
      <c r="AA5" s="3372"/>
      <c r="AB5" s="3372"/>
      <c r="AC5" s="3372"/>
    </row>
    <row r="6" spans="1:29" ht="15.75" thickBot="1">
      <c r="A6" s="520"/>
      <c r="B6" s="521"/>
      <c r="C6" s="3417" t="s">
        <v>2943</v>
      </c>
      <c r="D6" s="3389"/>
      <c r="E6" s="3418" t="s">
        <v>3072</v>
      </c>
      <c r="F6" s="3419"/>
      <c r="G6" s="3388" t="s">
        <v>3076</v>
      </c>
      <c r="H6" s="3389"/>
      <c r="I6" s="3388" t="s">
        <v>3078</v>
      </c>
      <c r="J6" s="3389"/>
      <c r="K6" s="517" t="s">
        <v>529</v>
      </c>
      <c r="L6" s="2138"/>
      <c r="M6" s="2139"/>
      <c r="N6" s="2139"/>
      <c r="O6" s="2139"/>
      <c r="P6" s="3416"/>
      <c r="Q6" s="3381"/>
      <c r="R6" s="3384"/>
      <c r="S6" s="3385"/>
      <c r="T6" s="3386"/>
      <c r="U6" s="3387"/>
      <c r="V6" s="3369"/>
      <c r="W6" s="3369"/>
      <c r="X6" s="1571"/>
      <c r="Y6" s="3386"/>
      <c r="Z6" s="3387"/>
      <c r="AA6" s="3373"/>
      <c r="AB6" s="3373"/>
      <c r="AC6" s="3373"/>
    </row>
    <row r="7" spans="1:29" s="1223" customFormat="1" ht="15.75" thickBot="1">
      <c r="A7" s="2943"/>
      <c r="B7" s="2950" t="s">
        <v>530</v>
      </c>
      <c r="C7" s="522">
        <f>'数据-取费表'!B2</f>
        <v>43020</v>
      </c>
      <c r="D7" s="523">
        <v>100</v>
      </c>
      <c r="E7" s="524">
        <f>C7</f>
        <v>43020</v>
      </c>
      <c r="F7" s="525">
        <f>SUMIF(59:59,YEAR(E7)&amp;"-"&amp;MONTH(E7),60:60)</f>
        <v>100</v>
      </c>
      <c r="G7" s="524">
        <f>C7</f>
        <v>43020</v>
      </c>
      <c r="H7" s="523">
        <f>SUMIF(59:59,YEAR(G7)&amp;"-"&amp;MONTH(G7),60:60)</f>
        <v>100</v>
      </c>
      <c r="I7" s="524">
        <f>C7</f>
        <v>43020</v>
      </c>
      <c r="J7" s="523">
        <f>SUMIF(59:59,YEAR(I7)&amp;"-"&amp;MONTH(I7),60:60)</f>
        <v>100</v>
      </c>
      <c r="K7" s="527"/>
      <c r="L7" s="2140"/>
      <c r="M7" s="2141"/>
      <c r="N7" s="2141"/>
      <c r="O7" s="2141"/>
      <c r="P7" s="3403" t="s">
        <v>531</v>
      </c>
      <c r="Q7" s="3403"/>
      <c r="R7" s="1572" t="s">
        <v>8</v>
      </c>
      <c r="S7" s="1573">
        <f t="shared" ref="S7:S15" si="0">F7</f>
        <v>100</v>
      </c>
      <c r="T7" s="1572" t="s">
        <v>8</v>
      </c>
      <c r="U7" s="1573">
        <f t="shared" ref="U7:U15" si="1">H7</f>
        <v>100</v>
      </c>
      <c r="V7" s="1572" t="s">
        <v>8</v>
      </c>
      <c r="W7" s="1573">
        <f t="shared" ref="W7:W15" si="2">J7</f>
        <v>100</v>
      </c>
      <c r="X7" s="1574"/>
      <c r="Y7" s="3401" t="s">
        <v>531</v>
      </c>
      <c r="Z7" s="3402"/>
      <c r="AA7" s="1575">
        <f>D7/F7</f>
        <v>1</v>
      </c>
      <c r="AB7" s="1575">
        <f>D7/H7</f>
        <v>1</v>
      </c>
      <c r="AC7" s="1575">
        <f>D7/J7</f>
        <v>1</v>
      </c>
    </row>
    <row r="8" spans="1:29" s="1223" customFormat="1" ht="15.75" thickBot="1">
      <c r="A8" s="2944"/>
      <c r="B8" s="2951" t="s">
        <v>532</v>
      </c>
      <c r="C8" s="528" t="s">
        <v>577</v>
      </c>
      <c r="D8" s="523">
        <v>100</v>
      </c>
      <c r="E8" s="528" t="s">
        <v>3035</v>
      </c>
      <c r="F8" s="525">
        <f>SUMIF(62:62,E8,63:63)-SUMIF(62:62,C8,63:63)+100</f>
        <v>100</v>
      </c>
      <c r="G8" s="528" t="s">
        <v>3035</v>
      </c>
      <c r="H8" s="523">
        <f>SUMIF(62:62,G8,63:63)-SUMIF(62:62,C8,63:63)+100</f>
        <v>100</v>
      </c>
      <c r="I8" s="528" t="s">
        <v>3035</v>
      </c>
      <c r="J8" s="523">
        <f>SUMIF(62:62,I8,63:63)-SUMIF(62:62,C8,63:63)+100</f>
        <v>100</v>
      </c>
      <c r="K8" s="527"/>
      <c r="L8" s="2140"/>
      <c r="M8" s="2141"/>
      <c r="N8" s="2141"/>
      <c r="O8" s="2141"/>
      <c r="P8" s="3403" t="s">
        <v>534</v>
      </c>
      <c r="Q8" s="3402"/>
      <c r="R8" s="1572" t="s">
        <v>8</v>
      </c>
      <c r="S8" s="1573">
        <f t="shared" si="0"/>
        <v>100</v>
      </c>
      <c r="T8" s="1572" t="s">
        <v>8</v>
      </c>
      <c r="U8" s="1573">
        <f t="shared" si="1"/>
        <v>100</v>
      </c>
      <c r="V8" s="1572" t="s">
        <v>8</v>
      </c>
      <c r="W8" s="1573">
        <f t="shared" si="2"/>
        <v>100</v>
      </c>
      <c r="X8" s="1574"/>
      <c r="Y8" s="3401" t="s">
        <v>534</v>
      </c>
      <c r="Z8" s="3402"/>
      <c r="AA8" s="1575">
        <f t="shared" ref="AA8:AA47" si="3">D8/F8</f>
        <v>1</v>
      </c>
      <c r="AB8" s="1575">
        <f t="shared" ref="AB8:AB47" si="4">D8/H8</f>
        <v>1</v>
      </c>
      <c r="AC8" s="1575">
        <f t="shared" ref="AC8:AC47" si="5">D8/J8</f>
        <v>1</v>
      </c>
    </row>
    <row r="9" spans="1:29" s="1223" customFormat="1" ht="15">
      <c r="A9" s="2945"/>
      <c r="B9" s="2952" t="s">
        <v>2765</v>
      </c>
      <c r="C9" s="3181" t="s">
        <v>3074</v>
      </c>
      <c r="D9" s="254">
        <v>100</v>
      </c>
      <c r="E9" s="863" t="s">
        <v>2987</v>
      </c>
      <c r="F9" s="254">
        <f>SUMIF(64:64,E9,65:65)-SUMIF(64:64,C9,65:65)+100</f>
        <v>100</v>
      </c>
      <c r="G9" s="861" t="s">
        <v>2987</v>
      </c>
      <c r="H9" s="254">
        <f>SUMIF(64:64,G9,65:65)-SUMIF(64:64,C9,65:65)+100</f>
        <v>100</v>
      </c>
      <c r="I9" s="861" t="s">
        <v>2987</v>
      </c>
      <c r="J9" s="254">
        <f>SUMIF(64:64,I9,65:65)-SUMIF(64:64,C9,65:65)+100</f>
        <v>100</v>
      </c>
      <c r="K9" s="527"/>
      <c r="L9" s="2140"/>
      <c r="M9" s="2141"/>
      <c r="N9" s="2141"/>
      <c r="O9" s="2141"/>
      <c r="P9" s="3368"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46"/>
      <c r="B10" s="2951" t="s">
        <v>2766</v>
      </c>
      <c r="C10" s="864" t="s">
        <v>3073</v>
      </c>
      <c r="D10" s="255">
        <v>100</v>
      </c>
      <c r="E10" s="864" t="s">
        <v>3073</v>
      </c>
      <c r="F10" s="255">
        <f>SUMIF(66:66,E10,67:67)-SUMIF(66:66,C10,67:67)+100</f>
        <v>100</v>
      </c>
      <c r="G10" s="865" t="s">
        <v>3073</v>
      </c>
      <c r="H10" s="255">
        <f>SUMIF(66:66,G10,67:67)-SUMIF(66:66,C10,67:67)+100</f>
        <v>100</v>
      </c>
      <c r="I10" s="864" t="s">
        <v>3073</v>
      </c>
      <c r="J10" s="255">
        <f>SUMIF(66:66,I10,67:67)-SUMIF(66:66,C10,67:67)+100</f>
        <v>100</v>
      </c>
      <c r="K10" s="587">
        <v>2</v>
      </c>
      <c r="L10" s="2143"/>
      <c r="M10" s="2183"/>
      <c r="N10" s="2183"/>
      <c r="O10" s="2183"/>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75" thickBot="1">
      <c r="A11" s="2947"/>
      <c r="B11" s="2951" t="s">
        <v>2767</v>
      </c>
      <c r="C11" s="536">
        <f>'数据-汇总表'!I6</f>
        <v>3.49</v>
      </c>
      <c r="D11" s="255">
        <v>100</v>
      </c>
      <c r="E11" s="536">
        <v>6.3</v>
      </c>
      <c r="F11" s="255">
        <f>LOOKUP(E11,69:69,70:70)-LOOKUP(C11,69:69,70:70)+100</f>
        <v>94</v>
      </c>
      <c r="G11" s="537">
        <v>5.95</v>
      </c>
      <c r="H11" s="255">
        <f>LOOKUP(G11,69:69,70:70)-LOOKUP(C11,69:69,70:70)+100</f>
        <v>96</v>
      </c>
      <c r="I11" s="536">
        <v>6.4</v>
      </c>
      <c r="J11" s="255">
        <f>LOOKUP(I11,69:69,70:70)-LOOKUP(C11,69:69,70:70)+100</f>
        <v>94</v>
      </c>
      <c r="K11" s="587">
        <v>2</v>
      </c>
      <c r="L11" s="2145"/>
      <c r="M11" s="2139"/>
      <c r="N11" s="2139"/>
      <c r="O11" s="2139"/>
      <c r="P11" s="3368"/>
      <c r="Q11" s="1154" t="str">
        <f t="shared" si="6"/>
        <v>容积率</v>
      </c>
      <c r="R11" s="1572" t="s">
        <v>8</v>
      </c>
      <c r="S11" s="1573">
        <f t="shared" si="0"/>
        <v>94</v>
      </c>
      <c r="T11" s="1572" t="s">
        <v>8</v>
      </c>
      <c r="U11" s="1573">
        <f t="shared" si="1"/>
        <v>96</v>
      </c>
      <c r="V11" s="1572" t="s">
        <v>8</v>
      </c>
      <c r="W11" s="1573">
        <f t="shared" si="2"/>
        <v>94</v>
      </c>
      <c r="X11" s="1574"/>
      <c r="Y11" s="3310"/>
      <c r="Z11" s="1153" t="str">
        <f t="shared" si="7"/>
        <v>容积率</v>
      </c>
      <c r="AA11" s="1575">
        <f t="shared" si="3"/>
        <v>1.0638297872340425</v>
      </c>
      <c r="AB11" s="1575">
        <f t="shared" si="4"/>
        <v>1.0416666666666667</v>
      </c>
      <c r="AC11" s="1575">
        <f t="shared" si="5"/>
        <v>1.0638297872340425</v>
      </c>
    </row>
    <row r="12" spans="1:29" s="1223" customFormat="1" ht="15" hidden="1">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68"/>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hidden="1">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68"/>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hidden="1"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68"/>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57">
      <c r="A15" s="2941" t="s">
        <v>2763</v>
      </c>
      <c r="B15" s="550" t="s">
        <v>543</v>
      </c>
      <c r="C15" s="551" t="str">
        <f>估价对象房地状况!C5</f>
        <v>估价对象位于XX商圈，周边办公楼项目较多，入驻率高，办公集聚程度较好</v>
      </c>
      <c r="D15" s="552">
        <v>100</v>
      </c>
      <c r="E15" s="555"/>
      <c r="F15" s="552">
        <f>SUMIF(77:77,E16,78:78)-SUMIF(77:77,C16,78:78)+100</f>
        <v>105</v>
      </c>
      <c r="G15" s="553"/>
      <c r="H15" s="552">
        <f>SUMIF(77:77,G16,78:78)-SUMIF(77:77,C16,78:78)+100</f>
        <v>105</v>
      </c>
      <c r="I15" s="553"/>
      <c r="J15" s="552">
        <f>SUMIF(77:77,I16,78:78)-SUMIF(77:77,C16,78:78)+100</f>
        <v>105</v>
      </c>
      <c r="K15" s="901">
        <v>5</v>
      </c>
      <c r="L15" s="2147"/>
      <c r="M15" s="2139"/>
      <c r="N15" s="2139"/>
      <c r="O15" s="2139"/>
      <c r="P15" s="3404" t="s">
        <v>541</v>
      </c>
      <c r="Q15" s="1576" t="str">
        <f t="shared" si="6"/>
        <v>办公集聚程度</v>
      </c>
      <c r="R15" s="1577" t="s">
        <v>8</v>
      </c>
      <c r="S15" s="1578">
        <f t="shared" si="0"/>
        <v>105</v>
      </c>
      <c r="T15" s="1577" t="s">
        <v>8</v>
      </c>
      <c r="U15" s="1578">
        <f t="shared" si="1"/>
        <v>105</v>
      </c>
      <c r="V15" s="1577" t="s">
        <v>8</v>
      </c>
      <c r="W15" s="1578">
        <f t="shared" si="2"/>
        <v>105</v>
      </c>
      <c r="X15" s="1571"/>
      <c r="Y15" s="3404" t="s">
        <v>541</v>
      </c>
      <c r="Z15" s="1579" t="str">
        <f t="shared" si="7"/>
        <v>办公集聚程度</v>
      </c>
      <c r="AA15" s="1580">
        <f t="shared" si="3"/>
        <v>0.95238095238095233</v>
      </c>
      <c r="AB15" s="1580">
        <f t="shared" si="4"/>
        <v>0.95238095238095233</v>
      </c>
      <c r="AC15" s="1580">
        <f t="shared" si="5"/>
        <v>0.95238095238095233</v>
      </c>
    </row>
    <row r="16" spans="1:29" ht="15">
      <c r="A16" s="535"/>
      <c r="B16" s="556"/>
      <c r="C16" s="557" t="s">
        <v>3054</v>
      </c>
      <c r="D16" s="558"/>
      <c r="E16" s="579" t="s">
        <v>3053</v>
      </c>
      <c r="F16" s="558"/>
      <c r="G16" s="557" t="s">
        <v>3053</v>
      </c>
      <c r="H16" s="562"/>
      <c r="I16" s="579" t="s">
        <v>3053</v>
      </c>
      <c r="J16" s="558"/>
      <c r="K16" s="902"/>
      <c r="L16" s="2147"/>
      <c r="M16" s="2139"/>
      <c r="N16" s="2139"/>
      <c r="O16" s="2139"/>
      <c r="P16" s="3405"/>
      <c r="Q16" s="1576"/>
      <c r="R16" s="1577"/>
      <c r="S16" s="1578"/>
      <c r="T16" s="1577"/>
      <c r="U16" s="1578"/>
      <c r="V16" s="1577"/>
      <c r="W16" s="1578"/>
      <c r="X16" s="1571"/>
      <c r="Y16" s="3405"/>
      <c r="Z16" s="1579"/>
      <c r="AA16" s="1580">
        <v>1</v>
      </c>
      <c r="AB16" s="1580">
        <v>1</v>
      </c>
      <c r="AC16" s="1580">
        <v>1</v>
      </c>
    </row>
    <row r="17" spans="1:29" ht="71.2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v>5</v>
      </c>
      <c r="L17" s="2147"/>
      <c r="M17" s="2139"/>
      <c r="N17" s="2139"/>
      <c r="O17" s="2139"/>
      <c r="P17" s="3405"/>
      <c r="Q17" s="1576" t="str">
        <f>B17</f>
        <v>交通便捷度</v>
      </c>
      <c r="R17" s="1577" t="s">
        <v>8</v>
      </c>
      <c r="S17" s="1578">
        <f>F17</f>
        <v>100</v>
      </c>
      <c r="T17" s="1577" t="s">
        <v>8</v>
      </c>
      <c r="U17" s="1578">
        <f>H17</f>
        <v>100</v>
      </c>
      <c r="V17" s="1577" t="s">
        <v>8</v>
      </c>
      <c r="W17" s="1578">
        <f>J17</f>
        <v>100</v>
      </c>
      <c r="X17" s="1571"/>
      <c r="Y17" s="3405"/>
      <c r="Z17" s="1579" t="str">
        <f>Q17</f>
        <v>交通便捷度</v>
      </c>
      <c r="AA17" s="1580">
        <f t="shared" si="3"/>
        <v>1</v>
      </c>
      <c r="AB17" s="1580">
        <f t="shared" si="4"/>
        <v>1</v>
      </c>
      <c r="AC17" s="1580">
        <f t="shared" si="5"/>
        <v>1</v>
      </c>
    </row>
    <row r="18" spans="1:29" ht="15">
      <c r="A18" s="535"/>
      <c r="B18" s="569"/>
      <c r="C18" s="570" t="s">
        <v>3053</v>
      </c>
      <c r="D18" s="562"/>
      <c r="E18" s="572" t="s">
        <v>3053</v>
      </c>
      <c r="F18" s="562"/>
      <c r="G18" s="571" t="s">
        <v>3053</v>
      </c>
      <c r="H18" s="558"/>
      <c r="I18" s="571" t="s">
        <v>3053</v>
      </c>
      <c r="J18" s="558"/>
      <c r="K18" s="902"/>
      <c r="L18" s="2147"/>
      <c r="M18" s="2139"/>
      <c r="N18" s="2139"/>
      <c r="O18" s="2139"/>
      <c r="P18" s="3405"/>
      <c r="Q18" s="1576"/>
      <c r="R18" s="1577"/>
      <c r="S18" s="1578"/>
      <c r="T18" s="1577"/>
      <c r="U18" s="1578"/>
      <c r="V18" s="1577"/>
      <c r="W18" s="1578"/>
      <c r="X18" s="1571"/>
      <c r="Y18" s="3405"/>
      <c r="Z18" s="1579"/>
      <c r="AA18" s="1580">
        <v>1</v>
      </c>
      <c r="AB18" s="1580">
        <v>1</v>
      </c>
      <c r="AC18" s="1580">
        <v>1</v>
      </c>
    </row>
    <row r="19" spans="1:29" ht="28.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405"/>
      <c r="Q19" s="1576" t="str">
        <f>B19</f>
        <v>公共配套设施</v>
      </c>
      <c r="R19" s="1577" t="s">
        <v>8</v>
      </c>
      <c r="S19" s="1578">
        <f>F19</f>
        <v>100</v>
      </c>
      <c r="T19" s="1577" t="s">
        <v>8</v>
      </c>
      <c r="U19" s="1578">
        <f>H19</f>
        <v>100</v>
      </c>
      <c r="V19" s="1577" t="s">
        <v>8</v>
      </c>
      <c r="W19" s="1578">
        <f>J19</f>
        <v>100</v>
      </c>
      <c r="X19" s="1571"/>
      <c r="Y19" s="3405"/>
      <c r="Z19" s="1579" t="str">
        <f>Q19</f>
        <v>公共配套设施</v>
      </c>
      <c r="AA19" s="1580">
        <f t="shared" si="3"/>
        <v>1</v>
      </c>
      <c r="AB19" s="1580">
        <f t="shared" si="4"/>
        <v>1</v>
      </c>
      <c r="AC19" s="1580">
        <f t="shared" si="5"/>
        <v>1</v>
      </c>
    </row>
    <row r="20" spans="1:29" ht="15">
      <c r="A20" s="535"/>
      <c r="B20" s="569"/>
      <c r="C20" s="557" t="s">
        <v>3053</v>
      </c>
      <c r="D20" s="558"/>
      <c r="E20" s="561" t="s">
        <v>3053</v>
      </c>
      <c r="F20" s="558"/>
      <c r="G20" s="559" t="s">
        <v>3053</v>
      </c>
      <c r="H20" s="558"/>
      <c r="I20" s="559" t="s">
        <v>3053</v>
      </c>
      <c r="J20" s="558"/>
      <c r="K20" s="902"/>
      <c r="L20" s="2147"/>
      <c r="M20" s="2139"/>
      <c r="N20" s="2139"/>
      <c r="O20" s="2139"/>
      <c r="P20" s="3405"/>
      <c r="Q20" s="1576"/>
      <c r="R20" s="1577"/>
      <c r="S20" s="1578"/>
      <c r="T20" s="1577"/>
      <c r="U20" s="1578"/>
      <c r="V20" s="1577"/>
      <c r="W20" s="1578"/>
      <c r="X20" s="1571"/>
      <c r="Y20" s="3405"/>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405"/>
      <c r="Q21" s="2608" t="str">
        <f>B21</f>
        <v>基础设施水平</v>
      </c>
      <c r="R21" s="1577" t="s">
        <v>8</v>
      </c>
      <c r="S21" s="1578">
        <f>F21</f>
        <v>100</v>
      </c>
      <c r="T21" s="1577" t="s">
        <v>8</v>
      </c>
      <c r="U21" s="1578">
        <f>H21</f>
        <v>100</v>
      </c>
      <c r="V21" s="1577" t="s">
        <v>8</v>
      </c>
      <c r="W21" s="1578">
        <f>J21</f>
        <v>100</v>
      </c>
      <c r="X21" s="2610"/>
      <c r="Y21" s="3405"/>
      <c r="Z21" s="2609" t="str">
        <f>Q21</f>
        <v>基础设施水平</v>
      </c>
      <c r="AA21" s="1580">
        <f t="shared" ref="AA21" si="8">D21/F21</f>
        <v>1</v>
      </c>
      <c r="AB21" s="1580">
        <f t="shared" ref="AB21" si="9">D21/H21</f>
        <v>1</v>
      </c>
      <c r="AC21" s="1580">
        <f t="shared" ref="AC21" si="10">D21/J21</f>
        <v>1</v>
      </c>
    </row>
    <row r="22" spans="1:29" ht="15">
      <c r="A22" s="535"/>
      <c r="B22" s="581"/>
      <c r="C22" s="3184" t="s">
        <v>3079</v>
      </c>
      <c r="D22" s="558"/>
      <c r="E22" s="3185" t="s">
        <v>3079</v>
      </c>
      <c r="F22" s="558"/>
      <c r="G22" s="3186" t="s">
        <v>3079</v>
      </c>
      <c r="H22" s="558"/>
      <c r="I22" s="3186" t="s">
        <v>3079</v>
      </c>
      <c r="J22" s="558"/>
      <c r="K22" s="2631"/>
      <c r="L22" s="2147"/>
      <c r="M22" s="2139"/>
      <c r="N22" s="2139"/>
      <c r="O22" s="2139"/>
      <c r="P22" s="3405"/>
      <c r="Q22" s="2608"/>
      <c r="R22" s="1577"/>
      <c r="S22" s="1578"/>
      <c r="T22" s="1577"/>
      <c r="U22" s="1578"/>
      <c r="V22" s="1577"/>
      <c r="W22" s="1578"/>
      <c r="X22" s="2610"/>
      <c r="Y22" s="3405"/>
      <c r="Z22" s="2609"/>
      <c r="AA22" s="1580">
        <v>1</v>
      </c>
      <c r="AB22" s="1580">
        <v>1</v>
      </c>
      <c r="AC22" s="1580">
        <v>1</v>
      </c>
    </row>
    <row r="23" spans="1:29" ht="42.75">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405"/>
      <c r="Q23" s="1576" t="str">
        <f>B23</f>
        <v>环境质量</v>
      </c>
      <c r="R23" s="1577" t="s">
        <v>8</v>
      </c>
      <c r="S23" s="1578">
        <f>F23</f>
        <v>100</v>
      </c>
      <c r="T23" s="1577" t="s">
        <v>8</v>
      </c>
      <c r="U23" s="1578">
        <f>H23</f>
        <v>100</v>
      </c>
      <c r="V23" s="1577" t="s">
        <v>8</v>
      </c>
      <c r="W23" s="1578">
        <f>J23</f>
        <v>100</v>
      </c>
      <c r="X23" s="1571"/>
      <c r="Y23" s="3405"/>
      <c r="Z23" s="1579" t="str">
        <f>Q23</f>
        <v>环境质量</v>
      </c>
      <c r="AA23" s="1580">
        <f t="shared" si="3"/>
        <v>1</v>
      </c>
      <c r="AB23" s="1580">
        <f t="shared" si="4"/>
        <v>1</v>
      </c>
      <c r="AC23" s="1580">
        <f t="shared" si="5"/>
        <v>1</v>
      </c>
    </row>
    <row r="24" spans="1:29" ht="15">
      <c r="A24" s="535"/>
      <c r="B24" s="581"/>
      <c r="C24" s="557" t="s">
        <v>3053</v>
      </c>
      <c r="D24" s="558"/>
      <c r="E24" s="561" t="s">
        <v>3053</v>
      </c>
      <c r="F24" s="558"/>
      <c r="G24" s="559" t="s">
        <v>3053</v>
      </c>
      <c r="H24" s="558"/>
      <c r="I24" s="559" t="s">
        <v>3053</v>
      </c>
      <c r="J24" s="558"/>
      <c r="K24" s="902"/>
      <c r="L24" s="2147"/>
      <c r="M24" s="2139"/>
      <c r="N24" s="2139"/>
      <c r="O24" s="2139"/>
      <c r="P24" s="3405"/>
      <c r="Q24" s="1576"/>
      <c r="R24" s="1577"/>
      <c r="S24" s="1578"/>
      <c r="T24" s="1577"/>
      <c r="U24" s="1578"/>
      <c r="V24" s="1577"/>
      <c r="W24" s="1578"/>
      <c r="X24" s="1571"/>
      <c r="Y24" s="3405"/>
      <c r="Z24" s="1579"/>
      <c r="AA24" s="1580">
        <v>1</v>
      </c>
      <c r="AB24" s="1580">
        <v>1</v>
      </c>
      <c r="AC24" s="1580">
        <v>1</v>
      </c>
    </row>
    <row r="25" spans="1:29" ht="27">
      <c r="A25" s="518"/>
      <c r="B25" s="563" t="s">
        <v>549</v>
      </c>
      <c r="C25" s="3187"/>
      <c r="D25" s="3188">
        <v>100</v>
      </c>
      <c r="E25" s="3189"/>
      <c r="F25" s="3188">
        <f>SUMIF(87:87,E26,88:88)-SUMIF(87:87,C26,88:88)+100</f>
        <v>100</v>
      </c>
      <c r="G25" s="3187"/>
      <c r="H25" s="3188">
        <f>SUMIF(87:87,G26,88:88)-SUMIF(87:87,C26,88:88)+100</f>
        <v>100</v>
      </c>
      <c r="I25" s="3189"/>
      <c r="J25" s="3188">
        <f>SUMIF(87:87,I26,88:88)-SUMIF(87:87,C26,88:88)+100</f>
        <v>100</v>
      </c>
      <c r="K25" s="901"/>
      <c r="L25" s="2147"/>
      <c r="M25" s="2139"/>
      <c r="N25" s="2139"/>
      <c r="O25" s="2139"/>
      <c r="P25" s="3405"/>
      <c r="Q25" s="1576" t="str">
        <f>B25</f>
        <v>毗邻道路的类型与等级</v>
      </c>
      <c r="R25" s="1577" t="s">
        <v>8</v>
      </c>
      <c r="S25" s="1578">
        <f>F25</f>
        <v>100</v>
      </c>
      <c r="T25" s="1577" t="s">
        <v>8</v>
      </c>
      <c r="U25" s="1578">
        <f>H25</f>
        <v>100</v>
      </c>
      <c r="V25" s="1577" t="s">
        <v>8</v>
      </c>
      <c r="W25" s="1578">
        <f>J25</f>
        <v>100</v>
      </c>
      <c r="X25" s="1571"/>
      <c r="Y25" s="3405"/>
      <c r="Z25" s="1579" t="str">
        <f>Q25</f>
        <v>毗邻道路的类型与等级</v>
      </c>
      <c r="AA25" s="1580">
        <f t="shared" si="3"/>
        <v>1</v>
      </c>
      <c r="AB25" s="1580">
        <f t="shared" si="4"/>
        <v>1</v>
      </c>
      <c r="AC25" s="1580">
        <f t="shared" si="5"/>
        <v>1</v>
      </c>
    </row>
    <row r="26" spans="1:29" ht="15.75" thickBot="1">
      <c r="A26" s="518"/>
      <c r="B26" s="569"/>
      <c r="C26" s="3187" t="s">
        <v>3080</v>
      </c>
      <c r="D26" s="3188"/>
      <c r="E26" s="3189" t="s">
        <v>3080</v>
      </c>
      <c r="F26" s="3188"/>
      <c r="G26" s="3187" t="s">
        <v>3080</v>
      </c>
      <c r="H26" s="3188"/>
      <c r="I26" s="3189" t="s">
        <v>3080</v>
      </c>
      <c r="J26" s="3188"/>
      <c r="K26" s="902"/>
      <c r="L26" s="2147"/>
      <c r="M26" s="2139"/>
      <c r="N26" s="2139"/>
      <c r="O26" s="2139"/>
      <c r="P26" s="3405"/>
      <c r="Q26" s="1576"/>
      <c r="R26" s="1577"/>
      <c r="S26" s="1578"/>
      <c r="T26" s="1577"/>
      <c r="U26" s="1578"/>
      <c r="V26" s="1577"/>
      <c r="W26" s="1578"/>
      <c r="X26" s="1571"/>
      <c r="Y26" s="3405"/>
      <c r="Z26" s="1579"/>
      <c r="AA26" s="1580">
        <v>1</v>
      </c>
      <c r="AB26" s="1580">
        <v>1</v>
      </c>
      <c r="AC26" s="1580">
        <v>1</v>
      </c>
    </row>
    <row r="27" spans="1:29" ht="15" hidden="1">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405"/>
      <c r="Q27" s="1576" t="str">
        <f t="shared" ref="Q27:Q47" si="11">B27</f>
        <v>楼层</v>
      </c>
      <c r="R27" s="1577" t="s">
        <v>8</v>
      </c>
      <c r="S27" s="1578">
        <f>F27</f>
        <v>100</v>
      </c>
      <c r="T27" s="1577" t="s">
        <v>8</v>
      </c>
      <c r="U27" s="1578">
        <f>H27</f>
        <v>100</v>
      </c>
      <c r="V27" s="1577" t="s">
        <v>8</v>
      </c>
      <c r="W27" s="1578">
        <f>J27</f>
        <v>100</v>
      </c>
      <c r="X27" s="1571"/>
      <c r="Y27" s="3405"/>
      <c r="Z27" s="1579" t="str">
        <f>Q27</f>
        <v>楼层</v>
      </c>
      <c r="AA27" s="1580">
        <f t="shared" si="3"/>
        <v>1</v>
      </c>
      <c r="AB27" s="1580">
        <f t="shared" si="4"/>
        <v>1</v>
      </c>
      <c r="AC27" s="1580">
        <f t="shared" si="5"/>
        <v>1</v>
      </c>
    </row>
    <row r="28" spans="1:29" s="1223" customFormat="1" ht="15" hidden="1">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405"/>
      <c r="Q28" s="1154" t="str">
        <f t="shared" si="11"/>
        <v>朝向</v>
      </c>
      <c r="R28" s="1572" t="s">
        <v>8</v>
      </c>
      <c r="S28" s="1573">
        <f>F28</f>
        <v>100</v>
      </c>
      <c r="T28" s="1572" t="s">
        <v>8</v>
      </c>
      <c r="U28" s="1573">
        <f>H28</f>
        <v>100</v>
      </c>
      <c r="V28" s="1572" t="s">
        <v>8</v>
      </c>
      <c r="W28" s="1573">
        <f>J28</f>
        <v>100</v>
      </c>
      <c r="X28" s="1574"/>
      <c r="Y28" s="3405"/>
      <c r="Z28" s="1153" t="str">
        <f>Q28</f>
        <v>朝向</v>
      </c>
      <c r="AA28" s="1580">
        <f>D28/F28</f>
        <v>1</v>
      </c>
      <c r="AB28" s="1580">
        <f>D28/H28</f>
        <v>1</v>
      </c>
      <c r="AC28" s="1580">
        <f>D28/J28</f>
        <v>1</v>
      </c>
    </row>
    <row r="29" spans="1:29" ht="15" hidden="1">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405"/>
      <c r="Q29" s="1576">
        <f t="shared" si="11"/>
        <v>111</v>
      </c>
      <c r="R29" s="1577" t="s">
        <v>8</v>
      </c>
      <c r="S29" s="1578">
        <f t="shared" ref="S29:S47" si="12">F29</f>
        <v>100</v>
      </c>
      <c r="T29" s="1577" t="s">
        <v>8</v>
      </c>
      <c r="U29" s="1578">
        <f t="shared" ref="U29:U47" si="13">H29</f>
        <v>100</v>
      </c>
      <c r="V29" s="1577" t="s">
        <v>8</v>
      </c>
      <c r="W29" s="1578">
        <f t="shared" ref="W29:W47" si="14">J29</f>
        <v>100</v>
      </c>
      <c r="X29" s="1571"/>
      <c r="Y29" s="3405"/>
      <c r="Z29" s="1579">
        <f t="shared" ref="Z29:Z47" si="15">Q29</f>
        <v>111</v>
      </c>
      <c r="AA29" s="1580">
        <f t="shared" si="3"/>
        <v>1</v>
      </c>
      <c r="AB29" s="1580">
        <f t="shared" si="4"/>
        <v>1</v>
      </c>
      <c r="AC29" s="1580">
        <f t="shared" si="5"/>
        <v>1</v>
      </c>
    </row>
    <row r="30" spans="1:29" ht="15" hidden="1">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405"/>
      <c r="Q30" s="1576">
        <f t="shared" si="11"/>
        <v>111</v>
      </c>
      <c r="R30" s="1577" t="s">
        <v>8</v>
      </c>
      <c r="S30" s="1578">
        <f t="shared" si="12"/>
        <v>100</v>
      </c>
      <c r="T30" s="1577" t="s">
        <v>8</v>
      </c>
      <c r="U30" s="1578">
        <f t="shared" si="13"/>
        <v>100</v>
      </c>
      <c r="V30" s="1577" t="s">
        <v>8</v>
      </c>
      <c r="W30" s="1578">
        <f t="shared" si="14"/>
        <v>100</v>
      </c>
      <c r="X30" s="1571"/>
      <c r="Y30" s="3405"/>
      <c r="Z30" s="1579">
        <f t="shared" si="15"/>
        <v>111</v>
      </c>
      <c r="AA30" s="1580">
        <f t="shared" si="3"/>
        <v>1</v>
      </c>
      <c r="AB30" s="1580">
        <f t="shared" si="4"/>
        <v>1</v>
      </c>
      <c r="AC30" s="1580">
        <f t="shared" si="5"/>
        <v>1</v>
      </c>
    </row>
    <row r="31" spans="1:29" ht="15" hidden="1">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405"/>
      <c r="Q31" s="1576">
        <f t="shared" si="11"/>
        <v>111</v>
      </c>
      <c r="R31" s="1577" t="s">
        <v>8</v>
      </c>
      <c r="S31" s="1578">
        <f t="shared" si="12"/>
        <v>100</v>
      </c>
      <c r="T31" s="1577" t="s">
        <v>8</v>
      </c>
      <c r="U31" s="1578">
        <f t="shared" si="13"/>
        <v>100</v>
      </c>
      <c r="V31" s="1577" t="s">
        <v>8</v>
      </c>
      <c r="W31" s="1578">
        <f t="shared" si="14"/>
        <v>100</v>
      </c>
      <c r="X31" s="1571"/>
      <c r="Y31" s="3405"/>
      <c r="Z31" s="1579">
        <f t="shared" si="15"/>
        <v>111</v>
      </c>
      <c r="AA31" s="1580">
        <f t="shared" si="3"/>
        <v>1</v>
      </c>
      <c r="AB31" s="1580">
        <f t="shared" si="4"/>
        <v>1</v>
      </c>
      <c r="AC31" s="1580">
        <f t="shared" si="5"/>
        <v>1</v>
      </c>
    </row>
    <row r="32" spans="1:29" ht="15.75" hidden="1"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405"/>
      <c r="Q32" s="1576">
        <f t="shared" si="11"/>
        <v>111</v>
      </c>
      <c r="R32" s="1577" t="s">
        <v>8</v>
      </c>
      <c r="S32" s="1578">
        <f t="shared" si="12"/>
        <v>100</v>
      </c>
      <c r="T32" s="1577" t="s">
        <v>8</v>
      </c>
      <c r="U32" s="1578">
        <f t="shared" si="13"/>
        <v>100</v>
      </c>
      <c r="V32" s="1577" t="s">
        <v>8</v>
      </c>
      <c r="W32" s="1578">
        <f t="shared" si="14"/>
        <v>100</v>
      </c>
      <c r="X32" s="1571"/>
      <c r="Y32" s="3405"/>
      <c r="Z32" s="1579">
        <f t="shared" si="15"/>
        <v>111</v>
      </c>
      <c r="AA32" s="1580">
        <f t="shared" si="3"/>
        <v>1</v>
      </c>
      <c r="AB32" s="1580">
        <f t="shared" si="4"/>
        <v>1</v>
      </c>
      <c r="AC32" s="1580">
        <f t="shared" si="5"/>
        <v>1</v>
      </c>
    </row>
    <row r="33" spans="1:29" ht="15">
      <c r="A33" s="2938"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406" t="s">
        <v>551</v>
      </c>
      <c r="Q33" s="1576" t="str">
        <f t="shared" si="11"/>
        <v>建筑类型</v>
      </c>
      <c r="R33" s="1577" t="s">
        <v>8</v>
      </c>
      <c r="S33" s="1578">
        <f t="shared" si="12"/>
        <v>100</v>
      </c>
      <c r="T33" s="1577" t="s">
        <v>8</v>
      </c>
      <c r="U33" s="1578">
        <f t="shared" si="13"/>
        <v>100</v>
      </c>
      <c r="V33" s="1577" t="s">
        <v>8</v>
      </c>
      <c r="W33" s="1578">
        <f t="shared" si="14"/>
        <v>100</v>
      </c>
      <c r="X33" s="1571"/>
      <c r="Y33" s="3407" t="s">
        <v>551</v>
      </c>
      <c r="Z33" s="1579" t="str">
        <f t="shared" si="15"/>
        <v>建筑类型</v>
      </c>
      <c r="AA33" s="1580">
        <f t="shared" si="3"/>
        <v>1</v>
      </c>
      <c r="AB33" s="1580">
        <f t="shared" si="4"/>
        <v>1</v>
      </c>
      <c r="AC33" s="1580">
        <f t="shared" si="5"/>
        <v>1</v>
      </c>
    </row>
    <row r="34" spans="1:29" s="1342" customFormat="1" ht="15">
      <c r="A34" s="606"/>
      <c r="B34" s="530" t="s">
        <v>727</v>
      </c>
      <c r="C34" s="883">
        <f>'数据-基础表'!B3</f>
        <v>166445.44999999998</v>
      </c>
      <c r="D34" s="255">
        <v>100</v>
      </c>
      <c r="E34" s="537">
        <v>83995</v>
      </c>
      <c r="F34" s="866">
        <f>LOOKUP(E34,104:104,105:105)-LOOKUP(C34,104:104,105:105)+100</f>
        <v>100</v>
      </c>
      <c r="G34" s="536">
        <v>70000</v>
      </c>
      <c r="H34" s="255">
        <f>LOOKUP(G34,104:104,105:105)-LOOKUP(C34,104:104,105:105)+100</f>
        <v>100</v>
      </c>
      <c r="I34" s="536">
        <v>640000</v>
      </c>
      <c r="J34" s="255">
        <f>LOOKUP(I34,104:104,105:105)-LOOKUP(C34,104:104,105:105)+100</f>
        <v>103</v>
      </c>
      <c r="K34" s="584"/>
      <c r="L34" s="2145"/>
      <c r="M34" s="2176"/>
      <c r="N34" s="2176"/>
      <c r="O34" s="2176"/>
      <c r="P34" s="3407"/>
      <c r="Q34" s="1609" t="str">
        <f t="shared" si="11"/>
        <v>项目建筑规模</v>
      </c>
      <c r="R34" s="1581" t="s">
        <v>8</v>
      </c>
      <c r="S34" s="1582">
        <f t="shared" si="12"/>
        <v>100</v>
      </c>
      <c r="T34" s="1581" t="s">
        <v>8</v>
      </c>
      <c r="U34" s="1582">
        <f t="shared" si="13"/>
        <v>100</v>
      </c>
      <c r="V34" s="1581" t="s">
        <v>8</v>
      </c>
      <c r="W34" s="1582">
        <f t="shared" si="14"/>
        <v>103</v>
      </c>
      <c r="X34" s="1583"/>
      <c r="Y34" s="3407"/>
      <c r="Z34" s="1584" t="str">
        <f t="shared" si="15"/>
        <v>项目建筑规模</v>
      </c>
      <c r="AA34" s="1580">
        <f t="shared" si="3"/>
        <v>1</v>
      </c>
      <c r="AB34" s="1580">
        <f t="shared" si="4"/>
        <v>1</v>
      </c>
      <c r="AC34" s="1580">
        <f t="shared" si="5"/>
        <v>0.970873786407767</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407"/>
      <c r="Q35" s="1576" t="str">
        <f t="shared" si="11"/>
        <v>建筑结构</v>
      </c>
      <c r="R35" s="1577" t="s">
        <v>8</v>
      </c>
      <c r="S35" s="1578">
        <f t="shared" si="12"/>
        <v>100</v>
      </c>
      <c r="T35" s="1577" t="s">
        <v>8</v>
      </c>
      <c r="U35" s="1578">
        <f t="shared" si="13"/>
        <v>100</v>
      </c>
      <c r="V35" s="1577" t="s">
        <v>8</v>
      </c>
      <c r="W35" s="1578">
        <f t="shared" si="14"/>
        <v>100</v>
      </c>
      <c r="X35" s="1571"/>
      <c r="Y35" s="3407"/>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407"/>
      <c r="Q36" s="1576" t="str">
        <f t="shared" si="11"/>
        <v>公共部分装修</v>
      </c>
      <c r="R36" s="1577" t="s">
        <v>8</v>
      </c>
      <c r="S36" s="1578">
        <f t="shared" si="12"/>
        <v>100</v>
      </c>
      <c r="T36" s="1577" t="s">
        <v>8</v>
      </c>
      <c r="U36" s="1578">
        <f t="shared" si="13"/>
        <v>100</v>
      </c>
      <c r="V36" s="1577" t="s">
        <v>8</v>
      </c>
      <c r="W36" s="1578">
        <f t="shared" si="14"/>
        <v>100</v>
      </c>
      <c r="X36" s="1571"/>
      <c r="Y36" s="3407"/>
      <c r="Z36" s="1579" t="str">
        <f t="shared" si="15"/>
        <v>公共部分装修</v>
      </c>
      <c r="AA36" s="1580">
        <f t="shared" si="3"/>
        <v>1</v>
      </c>
      <c r="AB36" s="1580">
        <f t="shared" si="4"/>
        <v>1</v>
      </c>
      <c r="AC36" s="1580">
        <f t="shared" si="5"/>
        <v>1</v>
      </c>
    </row>
    <row r="37" spans="1:29" ht="15">
      <c r="A37" s="597"/>
      <c r="B37" s="530" t="s">
        <v>765</v>
      </c>
      <c r="C37" s="886">
        <v>1</v>
      </c>
      <c r="D37" s="543">
        <v>100</v>
      </c>
      <c r="E37" s="886">
        <v>1</v>
      </c>
      <c r="F37" s="578">
        <f>LOOKUP(E37,111:111,112:112)-LOOKUP(C37,111:111,112:112)+100</f>
        <v>100</v>
      </c>
      <c r="G37" s="886">
        <v>1</v>
      </c>
      <c r="H37" s="578">
        <f>LOOKUP(G37,111:111,112:112)-LOOKUP(C37,111:111,112:112)+100</f>
        <v>100</v>
      </c>
      <c r="I37" s="886">
        <v>1</v>
      </c>
      <c r="J37" s="543">
        <f>LOOKUP(I37,111:111,112:112)-LOOKUP(C37,111:111,112:112)+100</f>
        <v>100</v>
      </c>
      <c r="K37" s="587"/>
      <c r="L37" s="2147"/>
      <c r="M37" s="2139"/>
      <c r="N37" s="2139"/>
      <c r="O37" s="2139"/>
      <c r="P37" s="3407"/>
      <c r="Q37" s="1576" t="str">
        <f t="shared" si="11"/>
        <v>成新度</v>
      </c>
      <c r="R37" s="1577" t="s">
        <v>8</v>
      </c>
      <c r="S37" s="1578">
        <f t="shared" si="12"/>
        <v>100</v>
      </c>
      <c r="T37" s="1577" t="s">
        <v>8</v>
      </c>
      <c r="U37" s="1578">
        <f t="shared" si="13"/>
        <v>100</v>
      </c>
      <c r="V37" s="1577" t="s">
        <v>8</v>
      </c>
      <c r="W37" s="1578">
        <f t="shared" si="14"/>
        <v>100</v>
      </c>
      <c r="X37" s="1571"/>
      <c r="Y37" s="3407"/>
      <c r="Z37" s="1579" t="str">
        <f t="shared" si="15"/>
        <v>成新度</v>
      </c>
      <c r="AA37" s="1580">
        <f t="shared" si="3"/>
        <v>1</v>
      </c>
      <c r="AB37" s="1580">
        <f t="shared" si="4"/>
        <v>1</v>
      </c>
      <c r="AC37" s="1580">
        <f t="shared" si="5"/>
        <v>1</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407"/>
      <c r="Q38" s="1154" t="str">
        <f t="shared" si="11"/>
        <v>写字楼等级</v>
      </c>
      <c r="R38" s="1572" t="s">
        <v>8</v>
      </c>
      <c r="S38" s="1573">
        <f t="shared" si="12"/>
        <v>100</v>
      </c>
      <c r="T38" s="1572" t="s">
        <v>8</v>
      </c>
      <c r="U38" s="1573">
        <f t="shared" si="13"/>
        <v>100</v>
      </c>
      <c r="V38" s="1572" t="s">
        <v>8</v>
      </c>
      <c r="W38" s="1573">
        <f t="shared" si="14"/>
        <v>100</v>
      </c>
      <c r="X38" s="1574"/>
      <c r="Y38" s="3407"/>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407" t="s">
        <v>551</v>
      </c>
      <c r="Q39" s="1576" t="str">
        <f t="shared" si="11"/>
        <v>物业管理</v>
      </c>
      <c r="R39" s="1577" t="s">
        <v>8</v>
      </c>
      <c r="S39" s="1578">
        <f t="shared" si="12"/>
        <v>100</v>
      </c>
      <c r="T39" s="1577" t="s">
        <v>8</v>
      </c>
      <c r="U39" s="1578">
        <f t="shared" si="13"/>
        <v>100</v>
      </c>
      <c r="V39" s="1577" t="s">
        <v>8</v>
      </c>
      <c r="W39" s="1578">
        <f t="shared" si="14"/>
        <v>100</v>
      </c>
      <c r="X39" s="1571"/>
      <c r="Y39" s="3407" t="s">
        <v>551</v>
      </c>
      <c r="Z39" s="1579" t="str">
        <f t="shared" si="15"/>
        <v>物业管理</v>
      </c>
      <c r="AA39" s="1580">
        <f t="shared" si="3"/>
        <v>1</v>
      </c>
      <c r="AB39" s="1580">
        <f t="shared" si="4"/>
        <v>1</v>
      </c>
      <c r="AC39" s="1580">
        <f t="shared" si="5"/>
        <v>1</v>
      </c>
    </row>
    <row r="40" spans="1:29" ht="15.75" thickBot="1">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407"/>
      <c r="Q40" s="1576" t="str">
        <f t="shared" si="11"/>
        <v>市政基础设施</v>
      </c>
      <c r="R40" s="1577" t="s">
        <v>8</v>
      </c>
      <c r="S40" s="1578">
        <f t="shared" si="12"/>
        <v>100</v>
      </c>
      <c r="T40" s="1577" t="s">
        <v>8</v>
      </c>
      <c r="U40" s="1578">
        <f t="shared" si="13"/>
        <v>100</v>
      </c>
      <c r="V40" s="1577" t="s">
        <v>8</v>
      </c>
      <c r="W40" s="1578">
        <f t="shared" si="14"/>
        <v>100</v>
      </c>
      <c r="X40" s="1571"/>
      <c r="Y40" s="3407"/>
      <c r="Z40" s="1579" t="str">
        <f t="shared" si="15"/>
        <v>市政基础设施</v>
      </c>
      <c r="AA40" s="1580">
        <f t="shared" si="3"/>
        <v>1</v>
      </c>
      <c r="AB40" s="1580">
        <f t="shared" si="4"/>
        <v>1</v>
      </c>
      <c r="AC40" s="1580">
        <f t="shared" si="5"/>
        <v>1</v>
      </c>
    </row>
    <row r="41" spans="1:29" ht="15" hidden="1">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407"/>
      <c r="Q41" s="1576" t="str">
        <f t="shared" si="11"/>
        <v>层高</v>
      </c>
      <c r="R41" s="1577" t="s">
        <v>8</v>
      </c>
      <c r="S41" s="1578">
        <f t="shared" si="12"/>
        <v>100</v>
      </c>
      <c r="T41" s="1577" t="s">
        <v>8</v>
      </c>
      <c r="U41" s="1578">
        <f t="shared" si="13"/>
        <v>100</v>
      </c>
      <c r="V41" s="1577" t="s">
        <v>8</v>
      </c>
      <c r="W41" s="1578">
        <f t="shared" si="14"/>
        <v>100</v>
      </c>
      <c r="X41" s="1571"/>
      <c r="Y41" s="3407"/>
      <c r="Z41" s="1579" t="str">
        <f t="shared" si="15"/>
        <v>层高</v>
      </c>
      <c r="AA41" s="1580">
        <f t="shared" si="3"/>
        <v>1</v>
      </c>
      <c r="AB41" s="1580">
        <f t="shared" si="4"/>
        <v>1</v>
      </c>
      <c r="AC41" s="1580">
        <f t="shared" si="5"/>
        <v>1</v>
      </c>
    </row>
    <row r="42" spans="1:29" s="1342" customFormat="1" ht="15" hidden="1">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407"/>
      <c r="Q42" s="1609" t="str">
        <f t="shared" si="11"/>
        <v>单套建筑面积</v>
      </c>
      <c r="R42" s="1581" t="s">
        <v>8</v>
      </c>
      <c r="S42" s="1582">
        <f t="shared" si="12"/>
        <v>100</v>
      </c>
      <c r="T42" s="1581" t="s">
        <v>8</v>
      </c>
      <c r="U42" s="1582">
        <f t="shared" si="13"/>
        <v>100</v>
      </c>
      <c r="V42" s="1581" t="s">
        <v>8</v>
      </c>
      <c r="W42" s="1582">
        <f t="shared" si="14"/>
        <v>100</v>
      </c>
      <c r="X42" s="1583"/>
      <c r="Y42" s="3407"/>
      <c r="Z42" s="1584" t="str">
        <f t="shared" si="15"/>
        <v>单套建筑面积</v>
      </c>
      <c r="AA42" s="1580">
        <f t="shared" si="3"/>
        <v>1</v>
      </c>
      <c r="AB42" s="1580">
        <f t="shared" si="4"/>
        <v>1</v>
      </c>
      <c r="AC42" s="1580">
        <f t="shared" si="5"/>
        <v>1</v>
      </c>
    </row>
    <row r="43" spans="1:29" ht="15" hidden="1">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407"/>
      <c r="Q43" s="1576" t="str">
        <f t="shared" si="11"/>
        <v>内部装修</v>
      </c>
      <c r="R43" s="1577" t="s">
        <v>8</v>
      </c>
      <c r="S43" s="1578">
        <f t="shared" si="12"/>
        <v>100</v>
      </c>
      <c r="T43" s="1577" t="s">
        <v>8</v>
      </c>
      <c r="U43" s="1578">
        <f t="shared" si="13"/>
        <v>100</v>
      </c>
      <c r="V43" s="1577" t="s">
        <v>8</v>
      </c>
      <c r="W43" s="1578">
        <f t="shared" si="14"/>
        <v>100</v>
      </c>
      <c r="X43" s="1571"/>
      <c r="Y43" s="3407"/>
      <c r="Z43" s="1579" t="str">
        <f t="shared" si="15"/>
        <v>内部装修</v>
      </c>
      <c r="AA43" s="1580">
        <f t="shared" si="3"/>
        <v>1</v>
      </c>
      <c r="AB43" s="1580">
        <f t="shared" si="4"/>
        <v>1</v>
      </c>
      <c r="AC43" s="1580">
        <f t="shared" si="5"/>
        <v>1</v>
      </c>
    </row>
    <row r="44" spans="1:29" ht="27.75" hidden="1" thickBot="1">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407"/>
      <c r="Q44" s="1576" t="str">
        <f t="shared" si="11"/>
        <v>内部装修维护情况</v>
      </c>
      <c r="R44" s="1577" t="s">
        <v>8</v>
      </c>
      <c r="S44" s="1578">
        <f t="shared" si="12"/>
        <v>100</v>
      </c>
      <c r="T44" s="1577" t="s">
        <v>8</v>
      </c>
      <c r="U44" s="1578">
        <f t="shared" si="13"/>
        <v>100</v>
      </c>
      <c r="V44" s="1577" t="s">
        <v>8</v>
      </c>
      <c r="W44" s="1578">
        <f t="shared" si="14"/>
        <v>100</v>
      </c>
      <c r="X44" s="1571"/>
      <c r="Y44" s="3407"/>
      <c r="Z44" s="1579" t="str">
        <f t="shared" si="15"/>
        <v>内部装修维护情况</v>
      </c>
      <c r="AA44" s="1580">
        <f t="shared" si="3"/>
        <v>1</v>
      </c>
      <c r="AB44" s="1580">
        <f t="shared" si="4"/>
        <v>1</v>
      </c>
      <c r="AC44" s="1580">
        <f t="shared" si="5"/>
        <v>1</v>
      </c>
    </row>
    <row r="45" spans="1:29" s="1223" customFormat="1" ht="15" hidden="1">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407"/>
      <c r="Q45" s="1154">
        <f t="shared" si="11"/>
        <v>111</v>
      </c>
      <c r="R45" s="1572" t="s">
        <v>8</v>
      </c>
      <c r="S45" s="1573">
        <f t="shared" si="12"/>
        <v>100</v>
      </c>
      <c r="T45" s="1572" t="s">
        <v>8</v>
      </c>
      <c r="U45" s="1573">
        <f t="shared" si="13"/>
        <v>100</v>
      </c>
      <c r="V45" s="1572" t="s">
        <v>8</v>
      </c>
      <c r="W45" s="1573">
        <f t="shared" si="14"/>
        <v>100</v>
      </c>
      <c r="X45" s="1574"/>
      <c r="Y45" s="3407"/>
      <c r="Z45" s="1153">
        <f t="shared" si="15"/>
        <v>111</v>
      </c>
      <c r="AA45" s="1575">
        <f t="shared" si="3"/>
        <v>1</v>
      </c>
      <c r="AB45" s="1575">
        <f t="shared" si="4"/>
        <v>1</v>
      </c>
      <c r="AC45" s="1575">
        <f t="shared" si="5"/>
        <v>1</v>
      </c>
    </row>
    <row r="46" spans="1:29" ht="15" hidden="1">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407"/>
      <c r="Q46" s="1576">
        <f t="shared" si="11"/>
        <v>111</v>
      </c>
      <c r="R46" s="1577" t="s">
        <v>8</v>
      </c>
      <c r="S46" s="1578">
        <f t="shared" si="12"/>
        <v>100</v>
      </c>
      <c r="T46" s="1577" t="s">
        <v>8</v>
      </c>
      <c r="U46" s="1578">
        <f t="shared" si="13"/>
        <v>100</v>
      </c>
      <c r="V46" s="1577" t="s">
        <v>8</v>
      </c>
      <c r="W46" s="1578">
        <f t="shared" si="14"/>
        <v>100</v>
      </c>
      <c r="X46" s="1571"/>
      <c r="Y46" s="3407"/>
      <c r="Z46" s="1579">
        <f t="shared" si="15"/>
        <v>111</v>
      </c>
      <c r="AA46" s="1580">
        <f t="shared" si="3"/>
        <v>1</v>
      </c>
      <c r="AB46" s="1580">
        <f t="shared" si="4"/>
        <v>1</v>
      </c>
      <c r="AC46" s="1580">
        <f t="shared" si="5"/>
        <v>1</v>
      </c>
    </row>
    <row r="47" spans="1:29" ht="15.75" hidden="1"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11"/>
      <c r="Q47" s="1576">
        <f t="shared" si="11"/>
        <v>111</v>
      </c>
      <c r="R47" s="1577" t="s">
        <v>8</v>
      </c>
      <c r="S47" s="1578">
        <f t="shared" si="12"/>
        <v>100</v>
      </c>
      <c r="T47" s="1577" t="s">
        <v>8</v>
      </c>
      <c r="U47" s="1578">
        <f t="shared" si="13"/>
        <v>100</v>
      </c>
      <c r="V47" s="1577" t="s">
        <v>8</v>
      </c>
      <c r="W47" s="1578">
        <f t="shared" si="14"/>
        <v>100</v>
      </c>
      <c r="X47" s="1571"/>
      <c r="Y47" s="3411"/>
      <c r="Z47" s="1579">
        <f t="shared" si="15"/>
        <v>111</v>
      </c>
      <c r="AA47" s="1580">
        <f t="shared" si="3"/>
        <v>1</v>
      </c>
      <c r="AB47" s="1580">
        <f t="shared" si="4"/>
        <v>1</v>
      </c>
      <c r="AC47" s="1580">
        <f t="shared" si="5"/>
        <v>1</v>
      </c>
    </row>
    <row r="48" spans="1:29" ht="15">
      <c r="A48" s="610" t="s">
        <v>737</v>
      </c>
      <c r="B48" s="890"/>
      <c r="C48" s="2656" t="s">
        <v>1</v>
      </c>
      <c r="D48" s="2657"/>
      <c r="E48" s="2658">
        <f>ROUND(8200*0.96,2)</f>
        <v>7872</v>
      </c>
      <c r="F48" s="2659"/>
      <c r="G48" s="2660">
        <f>ROUND(8800*0.96,2)</f>
        <v>8448</v>
      </c>
      <c r="H48" s="2661"/>
      <c r="I48" s="2658">
        <f>ROUND(8500*0.96,0)</f>
        <v>8160</v>
      </c>
      <c r="J48" s="2661"/>
      <c r="K48" s="1615"/>
      <c r="L48" s="2149"/>
      <c r="M48" s="2139"/>
      <c r="N48" s="2139"/>
      <c r="O48" s="2139"/>
      <c r="P48" s="3366" t="str">
        <f>A48</f>
        <v>成交单价（元/平方米）</v>
      </c>
      <c r="Q48" s="3368"/>
      <c r="R48" s="3408">
        <f>E48</f>
        <v>7872</v>
      </c>
      <c r="S48" s="3408"/>
      <c r="T48" s="3408">
        <f>G48</f>
        <v>8448</v>
      </c>
      <c r="U48" s="3408"/>
      <c r="V48" s="3408">
        <f>I48</f>
        <v>8160</v>
      </c>
      <c r="W48" s="3408"/>
      <c r="X48" s="1563"/>
      <c r="Y48" s="1585"/>
      <c r="Z48" s="1563"/>
      <c r="AA48" s="1563"/>
      <c r="AB48" s="1563"/>
      <c r="AC48" s="1563"/>
    </row>
    <row r="49" spans="1:29" ht="15.75" thickBot="1">
      <c r="A49" s="618" t="s">
        <v>2769</v>
      </c>
      <c r="B49" s="891"/>
      <c r="C49" s="2662">
        <f>R50</f>
        <v>8128</v>
      </c>
      <c r="D49" s="2663"/>
      <c r="E49" s="2664">
        <f>R49</f>
        <v>7976</v>
      </c>
      <c r="F49" s="2664"/>
      <c r="G49" s="2662">
        <f>T49</f>
        <v>8381</v>
      </c>
      <c r="H49" s="2663"/>
      <c r="I49" s="2664">
        <f>V49</f>
        <v>8027</v>
      </c>
      <c r="J49" s="2663"/>
      <c r="K49" s="1616"/>
      <c r="L49" s="2149"/>
      <c r="M49" s="2139"/>
      <c r="N49" s="2139"/>
      <c r="O49" s="2139"/>
      <c r="P49" s="3366" t="str">
        <f>A49</f>
        <v>比较价格（元/平方米）</v>
      </c>
      <c r="Q49" s="3368"/>
      <c r="R49" s="3408">
        <f>IF(F1="售价",ROUND(PRODUCT(R48,AA7:AA47),0),ROUND(PRODUCT(R48,AA7:AA47),1))</f>
        <v>7976</v>
      </c>
      <c r="S49" s="3408"/>
      <c r="T49" s="3408">
        <f>IF(F1="售价",ROUND(PRODUCT(T48,AB7:AB47),0),ROUND(PRODUCT(T48,AB7:AB47),1))</f>
        <v>8381</v>
      </c>
      <c r="U49" s="3408"/>
      <c r="V49" s="3408">
        <f>IF(F1="售价",ROUND(PRODUCT(V48,AC7:AC47),0),ROUND(PRODUCT(V48,AC7:AC47),1))</f>
        <v>8027</v>
      </c>
      <c r="W49" s="3408"/>
      <c r="X49" s="1563"/>
      <c r="Y49" s="1563"/>
      <c r="Z49" s="1563"/>
      <c r="AA49" s="1563"/>
      <c r="AB49" s="1563"/>
      <c r="AC49" s="1563"/>
    </row>
    <row r="50" spans="1:29" ht="15.75" thickBot="1">
      <c r="A50" s="624" t="s">
        <v>2945</v>
      </c>
      <c r="B50" s="625"/>
      <c r="C50" s="2665">
        <f>R50</f>
        <v>8128</v>
      </c>
      <c r="D50" s="2665"/>
      <c r="E50" s="2665"/>
      <c r="F50" s="2665"/>
      <c r="G50" s="2665"/>
      <c r="H50" s="2665"/>
      <c r="I50" s="2665"/>
      <c r="J50" s="2665"/>
      <c r="K50" s="1617"/>
      <c r="L50" s="2149"/>
      <c r="M50" s="2139"/>
      <c r="N50" s="2139"/>
      <c r="O50" s="2139"/>
      <c r="P50" s="3409" t="str">
        <f>A50</f>
        <v>估价对象XX用房的比较价格（楼面单价，元/平方米）</v>
      </c>
      <c r="Q50" s="3366"/>
      <c r="R50" s="3410">
        <f>IF(F1="售价",ROUND(AVERAGE(R49:V49),0),ROUND(AVERAGE(R49:V49),1))</f>
        <v>8128</v>
      </c>
      <c r="S50" s="3410"/>
      <c r="T50" s="3410"/>
      <c r="U50" s="3410"/>
      <c r="V50" s="3410"/>
      <c r="W50" s="3410"/>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1.3211382113821113E-2</v>
      </c>
      <c r="F53" s="630" t="str">
        <f>IF(OR(E53&gt;=0.3,E53&lt;=-0.3),"超过30%","")</f>
        <v/>
      </c>
      <c r="G53" s="629">
        <f>IF(G48&lt;G49,G49/G48-1,G48/G49-1)</f>
        <v>7.994272759813903E-3</v>
      </c>
      <c r="H53" s="630" t="str">
        <f>IF(OR(G53&gt;=0.3,G53&lt;=-0.3),"超过30%","")</f>
        <v/>
      </c>
      <c r="I53" s="629">
        <f>IF(I48&lt;I49,I49/I48-1,I48/I49-1)</f>
        <v>1.6569079357169558E-2</v>
      </c>
      <c r="J53" s="630" t="str">
        <f>IF(OR(I53&gt;=0.3,I53&lt;=-0.3),"超过30%","")</f>
        <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5.0777331995987884E-2</v>
      </c>
      <c r="F54" s="630" t="str">
        <f>IF(OR(E54&gt;=0.2,E54&lt;=-0.2),"超过20%","")</f>
        <v/>
      </c>
      <c r="G54" s="629">
        <f>IF(G49&lt;I49,I49/G49-1,G49/I49-1)</f>
        <v>4.4101158589759493E-2</v>
      </c>
      <c r="H54" s="630" t="str">
        <f>IF(OR(G54&gt;=0.2,G54&lt;=-0.2),"超过20%","")</f>
        <v/>
      </c>
      <c r="I54" s="629">
        <f>IF(I49&lt;E49,E49/I49-1,I49/E49-1)</f>
        <v>6.3941825476430125E-3</v>
      </c>
      <c r="J54" s="630" t="str">
        <f>IF(OR(I54&gt;=0.2,I54&lt;=-0.2),"超过20%","")</f>
        <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7.3170731707317138E-2</v>
      </c>
      <c r="F55" s="630" t="str">
        <f>IF(OR(E55&gt;=0.3,E55&lt;=-0.3),"超过30%","")</f>
        <v/>
      </c>
      <c r="G55" s="629">
        <f>IF(G48&lt;I48,I48/G48-1,G48/I48-1)</f>
        <v>3.529411764705892E-2</v>
      </c>
      <c r="H55" s="630" t="str">
        <f>IF(OR(G55&gt;=0.3,G55&lt;=-0.3),"超过30%","")</f>
        <v/>
      </c>
      <c r="I55" s="629">
        <f>IF(I48&lt;E48,E48/I48-1,I48/E48-1)</f>
        <v>3.6585365853658569E-2</v>
      </c>
      <c r="J55" s="630" t="str">
        <f>IF(OR(I55&gt;=0.3,I55&lt;=-0.3),"超过30%","")</f>
        <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2017-10</v>
      </c>
      <c r="D59" s="2835">
        <f>EDATE(C59,-1)</f>
        <v>42979</v>
      </c>
      <c r="E59" s="2835">
        <f t="shared" ref="E59:O59" si="16">EDATE(D59,-1)</f>
        <v>42948</v>
      </c>
      <c r="F59" s="2835">
        <f t="shared" si="16"/>
        <v>42917</v>
      </c>
      <c r="G59" s="2835">
        <f t="shared" si="16"/>
        <v>42887</v>
      </c>
      <c r="H59" s="2835">
        <f t="shared" si="16"/>
        <v>42856</v>
      </c>
      <c r="I59" s="2835">
        <f t="shared" si="16"/>
        <v>42826</v>
      </c>
      <c r="J59" s="2835">
        <f t="shared" si="16"/>
        <v>42795</v>
      </c>
      <c r="K59" s="2835">
        <f t="shared" si="16"/>
        <v>42767</v>
      </c>
      <c r="L59" s="2835">
        <f t="shared" si="16"/>
        <v>42736</v>
      </c>
      <c r="M59" s="2835">
        <f t="shared" si="16"/>
        <v>42705</v>
      </c>
      <c r="N59" s="2835">
        <f t="shared" si="16"/>
        <v>42675</v>
      </c>
      <c r="O59" s="2835">
        <f t="shared" si="16"/>
        <v>42644</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t="str">
        <f>C9</f>
        <v>商业</v>
      </c>
      <c r="D64" s="3178" t="s">
        <v>3074</v>
      </c>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3180">
        <v>100</v>
      </c>
      <c r="D65" s="674">
        <v>100</v>
      </c>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98</v>
      </c>
      <c r="G67" s="682">
        <f>F67-$K10</f>
        <v>96</v>
      </c>
      <c r="H67" s="682">
        <f>G67-$K10</f>
        <v>94</v>
      </c>
      <c r="I67" s="682">
        <f>H67-$K10</f>
        <v>92</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3（含）-4</v>
      </c>
      <c r="D68" s="685" t="str">
        <f t="shared" ref="D68:L68" si="17">D69&amp;"（含）"&amp;"-"&amp;E69</f>
        <v>4（含）-5</v>
      </c>
      <c r="E68" s="685" t="str">
        <f t="shared" si="17"/>
        <v>5（含）-6</v>
      </c>
      <c r="F68" s="685" t="str">
        <f t="shared" si="17"/>
        <v>6（含）-7</v>
      </c>
      <c r="G68" s="685" t="str">
        <f t="shared" si="17"/>
        <v>7（含）-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v>3</v>
      </c>
      <c r="D69" s="544">
        <v>4</v>
      </c>
      <c r="E69" s="544">
        <v>5</v>
      </c>
      <c r="F69" s="544">
        <v>6</v>
      </c>
      <c r="G69" s="544">
        <v>7</v>
      </c>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98</v>
      </c>
      <c r="E70" s="682">
        <f t="shared" si="18"/>
        <v>96</v>
      </c>
      <c r="F70" s="682">
        <f t="shared" si="18"/>
        <v>94</v>
      </c>
      <c r="G70" s="682">
        <f t="shared" si="18"/>
        <v>92</v>
      </c>
      <c r="H70" s="682">
        <f t="shared" si="18"/>
        <v>90</v>
      </c>
      <c r="I70" s="682">
        <f t="shared" si="18"/>
        <v>88</v>
      </c>
      <c r="J70" s="682">
        <f t="shared" si="18"/>
        <v>86</v>
      </c>
      <c r="K70" s="682">
        <f t="shared" si="18"/>
        <v>84</v>
      </c>
      <c r="L70" s="682">
        <f t="shared" si="18"/>
        <v>82</v>
      </c>
      <c r="M70" s="683">
        <f t="shared" si="18"/>
        <v>80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95</v>
      </c>
      <c r="E78" s="682">
        <f>D78-$K15</f>
        <v>90</v>
      </c>
      <c r="F78" s="682">
        <f>E78-$K15</f>
        <v>85</v>
      </c>
      <c r="G78" s="682">
        <f>F78-$K15</f>
        <v>80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95</v>
      </c>
      <c r="E80" s="682">
        <f>D80-$K17</f>
        <v>90</v>
      </c>
      <c r="F80" s="682">
        <f>E80-$K17</f>
        <v>85</v>
      </c>
      <c r="G80" s="682">
        <f>F80-$K17</f>
        <v>80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3195" t="s">
        <v>3081</v>
      </c>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29.25" thickTop="1">
      <c r="A103" s="672"/>
      <c r="B103" s="676" t="s">
        <v>749</v>
      </c>
      <c r="C103" s="711" t="str">
        <f>C104&amp;"(含)"&amp;"-"&amp;D104</f>
        <v>0(含)-200000</v>
      </c>
      <c r="D103" s="711" t="str">
        <f t="shared" ref="D103:L103" si="23">D104&amp;"(含)"&amp;"-"&amp;E104</f>
        <v>200000(含)-400000</v>
      </c>
      <c r="E103" s="711" t="str">
        <f t="shared" si="23"/>
        <v>400000(含)-600000</v>
      </c>
      <c r="F103" s="711" t="str">
        <f t="shared" si="23"/>
        <v>600000(含)-800000</v>
      </c>
      <c r="G103" s="711" t="str">
        <f t="shared" si="23"/>
        <v>800000(含)-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v>0</v>
      </c>
      <c r="D104" s="733">
        <v>200000</v>
      </c>
      <c r="E104" s="733">
        <v>400000</v>
      </c>
      <c r="F104" s="733">
        <v>600000</v>
      </c>
      <c r="G104" s="733">
        <v>800000</v>
      </c>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v>100</v>
      </c>
      <c r="D105" s="674">
        <v>101</v>
      </c>
      <c r="E105" s="674">
        <v>102</v>
      </c>
      <c r="F105" s="674">
        <v>103</v>
      </c>
      <c r="G105" s="674">
        <v>104</v>
      </c>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G76"/>
  <sheetViews>
    <sheetView topLeftCell="A7" zoomScale="80" zoomScaleNormal="80" workbookViewId="0">
      <selection activeCell="C31" sqref="C31:C4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3003</v>
      </c>
      <c r="D1" s="3163" t="s">
        <v>3022</v>
      </c>
      <c r="E1" s="2416" t="s">
        <v>2379</v>
      </c>
      <c r="F1" s="2417">
        <f ca="1">J53</f>
        <v>37.57</v>
      </c>
      <c r="G1" s="777">
        <f>MATCH(C1,'数据-取费表'!A6:A16,0)+5</f>
        <v>8</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9023</v>
      </c>
      <c r="C2" s="2062"/>
      <c r="D2" s="2060"/>
      <c r="E2" s="2061"/>
      <c r="F2" s="2061"/>
      <c r="G2" s="1594"/>
      <c r="H2" s="2062"/>
      <c r="I2" s="2062"/>
      <c r="J2" s="2062"/>
      <c r="K2" s="2063"/>
      <c r="L2" s="2062"/>
      <c r="M2" s="2062"/>
    </row>
    <row r="3" spans="1:33" ht="18" customHeight="1" thickBot="1">
      <c r="A3" s="836" t="s">
        <v>1729</v>
      </c>
      <c r="B3" s="837">
        <f ca="1">IF(ISERROR(B2*10000/F43),0,ROUND(B2*10000/F43,0))</f>
        <v>1912</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1730</v>
      </c>
      <c r="I4" s="781" t="s">
        <v>1731</v>
      </c>
      <c r="J4" s="781" t="s">
        <v>1732</v>
      </c>
      <c r="K4" s="781" t="s">
        <v>1737</v>
      </c>
      <c r="L4" s="782" t="s">
        <v>1733</v>
      </c>
      <c r="M4" s="783"/>
    </row>
    <row r="5" spans="1:33" ht="18" customHeight="1">
      <c r="A5" s="784">
        <v>1</v>
      </c>
      <c r="B5" s="785" t="s">
        <v>2464</v>
      </c>
      <c r="C5" s="55">
        <f ca="1">C6+C10+C12</f>
        <v>979</v>
      </c>
      <c r="D5" s="2525" t="s">
        <v>2467</v>
      </c>
      <c r="E5" s="2519"/>
      <c r="F5" s="2520"/>
      <c r="G5" s="1596"/>
      <c r="H5" s="784">
        <v>1</v>
      </c>
      <c r="I5" s="785" t="s">
        <v>2464</v>
      </c>
      <c r="J5" s="55">
        <f ca="1">J6+J10+J12</f>
        <v>0</v>
      </c>
      <c r="K5" s="2525" t="s">
        <v>2467</v>
      </c>
      <c r="L5" s="2519"/>
      <c r="M5" s="2520"/>
    </row>
    <row r="6" spans="1:33" ht="18" customHeight="1">
      <c r="A6" s="1835" t="s">
        <v>1826</v>
      </c>
      <c r="B6" s="3422" t="s">
        <v>2469</v>
      </c>
      <c r="C6" s="786">
        <f ca="1">ROUND(F6*F8*F7*(1-F9)/10000,0)</f>
        <v>978</v>
      </c>
      <c r="D6" s="2526" t="s">
        <v>2468</v>
      </c>
      <c r="E6" s="787" t="s">
        <v>1740</v>
      </c>
      <c r="F6" s="788">
        <f ca="1">INDIRECT("'数据-取费表'!u"&amp;$G$1)</f>
        <v>600</v>
      </c>
      <c r="G6" s="1596"/>
      <c r="H6" s="2533" t="s">
        <v>1826</v>
      </c>
      <c r="I6" s="3422" t="s">
        <v>2469</v>
      </c>
      <c r="J6" s="786">
        <f ca="1">ROUND(M6*M8*M7*(1-M9)/10000,0)</f>
        <v>0</v>
      </c>
      <c r="K6" s="344" t="s">
        <v>1739</v>
      </c>
      <c r="L6" s="787" t="s">
        <v>1740</v>
      </c>
      <c r="M6" s="788">
        <f ca="1">INDIRECT("'数据-取费表'!z"&amp;$G$1)</f>
        <v>0</v>
      </c>
    </row>
    <row r="7" spans="1:33" ht="18" customHeight="1">
      <c r="A7" s="2529"/>
      <c r="B7" s="3423"/>
      <c r="C7" s="791"/>
      <c r="D7" s="792"/>
      <c r="E7" s="787" t="s">
        <v>1741</v>
      </c>
      <c r="F7" s="788">
        <f ca="1">IF(INDIRECT("'数据-取费表'!ah"&amp;$G$1)="",INDIRECT("'数据-取费表'!k"&amp;$G$1),INDIRECT("'数据-取费表'!ah"&amp;$G$1))</f>
        <v>1510</v>
      </c>
      <c r="G7" s="1596"/>
      <c r="H7" s="2518"/>
      <c r="I7" s="3423"/>
      <c r="J7" s="791"/>
      <c r="K7" s="792"/>
      <c r="L7" s="787" t="s">
        <v>1741</v>
      </c>
      <c r="M7" s="788">
        <f ca="1">F7</f>
        <v>1510</v>
      </c>
    </row>
    <row r="8" spans="1:33" ht="18" customHeight="1">
      <c r="A8" s="2522"/>
      <c r="B8" s="3424"/>
      <c r="C8" s="791"/>
      <c r="D8" s="792"/>
      <c r="E8" s="787" t="s">
        <v>1742</v>
      </c>
      <c r="F8" s="788">
        <f ca="1">INDIRECT("'数据-取费表'!ai"&amp;$G$1)</f>
        <v>12</v>
      </c>
      <c r="G8" s="1596"/>
      <c r="H8" s="2518"/>
      <c r="I8" s="3424"/>
      <c r="J8" s="791"/>
      <c r="K8" s="792"/>
      <c r="L8" s="787" t="s">
        <v>1742</v>
      </c>
      <c r="M8" s="788">
        <f ca="1">INDIRECT("'数据-取费表'!ai"&amp;$G$1)</f>
        <v>12</v>
      </c>
    </row>
    <row r="9" spans="1:33" ht="18" customHeight="1">
      <c r="A9" s="789"/>
      <c r="B9" s="3425"/>
      <c r="C9" s="791"/>
      <c r="D9" s="792"/>
      <c r="E9" s="787" t="s">
        <v>1743</v>
      </c>
      <c r="F9" s="797">
        <f ca="1">INDIRECT("'数据-取费表'!w"&amp;$G$1)</f>
        <v>0.1</v>
      </c>
      <c r="G9" s="1596"/>
      <c r="H9" s="2534"/>
      <c r="I9" s="3424"/>
      <c r="J9" s="791"/>
      <c r="K9" s="792"/>
      <c r="L9" s="798" t="s">
        <v>1743</v>
      </c>
      <c r="M9" s="799">
        <f ca="1">INDIRECT("'数据-取费表'!ab"&amp;$G$1)</f>
        <v>0</v>
      </c>
    </row>
    <row r="10" spans="1:33" ht="18" customHeight="1">
      <c r="A10" s="1835" t="s">
        <v>1827</v>
      </c>
      <c r="B10" s="2523" t="s">
        <v>2465</v>
      </c>
      <c r="C10" s="802">
        <f ca="1">ROUND(IF(F10="押一",F6*F8*F7/12*F11,IF(F10="押二",F6*F8*F7/12*2*F11,IF(F10="押三",F6*F8*F7/12*3*F11,C11*F11)))/10000,0)</f>
        <v>1</v>
      </c>
      <c r="D10" s="2530" t="s">
        <v>2472</v>
      </c>
      <c r="E10" s="2527" t="s">
        <v>2470</v>
      </c>
      <c r="F10" s="2650" t="s">
        <v>3023</v>
      </c>
      <c r="G10" s="1596"/>
      <c r="H10" s="2590" t="s">
        <v>1827</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2462</v>
      </c>
      <c r="F11" s="799">
        <f ca="1">'数据-取费表'!B39</f>
        <v>1.4999999999999999E-2</v>
      </c>
      <c r="G11" s="1596"/>
      <c r="H11" s="2591"/>
      <c r="I11" s="2524" t="s">
        <v>2580</v>
      </c>
      <c r="J11" s="2528"/>
      <c r="K11" s="2592"/>
      <c r="L11" s="2527" t="s">
        <v>2462</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1744</v>
      </c>
      <c r="C13" s="795">
        <f ca="1">ROUND(C29*F13,0)</f>
        <v>19055</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1833</v>
      </c>
      <c r="B14" s="787" t="s">
        <v>646</v>
      </c>
      <c r="C14" s="807">
        <f ca="1">INDIRECT("'数据-取费表'!m"&amp;$G$1)+INDIRECT("'数据-取费表'!t"&amp;$G$1)</f>
        <v>14425</v>
      </c>
      <c r="D14" s="3170" t="s">
        <v>1747</v>
      </c>
      <c r="E14" s="3169"/>
      <c r="F14" s="808"/>
      <c r="G14" s="1596"/>
      <c r="H14" s="1653" t="s">
        <v>1826</v>
      </c>
      <c r="I14" s="2236" t="s">
        <v>2834</v>
      </c>
      <c r="J14" s="53">
        <f ca="1">C29</f>
        <v>19055</v>
      </c>
      <c r="K14" s="26"/>
      <c r="L14" s="804"/>
      <c r="M14" s="805"/>
    </row>
    <row r="15" spans="1:33" s="2069" customFormat="1" ht="18" customHeight="1" thickBot="1">
      <c r="A15" s="1652" t="s">
        <v>1834</v>
      </c>
      <c r="B15" s="787" t="s">
        <v>648</v>
      </c>
      <c r="C15" s="53">
        <f ca="1">ROUND(C14*F15,0)</f>
        <v>433</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1835</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461</v>
      </c>
      <c r="K16" s="1826" t="s">
        <v>1752</v>
      </c>
      <c r="L16" s="3172"/>
      <c r="M16" s="2520"/>
    </row>
    <row r="17" spans="1:33" s="2069" customFormat="1" ht="18" customHeight="1">
      <c r="A17" s="1652" t="s">
        <v>1889</v>
      </c>
      <c r="B17" s="787" t="s">
        <v>654</v>
      </c>
      <c r="C17" s="53">
        <f ca="1">ROUND(F17*(F43+INDIRECT("'数据-取费表'!S"&amp;$G$1))/10000,0)</f>
        <v>965</v>
      </c>
      <c r="D17" s="787" t="s">
        <v>1753</v>
      </c>
      <c r="E17" s="787" t="s">
        <v>1754</v>
      </c>
      <c r="F17" s="56">
        <f>'数据-取费表'!B35</f>
        <v>200</v>
      </c>
      <c r="G17" s="1597"/>
      <c r="H17" s="1653" t="s">
        <v>1826</v>
      </c>
      <c r="I17" s="787" t="s">
        <v>657</v>
      </c>
      <c r="J17" s="53">
        <f ca="1">ROUND(IF(项目基本情况!B11="自然人",J5*M17,J18+J19+J20),0)</f>
        <v>175</v>
      </c>
      <c r="K17" s="3170" t="s">
        <v>1755</v>
      </c>
      <c r="L17" s="3171"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216</v>
      </c>
      <c r="D18" s="787" t="s">
        <v>1748</v>
      </c>
      <c r="E18" s="787" t="s">
        <v>1749</v>
      </c>
      <c r="F18" s="812">
        <f>'数据-取费表'!B36</f>
        <v>1.4999999999999999E-2</v>
      </c>
      <c r="G18" s="1597"/>
      <c r="H18" s="1652" t="s">
        <v>1833</v>
      </c>
      <c r="I18" s="787" t="s">
        <v>1757</v>
      </c>
      <c r="J18" s="53">
        <f ca="1">ROUND(J5*M18/1.05,1)</f>
        <v>0</v>
      </c>
      <c r="K18" s="3171"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1826</v>
      </c>
      <c r="B19" s="787" t="s">
        <v>663</v>
      </c>
      <c r="C19" s="53">
        <f ca="1">SUM(C14:C18)</f>
        <v>16039</v>
      </c>
      <c r="D19" s="261" t="s">
        <v>1759</v>
      </c>
      <c r="E19" s="3173"/>
      <c r="F19" s="56"/>
      <c r="G19" s="1596"/>
      <c r="H19" s="1652" t="s">
        <v>1834</v>
      </c>
      <c r="I19" s="787" t="s">
        <v>1760</v>
      </c>
      <c r="J19" s="53">
        <f ca="1">IF(K19="按租金收入计税",ROUND(J5*M19,1),ROUND(C29*F33*0.7,1))</f>
        <v>160.1</v>
      </c>
      <c r="K19" s="814" t="s">
        <v>666</v>
      </c>
      <c r="L19" s="787" t="s">
        <v>1749</v>
      </c>
      <c r="M19" s="812">
        <f>IF(K19="按租金收入计税",'数据-取费表'!B51,'数据-取费表'!B50)</f>
        <v>1.2E-2</v>
      </c>
    </row>
    <row r="20" spans="1:33" s="2069" customFormat="1" ht="18" customHeight="1">
      <c r="A20" s="1653" t="s">
        <v>1891</v>
      </c>
      <c r="B20" s="787" t="s">
        <v>667</v>
      </c>
      <c r="C20" s="53">
        <f ca="1">ROUND(C19*F20,0)</f>
        <v>321</v>
      </c>
      <c r="D20" s="815" t="s">
        <v>1761</v>
      </c>
      <c r="E20" s="787" t="s">
        <v>1749</v>
      </c>
      <c r="F20" s="812">
        <f>'数据-取费表'!B37</f>
        <v>0.02</v>
      </c>
      <c r="G20" s="1597"/>
      <c r="H20" s="1655" t="s">
        <v>1835</v>
      </c>
      <c r="I20" s="344" t="s">
        <v>1762</v>
      </c>
      <c r="J20" s="54">
        <f ca="1">ROUND(M20*M21/10000,0)</f>
        <v>15</v>
      </c>
      <c r="K20" s="817" t="s">
        <v>1763</v>
      </c>
      <c r="L20" s="787" t="s">
        <v>1764</v>
      </c>
      <c r="M20" s="643">
        <f>'数据-取费表'!B52</f>
        <v>16</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9631.9</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3173"/>
      <c r="F22" s="56"/>
      <c r="G22" s="1596"/>
      <c r="H22" s="1653" t="s">
        <v>1891</v>
      </c>
      <c r="I22" s="787" t="s">
        <v>1770</v>
      </c>
      <c r="J22" s="53">
        <f ca="1">ROUND(J14*M22,0)</f>
        <v>286</v>
      </c>
      <c r="K22" s="3171" t="s">
        <v>1771</v>
      </c>
      <c r="L22" s="787" t="s">
        <v>1749</v>
      </c>
      <c r="M22" s="820">
        <f ca="1">INDIRECT("'数据-取费表'!Ak"&amp;$G$1)</f>
        <v>1.4999999999999999E-2</v>
      </c>
    </row>
    <row r="23" spans="1:33" s="2069" customFormat="1" ht="18" customHeight="1">
      <c r="A23" s="1652" t="s">
        <v>1833</v>
      </c>
      <c r="B23" s="787" t="s">
        <v>2442</v>
      </c>
      <c r="C23" s="53">
        <f ca="1">ROUND(IF('数据-取费表'!B22&lt;=1,(C19+C20)*F24*F23/2,(C19+C20)*(POWER((1+F24),F23/2)-1)),0)</f>
        <v>777</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3171"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3173"/>
      <c r="F25" s="56"/>
      <c r="G25" s="1596"/>
      <c r="H25" s="1834" t="s">
        <v>1778</v>
      </c>
      <c r="I25" s="3041" t="s">
        <v>2831</v>
      </c>
      <c r="J25" s="795">
        <f ca="1">J5-J16</f>
        <v>-461</v>
      </c>
      <c r="K25" s="2577" t="s">
        <v>1779</v>
      </c>
      <c r="L25" s="2578"/>
      <c r="M25" s="2579"/>
    </row>
    <row r="26" spans="1:33" ht="18" customHeight="1">
      <c r="A26" s="1652" t="s">
        <v>1833</v>
      </c>
      <c r="B26" s="787" t="s">
        <v>2443</v>
      </c>
      <c r="C26" s="53">
        <f ca="1">ROUND((C19+C20)*F26,0)</f>
        <v>491</v>
      </c>
      <c r="D26" s="815" t="s">
        <v>1780</v>
      </c>
      <c r="E26" s="798" t="s">
        <v>1781</v>
      </c>
      <c r="F26" s="797">
        <f ca="1">INDIRECT("'数据-取费表'!q"&amp;$G$1)</f>
        <v>0.03</v>
      </c>
      <c r="G26" s="1596"/>
      <c r="H26" s="2531" t="s">
        <v>1782</v>
      </c>
      <c r="I26" s="2237" t="s">
        <v>2836</v>
      </c>
      <c r="J26" s="786">
        <f ca="1">IF(J5&lt;&gt;0,ROUND(J25*(1-((1+M28)/(1+M26))^M27)/(M26-M28),0),0)</f>
        <v>0</v>
      </c>
      <c r="K26" s="817" t="s">
        <v>1783</v>
      </c>
      <c r="L26" s="787" t="s">
        <v>2424</v>
      </c>
      <c r="M26" s="797">
        <f ca="1">INDIRECT("'数据-取费表'!I"&amp;$G$1)</f>
        <v>0.05</v>
      </c>
    </row>
    <row r="27" spans="1:33" ht="18" customHeight="1">
      <c r="A27" s="1652" t="s">
        <v>1834</v>
      </c>
      <c r="B27" s="787" t="s">
        <v>687</v>
      </c>
      <c r="C27" s="53">
        <f ca="1">ROUND(F21*F26,4)</f>
        <v>5.9999999999999995E-4</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1749</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19055</v>
      </c>
      <c r="D29" s="2574"/>
      <c r="E29" s="2575"/>
      <c r="F29" s="2576"/>
      <c r="G29" s="1597"/>
      <c r="H29" s="826" t="s">
        <v>1789</v>
      </c>
      <c r="I29" s="827" t="s">
        <v>1790</v>
      </c>
      <c r="J29" s="828">
        <f ca="1">ROUND(J26/(1+F40)^F41,0)</f>
        <v>0</v>
      </c>
      <c r="K29" s="829" t="s">
        <v>1791</v>
      </c>
      <c r="L29" s="830"/>
      <c r="M29" s="831">
        <f ca="1">INDIRECT("'数据-取费表'!k"&amp;$G$1)</f>
        <v>47200.46</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1750</v>
      </c>
      <c r="B30" s="1832" t="s">
        <v>1751</v>
      </c>
      <c r="C30" s="795">
        <f ca="1">ROUND(C31+C36+C37+C38,0)</f>
        <v>571</v>
      </c>
      <c r="D30" s="1826" t="s">
        <v>1752</v>
      </c>
      <c r="E30" s="3172"/>
      <c r="F30" s="2520"/>
      <c r="G30" s="2067"/>
      <c r="H30" s="2070"/>
      <c r="I30" s="2071"/>
      <c r="J30" s="2072"/>
      <c r="K30" s="2073"/>
      <c r="L30" s="2074"/>
      <c r="M30" s="2075"/>
    </row>
    <row r="31" spans="1:33" ht="18" customHeight="1">
      <c r="A31" s="1653" t="s">
        <v>1826</v>
      </c>
      <c r="B31" s="787" t="s">
        <v>657</v>
      </c>
      <c r="C31" s="53">
        <f ca="1">ROUND(IF(项目基本情况!B11="自然人",C5*F31,C32+C33+C34),1)</f>
        <v>227.7</v>
      </c>
      <c r="D31" s="3170" t="s">
        <v>1755</v>
      </c>
      <c r="E31" s="3171"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1757</v>
      </c>
      <c r="C32" s="53">
        <f ca="1">ROUND(C5*F32/1.05,1)</f>
        <v>52.2</v>
      </c>
      <c r="D32" s="3171" t="s">
        <v>1758</v>
      </c>
      <c r="E32" s="787" t="s">
        <v>1749</v>
      </c>
      <c r="F32" s="812">
        <f>'数据-取费表'!B41</f>
        <v>5.6000000000000001E-2</v>
      </c>
      <c r="G32" s="2067"/>
      <c r="H32" s="2076"/>
      <c r="I32" s="2077"/>
      <c r="J32" s="2078"/>
      <c r="K32" s="2079"/>
      <c r="L32" s="2080"/>
      <c r="M32" s="2081"/>
    </row>
    <row r="33" spans="1:18" ht="18" customHeight="1">
      <c r="A33" s="1652" t="s">
        <v>1834</v>
      </c>
      <c r="B33" s="787" t="s">
        <v>1760</v>
      </c>
      <c r="C33" s="53">
        <f ca="1">IF(D33="按租金收入计税",ROUND(C5*F33,1),IF(D33="按房产原值计税",ROUND(C29*F33*0.7,1),INDIRECT("'数据-取费表'!Aj"&amp;$G$1)))</f>
        <v>160.1</v>
      </c>
      <c r="D33" s="814" t="s">
        <v>1682</v>
      </c>
      <c r="E33" s="787" t="s">
        <v>1749</v>
      </c>
      <c r="F33" s="812">
        <f>IF(D33="按租金收入计税",'数据-取费表'!B51,'数据-取费表'!B50)</f>
        <v>1.2E-2</v>
      </c>
      <c r="G33" s="2067"/>
      <c r="H33" s="2082"/>
      <c r="I33" s="2082"/>
      <c r="J33" s="2082"/>
      <c r="K33" s="2083"/>
      <c r="L33" s="2082"/>
      <c r="M33" s="2082"/>
    </row>
    <row r="34" spans="1:18" ht="18" customHeight="1">
      <c r="A34" s="1655" t="s">
        <v>1835</v>
      </c>
      <c r="B34" s="344" t="s">
        <v>1762</v>
      </c>
      <c r="C34" s="54">
        <f ca="1">ROUND(F34*F35/10000,1)</f>
        <v>15.4</v>
      </c>
      <c r="D34" s="817" t="s">
        <v>1763</v>
      </c>
      <c r="E34" s="787" t="s">
        <v>1764</v>
      </c>
      <c r="F34" s="643">
        <f>'数据-取费表'!B52</f>
        <v>16</v>
      </c>
      <c r="G34" s="2067"/>
      <c r="H34" s="2070"/>
      <c r="I34" s="838" t="s">
        <v>1815</v>
      </c>
      <c r="J34" s="839"/>
      <c r="K34" s="2085"/>
      <c r="L34" s="2084"/>
      <c r="M34" s="2084"/>
    </row>
    <row r="35" spans="1:18" ht="18" customHeight="1">
      <c r="A35" s="818"/>
      <c r="B35" s="796"/>
      <c r="C35" s="69"/>
      <c r="D35" s="819"/>
      <c r="E35" s="787" t="s">
        <v>1768</v>
      </c>
      <c r="F35" s="788">
        <f ca="1">INDIRECT("'数据-取费表'!r"&amp;$G$1)</f>
        <v>9631.9</v>
      </c>
      <c r="G35" s="2067"/>
      <c r="H35" s="2070"/>
      <c r="I35" s="840" t="s">
        <v>1816</v>
      </c>
      <c r="J35" s="841">
        <f ca="1">ROUND(C13*J36,0)</f>
        <v>1620</v>
      </c>
      <c r="K35" s="2083"/>
      <c r="L35" s="2082"/>
      <c r="M35" s="2082"/>
    </row>
    <row r="36" spans="1:18" ht="18" customHeight="1">
      <c r="A36" s="1653" t="s">
        <v>1891</v>
      </c>
      <c r="B36" s="787" t="s">
        <v>1770</v>
      </c>
      <c r="C36" s="53">
        <f ca="1">ROUND(C29*F36,1)</f>
        <v>285.8</v>
      </c>
      <c r="D36" s="3171" t="s">
        <v>1805</v>
      </c>
      <c r="E36" s="787" t="s">
        <v>1749</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38.1</v>
      </c>
      <c r="D37" s="3171" t="s">
        <v>1773</v>
      </c>
      <c r="E37" s="787" t="s">
        <v>1749</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19.600000000000001</v>
      </c>
      <c r="D38" s="2574" t="s">
        <v>1776</v>
      </c>
      <c r="E38" s="2575" t="s">
        <v>1749</v>
      </c>
      <c r="F38" s="2571">
        <f ca="1">INDIRECT("'数据-取费表'!Am"&amp;$G$1)</f>
        <v>0.02</v>
      </c>
      <c r="G38" s="2067"/>
      <c r="H38" s="2082"/>
      <c r="I38" s="846" t="s">
        <v>1819</v>
      </c>
      <c r="J38" s="847"/>
      <c r="K38" s="2088"/>
      <c r="L38" s="2082"/>
      <c r="M38" s="2082"/>
    </row>
    <row r="39" spans="1:18" ht="24.6" customHeight="1" thickTop="1">
      <c r="A39" s="1834" t="s">
        <v>1778</v>
      </c>
      <c r="B39" s="3041" t="s">
        <v>2831</v>
      </c>
      <c r="C39" s="795">
        <f ca="1">C5-C30</f>
        <v>408</v>
      </c>
      <c r="D39" s="2577" t="s">
        <v>1779</v>
      </c>
      <c r="E39" s="2578"/>
      <c r="F39" s="2579"/>
      <c r="G39" s="2067"/>
      <c r="H39" s="2082"/>
      <c r="I39" s="840" t="s">
        <v>1820</v>
      </c>
      <c r="J39" s="848">
        <f ca="1">ROUND(J35/C39,3)</f>
        <v>3.9710000000000001</v>
      </c>
      <c r="K39" s="2088"/>
      <c r="L39" s="2082"/>
      <c r="M39" s="2082"/>
    </row>
    <row r="40" spans="1:18" ht="18" customHeight="1">
      <c r="A40" s="784" t="s">
        <v>1782</v>
      </c>
      <c r="B40" s="2237" t="s">
        <v>2305</v>
      </c>
      <c r="C40" s="786">
        <f ca="1">ROUND(C39*(1-((1+F42)/(1+F40))^F41)/(F40-F42),0)</f>
        <v>9023</v>
      </c>
      <c r="D40" s="817" t="s">
        <v>1783</v>
      </c>
      <c r="E40" s="787" t="s">
        <v>2424</v>
      </c>
      <c r="F40" s="797">
        <f ca="1">INDIRECT("'数据-取费表'!I"&amp;$G$1)</f>
        <v>0.05</v>
      </c>
      <c r="G40" s="2067"/>
      <c r="H40" s="2067"/>
      <c r="I40" s="840" t="s">
        <v>1821</v>
      </c>
      <c r="J40" s="848">
        <f ca="1">1-J39</f>
        <v>-2.9710000000000001</v>
      </c>
      <c r="K40" s="2088"/>
      <c r="L40" s="2067"/>
      <c r="M40" s="2067"/>
    </row>
    <row r="41" spans="1:18" ht="18" customHeight="1">
      <c r="A41" s="789"/>
      <c r="B41" s="790"/>
      <c r="C41" s="791"/>
      <c r="D41" s="824" t="s">
        <v>1810</v>
      </c>
      <c r="E41" s="787" t="s">
        <v>1786</v>
      </c>
      <c r="F41" s="825">
        <f ca="1">IF(INDIRECT("'数据-取费表'!af"&amp;$G$1)=0,INDIRECT("'数据-取费表'!ae"&amp;$G$1),INDIRECT("'数据-取费表'!af"&amp;$G$1))</f>
        <v>37.57</v>
      </c>
      <c r="G41" s="2067"/>
      <c r="H41" s="1993"/>
      <c r="I41" s="846" t="s">
        <v>1822</v>
      </c>
      <c r="J41" s="849"/>
      <c r="K41" s="2087"/>
      <c r="L41" s="1993"/>
      <c r="M41" s="1993"/>
    </row>
    <row r="42" spans="1:18" ht="18" customHeight="1">
      <c r="A42" s="793"/>
      <c r="B42" s="794"/>
      <c r="C42" s="795"/>
      <c r="D42" s="819"/>
      <c r="E42" s="787" t="s">
        <v>1788</v>
      </c>
      <c r="F42" s="797">
        <f ca="1">INDIRECT("'数据-取费表'!v"&amp;$G$1)</f>
        <v>0.02</v>
      </c>
      <c r="G42" s="2067"/>
      <c r="H42" s="1993"/>
      <c r="I42" s="850" t="s">
        <v>1823</v>
      </c>
      <c r="J42" s="848">
        <f ca="1">ROUND(C13/C40,3)</f>
        <v>2.1120000000000001</v>
      </c>
      <c r="K42" s="2087"/>
      <c r="L42" s="1993"/>
      <c r="M42" s="1993"/>
    </row>
    <row r="43" spans="1:18" ht="18" customHeight="1" thickBot="1">
      <c r="A43" s="826" t="s">
        <v>1789</v>
      </c>
      <c r="B43" s="827" t="s">
        <v>1812</v>
      </c>
      <c r="C43" s="828">
        <f ca="1">ROUND(C40*10000/F43,0)</f>
        <v>1912</v>
      </c>
      <c r="D43" s="829" t="s">
        <v>1813</v>
      </c>
      <c r="E43" s="830" t="s">
        <v>1814</v>
      </c>
      <c r="F43" s="831">
        <f ca="1">INDIRECT("'数据-取费表'!k"&amp;$G$1)</f>
        <v>47200.46</v>
      </c>
      <c r="G43" s="2067"/>
      <c r="H43" s="1993"/>
      <c r="I43" s="850" t="s">
        <v>1824</v>
      </c>
      <c r="J43" s="851">
        <f ca="1">1-J42</f>
        <v>-1.1120000000000001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-17407</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1872</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39.57</v>
      </c>
      <c r="O48" s="2427" t="s">
        <v>2384</v>
      </c>
      <c r="P48" s="2428" t="s">
        <v>2410</v>
      </c>
      <c r="Q48" s="2429">
        <f ca="1">C40+J29</f>
        <v>9023</v>
      </c>
      <c r="R48" s="2428" t="s">
        <v>2385</v>
      </c>
    </row>
    <row r="49" spans="1:18" s="2064" customFormat="1" ht="18" customHeight="1" thickBot="1">
      <c r="A49" s="789"/>
      <c r="B49" s="790"/>
      <c r="C49" s="791"/>
      <c r="D49" s="792"/>
      <c r="E49" s="787" t="s">
        <v>1741</v>
      </c>
      <c r="F49" s="788">
        <f ca="1">F7</f>
        <v>1510</v>
      </c>
      <c r="G49" s="2095"/>
      <c r="H49" s="2098"/>
      <c r="I49" s="2388" t="s">
        <v>2350</v>
      </c>
      <c r="J49" s="2398">
        <v>2020</v>
      </c>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12</v>
      </c>
      <c r="G50" s="2100"/>
      <c r="H50" s="2098"/>
      <c r="I50" s="2388" t="s">
        <v>2351</v>
      </c>
      <c r="J50" s="2401">
        <f>SUMPRODUCT((I63:I65=J47)*(J62:L62=J48)*(J63:L65))</f>
        <v>60</v>
      </c>
      <c r="K50" s="2399" t="s">
        <v>2358</v>
      </c>
      <c r="L50" s="2400"/>
      <c r="O50" s="2430" t="s">
        <v>2388</v>
      </c>
      <c r="P50" s="2428" t="s">
        <v>2412</v>
      </c>
      <c r="Q50" s="2429">
        <f ca="1">C29</f>
        <v>19055</v>
      </c>
      <c r="R50" s="2428" t="s">
        <v>2385</v>
      </c>
    </row>
    <row r="51" spans="1:18" s="2064" customFormat="1" ht="18" customHeight="1" thickBot="1">
      <c r="A51" s="789"/>
      <c r="B51" s="790"/>
      <c r="C51" s="791"/>
      <c r="D51" s="792"/>
      <c r="E51" s="787" t="s">
        <v>641</v>
      </c>
      <c r="F51" s="2376"/>
      <c r="H51" s="2098"/>
      <c r="I51" s="2389" t="s">
        <v>2352</v>
      </c>
      <c r="J51" s="2402">
        <f>IF(J49="",J50,J49+J50-YEAR('数据-取费表'!B2))</f>
        <v>63</v>
      </c>
      <c r="K51" s="2388" t="s">
        <v>2359</v>
      </c>
      <c r="L51" s="2403">
        <f ca="1">ROUND(-PV(INDIRECT("'数据-取费表'!h"&amp;$G$1),L48,(C39-C13*J36),0),0)</f>
        <v>-22208</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37.57</v>
      </c>
      <c r="K53" s="3426" t="s">
        <v>2979</v>
      </c>
      <c r="L53" s="3427"/>
      <c r="O53" s="2430" t="s">
        <v>2393</v>
      </c>
      <c r="P53" s="2428" t="s">
        <v>2394</v>
      </c>
      <c r="Q53" s="2429">
        <f ca="1">J53</f>
        <v>37.57</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9023</v>
      </c>
      <c r="R54" s="2432" t="s">
        <v>2397</v>
      </c>
    </row>
    <row r="55" spans="1:18" s="2064" customFormat="1" ht="18" customHeight="1" thickTop="1" thickBot="1">
      <c r="A55" s="800">
        <v>2</v>
      </c>
      <c r="B55" s="801" t="s">
        <v>645</v>
      </c>
      <c r="C55" s="802">
        <f ca="1">C13</f>
        <v>19055</v>
      </c>
      <c r="D55" s="798"/>
      <c r="E55" s="798"/>
      <c r="F55" s="803"/>
      <c r="I55" s="3134" t="s">
        <v>2360</v>
      </c>
      <c r="J55" s="3133" t="e">
        <f ca="1">ROUND(IF(J47="钢混",J57/J50,1-(1-2%)*(J50-J57)/J50),3)</f>
        <v>#VALUE!</v>
      </c>
      <c r="K55" s="2406" t="s">
        <v>2361</v>
      </c>
      <c r="L55" s="2407"/>
      <c r="O55" s="2433" t="s">
        <v>2416</v>
      </c>
      <c r="P55" s="1596"/>
      <c r="Q55" s="1608"/>
      <c r="R55" s="1596"/>
    </row>
    <row r="56" spans="1:18" s="2064" customFormat="1" ht="42.75" customHeight="1" thickBot="1">
      <c r="A56" s="1654"/>
      <c r="B56" s="2236" t="s">
        <v>2304</v>
      </c>
      <c r="C56" s="53">
        <f ca="1">C29</f>
        <v>19055</v>
      </c>
      <c r="D56" s="3171"/>
      <c r="E56" s="787"/>
      <c r="F56" s="812"/>
      <c r="I56" s="2408" t="s">
        <v>2362</v>
      </c>
      <c r="J56" s="3157"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499</v>
      </c>
      <c r="D57" s="26" t="s">
        <v>1752</v>
      </c>
      <c r="E57" s="3173"/>
      <c r="F57" s="56"/>
      <c r="I57" s="2409" t="s">
        <v>2363</v>
      </c>
      <c r="J57" s="2411" t="str">
        <f ca="1">IF(OR(M47="住宅",J51&lt;L48,J56="是"),"——",J51-L48)</f>
        <v>——</v>
      </c>
      <c r="K57" s="2388" t="s">
        <v>2368</v>
      </c>
      <c r="L57" s="2397" t="str">
        <f ca="1">IF(L48&lt;J51,"——",IF(L55="比较法",L49,IF(L55="基准地价",L50,L51)))</f>
        <v>——</v>
      </c>
      <c r="O57" s="2427" t="s">
        <v>2384</v>
      </c>
      <c r="P57" s="2428" t="s">
        <v>2410</v>
      </c>
      <c r="Q57" s="2429">
        <f ca="1">C40+J29</f>
        <v>9023</v>
      </c>
      <c r="R57" s="2428" t="s">
        <v>2385</v>
      </c>
    </row>
    <row r="58" spans="1:18" s="2064" customFormat="1" ht="28.5" customHeight="1" thickBot="1">
      <c r="A58" s="1653" t="s">
        <v>1826</v>
      </c>
      <c r="B58" s="787" t="s">
        <v>657</v>
      </c>
      <c r="C58" s="53">
        <f ca="1">ROUND(IF(项目基本情况!B11="自然人",C47*F58,C59+C60+C61),1)</f>
        <v>175.5</v>
      </c>
      <c r="D58" s="3170" t="s">
        <v>658</v>
      </c>
      <c r="E58" s="3171" t="s">
        <v>691</v>
      </c>
      <c r="F58" s="813">
        <f ca="1">IF(项目基本情况!B11="企业","",IF(INDIRECT("'数据-取费表'!c"&amp;$G$1)="住宅",5%,IF(F48*F49*F50/12/(1+'数据-取费表'!C42)&gt;20000,12%,7%)))</f>
        <v>7.0000000000000007E-2</v>
      </c>
      <c r="I58" s="2409" t="s">
        <v>2364</v>
      </c>
      <c r="J58" s="3135"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71" t="s">
        <v>1758</v>
      </c>
      <c r="E59" s="787" t="s">
        <v>1749</v>
      </c>
      <c r="F59" s="812">
        <f t="shared" ref="F59:F65" si="0">F32</f>
        <v>5.6000000000000001E-2</v>
      </c>
      <c r="I59" s="2409" t="s">
        <v>2365</v>
      </c>
      <c r="J59" s="2411"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160.1</v>
      </c>
      <c r="D60" s="3171"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15.4</v>
      </c>
      <c r="D61" s="817" t="s">
        <v>670</v>
      </c>
      <c r="E61" s="787" t="s">
        <v>671</v>
      </c>
      <c r="F61" s="643">
        <f t="shared" si="0"/>
        <v>16</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9631.9</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285.8</v>
      </c>
      <c r="D63" s="3171" t="s">
        <v>1805</v>
      </c>
      <c r="E63" s="787" t="s">
        <v>1749</v>
      </c>
      <c r="F63" s="820">
        <f t="shared" ca="1" si="0"/>
        <v>1.4999999999999999E-2</v>
      </c>
      <c r="I63" s="2414" t="s">
        <v>2375</v>
      </c>
      <c r="J63" s="2415">
        <v>70</v>
      </c>
      <c r="K63" s="2415">
        <v>50</v>
      </c>
      <c r="L63" s="2415">
        <v>80</v>
      </c>
      <c r="M63" s="3137">
        <v>0.02</v>
      </c>
      <c r="O63" s="2427" t="s">
        <v>2396</v>
      </c>
      <c r="P63" s="2428" t="s">
        <v>2413</v>
      </c>
      <c r="Q63" s="2429">
        <f ca="1">Q57+Q58</f>
        <v>9023</v>
      </c>
      <c r="R63" s="2432" t="s">
        <v>2397</v>
      </c>
    </row>
    <row r="64" spans="1:18" s="2064" customFormat="1" ht="16.5" thickBot="1">
      <c r="A64" s="1653" t="s">
        <v>1892</v>
      </c>
      <c r="B64" s="787" t="s">
        <v>680</v>
      </c>
      <c r="C64" s="53">
        <f ca="1">ROUND(C55*F64,1)</f>
        <v>38.1</v>
      </c>
      <c r="D64" s="3171" t="s">
        <v>681</v>
      </c>
      <c r="E64" s="787" t="s">
        <v>1749</v>
      </c>
      <c r="F64" s="821">
        <f t="shared" ca="1" si="0"/>
        <v>2E-3</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3171" t="s">
        <v>684</v>
      </c>
      <c r="E65" s="787" t="s">
        <v>1749</v>
      </c>
      <c r="F65" s="797">
        <f t="shared" ca="1" si="0"/>
        <v>0.02</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-499</v>
      </c>
      <c r="D66" s="3170" t="s">
        <v>701</v>
      </c>
      <c r="E66" s="3168"/>
      <c r="F66" s="823"/>
      <c r="K66" s="2091"/>
      <c r="O66" s="2427" t="s">
        <v>2384</v>
      </c>
      <c r="P66" s="2428" t="s">
        <v>2410</v>
      </c>
      <c r="Q66" s="2429">
        <f ca="1">C40+J29</f>
        <v>9023</v>
      </c>
      <c r="R66" s="2428" t="s">
        <v>2385</v>
      </c>
    </row>
    <row r="67" spans="1:18" s="2064" customFormat="1" ht="20.25" thickBot="1">
      <c r="A67" s="784" t="s">
        <v>1782</v>
      </c>
      <c r="B67" s="2237" t="s">
        <v>2305</v>
      </c>
      <c r="C67" s="786">
        <f ca="1">ROUND(C66*(1-((1+F69)/(1+F67))^F68)/(F67-F69),0)</f>
        <v>-8384</v>
      </c>
      <c r="D67" s="817" t="s">
        <v>705</v>
      </c>
      <c r="E67" s="787" t="s">
        <v>706</v>
      </c>
      <c r="F67" s="797">
        <f ca="1">F40</f>
        <v>0.05</v>
      </c>
      <c r="K67" s="2091"/>
      <c r="O67" s="2427" t="s">
        <v>2386</v>
      </c>
      <c r="P67" s="2428" t="s">
        <v>2417</v>
      </c>
      <c r="Q67" s="2429">
        <f ca="1">L60</f>
        <v>0</v>
      </c>
      <c r="R67" s="2432" t="s">
        <v>2419</v>
      </c>
    </row>
    <row r="68" spans="1:18" ht="21.75" thickBot="1">
      <c r="A68" s="789"/>
      <c r="B68" s="790"/>
      <c r="C68" s="791"/>
      <c r="D68" s="824" t="s">
        <v>1810</v>
      </c>
      <c r="E68" s="787" t="s">
        <v>1786</v>
      </c>
      <c r="F68" s="825">
        <f ca="1">F41</f>
        <v>37.57</v>
      </c>
      <c r="O68" s="2430" t="s">
        <v>2388</v>
      </c>
      <c r="P68" s="2428" t="s">
        <v>2418</v>
      </c>
      <c r="Q68" s="2434">
        <f ca="1">L51</f>
        <v>-22208</v>
      </c>
      <c r="R68" s="2435" t="s">
        <v>2421</v>
      </c>
    </row>
    <row r="69" spans="1:18" ht="20.25" thickBot="1">
      <c r="A69" s="793"/>
      <c r="B69" s="794"/>
      <c r="C69" s="795"/>
      <c r="D69" s="819"/>
      <c r="E69" s="787" t="s">
        <v>711</v>
      </c>
      <c r="F69" s="2376"/>
      <c r="O69" s="2430" t="s">
        <v>2389</v>
      </c>
      <c r="P69" s="2436" t="s">
        <v>2403</v>
      </c>
      <c r="Q69" s="2429">
        <f ca="1">ROUND(Q70-Q71*Q72,0)</f>
        <v>-1212</v>
      </c>
      <c r="R69" s="2432"/>
    </row>
    <row r="70" spans="1:18" ht="15.75" thickBot="1">
      <c r="A70" s="826" t="s">
        <v>1789</v>
      </c>
      <c r="B70" s="827" t="s">
        <v>1812</v>
      </c>
      <c r="C70" s="828">
        <f ca="1">ROUND(C67*10000/F70,0)</f>
        <v>-1776</v>
      </c>
      <c r="D70" s="829" t="s">
        <v>1813</v>
      </c>
      <c r="E70" s="830" t="s">
        <v>1814</v>
      </c>
      <c r="F70" s="831">
        <f ca="1">F43</f>
        <v>47200.46</v>
      </c>
      <c r="O70" s="2430" t="s">
        <v>2404</v>
      </c>
      <c r="P70" s="2436" t="s">
        <v>2405</v>
      </c>
      <c r="Q70" s="2429">
        <f ca="1">C39</f>
        <v>408</v>
      </c>
      <c r="R70" s="2428" t="s">
        <v>2385</v>
      </c>
    </row>
    <row r="71" spans="1:18" ht="15.75" thickBot="1">
      <c r="O71" s="2430" t="s">
        <v>2406</v>
      </c>
      <c r="P71" s="2436" t="s">
        <v>2407</v>
      </c>
      <c r="Q71" s="2429">
        <f ca="1">C13</f>
        <v>19055</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9023</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2" priority="6">
      <formula>$L$48&gt;$J$51</formula>
    </cfRule>
  </conditionalFormatting>
  <conditionalFormatting sqref="I55">
    <cfRule type="expression" dxfId="111" priority="7">
      <formula>$J$51&gt;$L$48</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7" zoomScale="80" zoomScaleNormal="80" workbookViewId="0">
      <selection activeCell="C36" sqref="C36:C4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2987</v>
      </c>
      <c r="D1" s="3163" t="s">
        <v>3022</v>
      </c>
      <c r="E1" s="2416" t="s">
        <v>2379</v>
      </c>
      <c r="F1" s="2417">
        <f ca="1">J53</f>
        <v>37.57</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32115</v>
      </c>
      <c r="C2" s="2062"/>
      <c r="D2" s="2060"/>
      <c r="E2" s="2061"/>
      <c r="F2" s="2061"/>
      <c r="G2" s="1594"/>
      <c r="H2" s="2062"/>
      <c r="I2" s="2062"/>
      <c r="J2" s="2062"/>
      <c r="K2" s="2063"/>
      <c r="L2" s="2062"/>
      <c r="M2" s="2062"/>
    </row>
    <row r="3" spans="1:33" ht="18" customHeight="1" thickBot="1">
      <c r="A3" s="836" t="s">
        <v>1729</v>
      </c>
      <c r="B3" s="837">
        <f ca="1">IF(ISERROR(B2*10000/F43),0,ROUND(B2*10000/F43,0))</f>
        <v>11702</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1876</v>
      </c>
      <c r="D5" s="2525" t="s">
        <v>2467</v>
      </c>
      <c r="E5" s="2519"/>
      <c r="F5" s="2520"/>
      <c r="G5" s="1596"/>
      <c r="H5" s="784">
        <v>1</v>
      </c>
      <c r="I5" s="785" t="s">
        <v>2464</v>
      </c>
      <c r="J5" s="55">
        <f ca="1">J6+J10+J12</f>
        <v>0</v>
      </c>
      <c r="K5" s="2525" t="s">
        <v>2467</v>
      </c>
      <c r="L5" s="2519"/>
      <c r="M5" s="2520"/>
    </row>
    <row r="6" spans="1:33" ht="18" customHeight="1">
      <c r="A6" s="1835" t="s">
        <v>1826</v>
      </c>
      <c r="B6" s="3422" t="s">
        <v>2469</v>
      </c>
      <c r="C6" s="786">
        <f ca="1">ROUND(F6*F8*F7*(1-F9)/10000,0)</f>
        <v>1873</v>
      </c>
      <c r="D6" s="2526" t="s">
        <v>2468</v>
      </c>
      <c r="E6" s="787" t="s">
        <v>1740</v>
      </c>
      <c r="F6" s="788">
        <f ca="1">INDIRECT("'数据-取费表'!u"&amp;$G$1)</f>
        <v>2.2000000000000002</v>
      </c>
      <c r="G6" s="1596"/>
      <c r="H6" s="2533" t="s">
        <v>2475</v>
      </c>
      <c r="I6" s="3422" t="s">
        <v>2469</v>
      </c>
      <c r="J6" s="786">
        <f ca="1">ROUND(M6*M8*M7*(1-M9)/10000,0)</f>
        <v>0</v>
      </c>
      <c r="K6" s="344" t="s">
        <v>1739</v>
      </c>
      <c r="L6" s="787" t="s">
        <v>1740</v>
      </c>
      <c r="M6" s="788">
        <f ca="1">INDIRECT("'数据-取费表'!z"&amp;$G$1)</f>
        <v>0</v>
      </c>
    </row>
    <row r="7" spans="1:33" ht="18" customHeight="1">
      <c r="A7" s="2529"/>
      <c r="B7" s="3423"/>
      <c r="C7" s="791"/>
      <c r="D7" s="792"/>
      <c r="E7" s="787" t="s">
        <v>1741</v>
      </c>
      <c r="F7" s="788">
        <f ca="1">IF(INDIRECT("'数据-取费表'!ah"&amp;$G$1)="",INDIRECT("'数据-取费表'!k"&amp;$G$1),INDIRECT("'数据-取费表'!ah"&amp;$G$1))</f>
        <v>27443.54</v>
      </c>
      <c r="G7" s="1596"/>
      <c r="H7" s="2518"/>
      <c r="I7" s="3423"/>
      <c r="J7" s="791"/>
      <c r="K7" s="792"/>
      <c r="L7" s="787" t="s">
        <v>1741</v>
      </c>
      <c r="M7" s="788">
        <f ca="1">F7</f>
        <v>27443.54</v>
      </c>
    </row>
    <row r="8" spans="1:33" ht="18" customHeight="1">
      <c r="A8" s="2522"/>
      <c r="B8" s="3424"/>
      <c r="C8" s="791"/>
      <c r="D8" s="792"/>
      <c r="E8" s="787" t="s">
        <v>1742</v>
      </c>
      <c r="F8" s="788">
        <f ca="1">INDIRECT("'数据-取费表'!ai"&amp;$G$1)</f>
        <v>365</v>
      </c>
      <c r="G8" s="1596"/>
      <c r="H8" s="2518"/>
      <c r="I8" s="3424"/>
      <c r="J8" s="791"/>
      <c r="K8" s="792"/>
      <c r="L8" s="787" t="s">
        <v>1742</v>
      </c>
      <c r="M8" s="788">
        <f ca="1">INDIRECT("'数据-取费表'!ai"&amp;$G$1)</f>
        <v>365</v>
      </c>
    </row>
    <row r="9" spans="1:33" ht="18" customHeight="1">
      <c r="A9" s="789"/>
      <c r="B9" s="3425"/>
      <c r="C9" s="791"/>
      <c r="D9" s="792"/>
      <c r="E9" s="787" t="s">
        <v>1743</v>
      </c>
      <c r="F9" s="797">
        <f ca="1">INDIRECT("'数据-取费表'!w"&amp;$G$1)</f>
        <v>0.15</v>
      </c>
      <c r="G9" s="1596"/>
      <c r="H9" s="2534"/>
      <c r="I9" s="3424"/>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3</v>
      </c>
      <c r="D10" s="2530" t="s">
        <v>2472</v>
      </c>
      <c r="E10" s="2527" t="s">
        <v>2470</v>
      </c>
      <c r="F10" s="2650" t="s">
        <v>3023</v>
      </c>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14853</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9759</v>
      </c>
      <c r="D14" s="1984" t="s">
        <v>1747</v>
      </c>
      <c r="E14" s="1985"/>
      <c r="F14" s="808"/>
      <c r="G14" s="1596"/>
      <c r="H14" s="1653" t="s">
        <v>1832</v>
      </c>
      <c r="I14" s="2236" t="s">
        <v>2835</v>
      </c>
      <c r="J14" s="53">
        <f ca="1">C29</f>
        <v>14853</v>
      </c>
      <c r="K14" s="26"/>
      <c r="L14" s="804"/>
      <c r="M14" s="805"/>
    </row>
    <row r="15" spans="1:33" s="2069" customFormat="1" ht="18" customHeight="1" thickBot="1">
      <c r="A15" s="1652" t="s">
        <v>1887</v>
      </c>
      <c r="B15" s="787" t="s">
        <v>648</v>
      </c>
      <c r="C15" s="53">
        <f ca="1">ROUND(C14*F15,0)</f>
        <v>293</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357</v>
      </c>
      <c r="K16" s="1826" t="s">
        <v>1752</v>
      </c>
      <c r="L16" s="2515"/>
      <c r="M16" s="2520"/>
    </row>
    <row r="17" spans="1:33" s="2069" customFormat="1" ht="18" customHeight="1">
      <c r="A17" s="1652" t="s">
        <v>1889</v>
      </c>
      <c r="B17" s="787" t="s">
        <v>654</v>
      </c>
      <c r="C17" s="53">
        <f ca="1">ROUND(F17*(F43+INDIRECT("'数据-取费表'!S"&amp;$G$1))/10000,0)</f>
        <v>561</v>
      </c>
      <c r="D17" s="787" t="s">
        <v>1753</v>
      </c>
      <c r="E17" s="787" t="s">
        <v>1754</v>
      </c>
      <c r="F17" s="56">
        <f>'数据-取费表'!B35</f>
        <v>200</v>
      </c>
      <c r="G17" s="1597"/>
      <c r="H17" s="1653" t="s">
        <v>1832</v>
      </c>
      <c r="I17" s="787" t="s">
        <v>657</v>
      </c>
      <c r="J17" s="53">
        <f ca="1">ROUND(IF(项目基本情况!B11="自然人",J5*M17,J18+J19+J20),0)</f>
        <v>134</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146</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10759</v>
      </c>
      <c r="D19" s="261" t="s">
        <v>1759</v>
      </c>
      <c r="E19" s="1987"/>
      <c r="F19" s="56"/>
      <c r="G19" s="1596"/>
      <c r="H19" s="1652" t="s">
        <v>1887</v>
      </c>
      <c r="I19" s="787" t="s">
        <v>1760</v>
      </c>
      <c r="J19" s="53">
        <f ca="1">IF(K19="按租金收入计税",ROUND(J5*M19,1),ROUND(C29*F33*0.7,1))</f>
        <v>124.8</v>
      </c>
      <c r="K19" s="814" t="s">
        <v>666</v>
      </c>
      <c r="L19" s="787" t="s">
        <v>1749</v>
      </c>
      <c r="M19" s="812">
        <f>IF(K19="按租金收入计税",'数据-取费表'!B51,'数据-取费表'!B50)</f>
        <v>1.2E-2</v>
      </c>
    </row>
    <row r="20" spans="1:33" s="2069" customFormat="1" ht="18" customHeight="1">
      <c r="A20" s="1653" t="s">
        <v>1891</v>
      </c>
      <c r="B20" s="787" t="s">
        <v>667</v>
      </c>
      <c r="C20" s="53">
        <f ca="1">ROUND(C19*F20,0)</f>
        <v>215</v>
      </c>
      <c r="D20" s="815" t="s">
        <v>1761</v>
      </c>
      <c r="E20" s="787" t="s">
        <v>1749</v>
      </c>
      <c r="F20" s="812">
        <f>'数据-取费表'!B37</f>
        <v>0.02</v>
      </c>
      <c r="G20" s="1597"/>
      <c r="H20" s="1655" t="s">
        <v>1882</v>
      </c>
      <c r="I20" s="344" t="s">
        <v>1762</v>
      </c>
      <c r="J20" s="54">
        <f ca="1">ROUND(M20*M21/10000,0)</f>
        <v>9</v>
      </c>
      <c r="K20" s="817" t="s">
        <v>1763</v>
      </c>
      <c r="L20" s="787" t="s">
        <v>1764</v>
      </c>
      <c r="M20" s="643">
        <f>'数据-取费表'!B52</f>
        <v>16</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5600.22</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223</v>
      </c>
      <c r="K22" s="2513"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521</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3"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1" t="s">
        <v>2831</v>
      </c>
      <c r="J25" s="795">
        <f ca="1">J5-J16</f>
        <v>-357</v>
      </c>
      <c r="K25" s="2577" t="s">
        <v>1779</v>
      </c>
      <c r="L25" s="2578"/>
      <c r="M25" s="2579"/>
    </row>
    <row r="26" spans="1:33" ht="18" customHeight="1">
      <c r="A26" s="1652" t="s">
        <v>1833</v>
      </c>
      <c r="B26" s="787" t="s">
        <v>2443</v>
      </c>
      <c r="C26" s="53">
        <f ca="1">ROUND((C19+C20)*F26,0)</f>
        <v>2195</v>
      </c>
      <c r="D26" s="815" t="s">
        <v>1780</v>
      </c>
      <c r="E26" s="798" t="s">
        <v>1781</v>
      </c>
      <c r="F26" s="797">
        <f ca="1">INDIRECT("'数据-取费表'!q"&amp;$G$1)</f>
        <v>0.2</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4.0000000000000001E-3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14853</v>
      </c>
      <c r="D29" s="2574"/>
      <c r="E29" s="2575"/>
      <c r="F29" s="2576"/>
      <c r="G29" s="1597"/>
      <c r="H29" s="826" t="s">
        <v>1789</v>
      </c>
      <c r="I29" s="827" t="s">
        <v>1790</v>
      </c>
      <c r="J29" s="828">
        <f ca="1">ROUND(J26/(1+F40)^F41,0)</f>
        <v>0</v>
      </c>
      <c r="K29" s="829" t="s">
        <v>1791</v>
      </c>
      <c r="L29" s="830"/>
      <c r="M29" s="831">
        <f ca="1">INDIRECT("'数据-取费表'!k"&amp;$G$1)</f>
        <v>27443.54</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524</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233.9</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100.1</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124.8</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9</v>
      </c>
      <c r="D34" s="817" t="s">
        <v>1801</v>
      </c>
      <c r="E34" s="787" t="s">
        <v>1802</v>
      </c>
      <c r="F34" s="643">
        <f>'数据-取费表'!B52</f>
        <v>16</v>
      </c>
      <c r="G34" s="2067"/>
      <c r="H34" s="2070"/>
      <c r="I34" s="838" t="s">
        <v>1815</v>
      </c>
      <c r="J34" s="839"/>
      <c r="K34" s="2085"/>
      <c r="L34" s="2084"/>
      <c r="M34" s="2084"/>
    </row>
    <row r="35" spans="1:18" ht="18" customHeight="1">
      <c r="A35" s="818"/>
      <c r="B35" s="796"/>
      <c r="C35" s="69"/>
      <c r="D35" s="819"/>
      <c r="E35" s="787" t="s">
        <v>1803</v>
      </c>
      <c r="F35" s="788">
        <f ca="1">INDIRECT("'数据-取费表'!r"&amp;$G$1)</f>
        <v>5600.22</v>
      </c>
      <c r="G35" s="2067"/>
      <c r="H35" s="2070"/>
      <c r="I35" s="840" t="s">
        <v>1816</v>
      </c>
      <c r="J35" s="841">
        <f ca="1">ROUND(C13*J36,0)</f>
        <v>1263</v>
      </c>
      <c r="K35" s="2083"/>
      <c r="L35" s="2082"/>
      <c r="M35" s="2082"/>
    </row>
    <row r="36" spans="1:18" ht="18" customHeight="1">
      <c r="A36" s="1653" t="s">
        <v>1891</v>
      </c>
      <c r="B36" s="787" t="s">
        <v>1804</v>
      </c>
      <c r="C36" s="53">
        <f ca="1">ROUND(C29*F36,1)</f>
        <v>222.8</v>
      </c>
      <c r="D36" s="1982"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29.7</v>
      </c>
      <c r="D37" s="1982" t="s">
        <v>1806</v>
      </c>
      <c r="E37" s="787" t="s">
        <v>1798</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37.5</v>
      </c>
      <c r="D38" s="2574" t="s">
        <v>1807</v>
      </c>
      <c r="E38" s="2575" t="s">
        <v>1798</v>
      </c>
      <c r="F38" s="2571">
        <f ca="1">INDIRECT("'数据-取费表'!Am"&amp;$G$1)</f>
        <v>0.02</v>
      </c>
      <c r="G38" s="2067"/>
      <c r="H38" s="2082"/>
      <c r="I38" s="846" t="s">
        <v>1819</v>
      </c>
      <c r="J38" s="847"/>
      <c r="K38" s="2088"/>
      <c r="L38" s="2082"/>
      <c r="M38" s="2082"/>
    </row>
    <row r="39" spans="1:18" ht="24.6" customHeight="1" thickTop="1">
      <c r="A39" s="1834" t="s">
        <v>1896</v>
      </c>
      <c r="B39" s="3041" t="s">
        <v>2831</v>
      </c>
      <c r="C39" s="795">
        <f ca="1">C5-C30</f>
        <v>1352</v>
      </c>
      <c r="D39" s="2577" t="s">
        <v>1808</v>
      </c>
      <c r="E39" s="2578"/>
      <c r="F39" s="2579"/>
      <c r="G39" s="2067"/>
      <c r="H39" s="2082"/>
      <c r="I39" s="840" t="s">
        <v>1820</v>
      </c>
      <c r="J39" s="848">
        <f ca="1">ROUND(J35/C39,3)</f>
        <v>0.93400000000000005</v>
      </c>
      <c r="K39" s="2088"/>
      <c r="L39" s="2082"/>
      <c r="M39" s="2082"/>
    </row>
    <row r="40" spans="1:18" ht="18" customHeight="1">
      <c r="A40" s="784" t="s">
        <v>1897</v>
      </c>
      <c r="B40" s="2237" t="s">
        <v>2305</v>
      </c>
      <c r="C40" s="786">
        <f ca="1">ROUND(C39*(1-((1+F42)/(1+F40))^F41)/(F40-F42),0)</f>
        <v>32115</v>
      </c>
      <c r="D40" s="817" t="s">
        <v>1809</v>
      </c>
      <c r="E40" s="787" t="s">
        <v>2424</v>
      </c>
      <c r="F40" s="797">
        <f ca="1">INDIRECT("'数据-取费表'!I"&amp;$G$1)</f>
        <v>5.5E-2</v>
      </c>
      <c r="G40" s="2067"/>
      <c r="H40" s="2067"/>
      <c r="I40" s="840" t="s">
        <v>1821</v>
      </c>
      <c r="J40" s="848">
        <f ca="1">1-J39</f>
        <v>6.5999999999999948E-2</v>
      </c>
      <c r="K40" s="2088"/>
      <c r="L40" s="2067"/>
      <c r="M40" s="2067"/>
    </row>
    <row r="41" spans="1:18" ht="18" customHeight="1">
      <c r="A41" s="789"/>
      <c r="B41" s="790"/>
      <c r="C41" s="791"/>
      <c r="D41" s="824" t="s">
        <v>1810</v>
      </c>
      <c r="E41" s="787" t="s">
        <v>2977</v>
      </c>
      <c r="F41" s="825">
        <f ca="1">IF(INDIRECT("'数据-取费表'!af"&amp;$G$1)=0,INDIRECT("'数据-取费表'!ae"&amp;$G$1),INDIRECT("'数据-取费表'!af"&amp;$G$1))</f>
        <v>37.57</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0.46200000000000002</v>
      </c>
      <c r="K42" s="2087"/>
      <c r="L42" s="1993"/>
      <c r="M42" s="1993"/>
    </row>
    <row r="43" spans="1:18" ht="18" customHeight="1" thickBot="1">
      <c r="A43" s="826" t="s">
        <v>1789</v>
      </c>
      <c r="B43" s="827" t="s">
        <v>1812</v>
      </c>
      <c r="C43" s="828">
        <f ca="1">ROUND(C40*10000/F43,0)</f>
        <v>11702</v>
      </c>
      <c r="D43" s="829" t="s">
        <v>1813</v>
      </c>
      <c r="E43" s="830" t="s">
        <v>1814</v>
      </c>
      <c r="F43" s="831">
        <f ca="1">INDIRECT("'数据-取费表'!k"&amp;$G$1)</f>
        <v>27443.54</v>
      </c>
      <c r="G43" s="2067"/>
      <c r="H43" s="1993"/>
      <c r="I43" s="850" t="s">
        <v>1824</v>
      </c>
      <c r="J43" s="851">
        <f ca="1">1-J42</f>
        <v>0.53800000000000003</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-38194</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39.57</v>
      </c>
      <c r="O48" s="2427" t="s">
        <v>2384</v>
      </c>
      <c r="P48" s="2428" t="s">
        <v>2410</v>
      </c>
      <c r="Q48" s="2429">
        <f ca="1">C40+J29</f>
        <v>32115</v>
      </c>
      <c r="R48" s="2428" t="s">
        <v>2385</v>
      </c>
    </row>
    <row r="49" spans="1:18" s="2064" customFormat="1" ht="18" customHeight="1" thickBot="1">
      <c r="A49" s="789"/>
      <c r="B49" s="790"/>
      <c r="C49" s="791"/>
      <c r="D49" s="792"/>
      <c r="E49" s="787" t="s">
        <v>1741</v>
      </c>
      <c r="F49" s="788">
        <f ca="1">F7</f>
        <v>27443.54</v>
      </c>
      <c r="G49" s="2095"/>
      <c r="H49" s="2098"/>
      <c r="I49" s="2388" t="s">
        <v>2350</v>
      </c>
      <c r="J49" s="2398">
        <v>2020</v>
      </c>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14853</v>
      </c>
      <c r="R50" s="2428" t="s">
        <v>2385</v>
      </c>
    </row>
    <row r="51" spans="1:18" s="2064" customFormat="1" ht="18" customHeight="1" thickBot="1">
      <c r="A51" s="789"/>
      <c r="B51" s="790"/>
      <c r="C51" s="791"/>
      <c r="D51" s="792"/>
      <c r="E51" s="787" t="s">
        <v>641</v>
      </c>
      <c r="F51" s="2376"/>
      <c r="H51" s="2098"/>
      <c r="I51" s="2389" t="s">
        <v>2352</v>
      </c>
      <c r="J51" s="2402">
        <f>IF(J49="",J50,J49+J50-YEAR('数据-取费表'!B2))</f>
        <v>63</v>
      </c>
      <c r="K51" s="2388" t="s">
        <v>2359</v>
      </c>
      <c r="L51" s="2403">
        <f ca="1">ROUND(-PV(INDIRECT("'数据-取费表'!h"&amp;$G$1),L48,(C39-C13*J36),0),0)</f>
        <v>1640</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37.57</v>
      </c>
      <c r="K53" s="3426" t="s">
        <v>2979</v>
      </c>
      <c r="L53" s="3427"/>
      <c r="O53" s="2430" t="s">
        <v>2393</v>
      </c>
      <c r="P53" s="2428" t="s">
        <v>2394</v>
      </c>
      <c r="Q53" s="2429">
        <f ca="1">J53</f>
        <v>37.57</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32115</v>
      </c>
      <c r="R54" s="2432" t="s">
        <v>2397</v>
      </c>
    </row>
    <row r="55" spans="1:18" s="2064" customFormat="1" ht="18" customHeight="1" thickTop="1" thickBot="1">
      <c r="A55" s="800">
        <v>2</v>
      </c>
      <c r="B55" s="801" t="s">
        <v>645</v>
      </c>
      <c r="C55" s="802">
        <f ca="1">C13</f>
        <v>14853</v>
      </c>
      <c r="D55" s="798"/>
      <c r="E55" s="798"/>
      <c r="F55" s="803"/>
      <c r="I55" s="3134" t="s">
        <v>2360</v>
      </c>
      <c r="J55" s="3133" t="e">
        <f ca="1">ROUND(IF(J47="钢混",J57/J50,1-(1-2%)*(J50-J57)/J50),3)</f>
        <v>#VALUE!</v>
      </c>
      <c r="K55" s="2406" t="s">
        <v>2361</v>
      </c>
      <c r="L55" s="2407"/>
      <c r="O55" s="2433" t="s">
        <v>2416</v>
      </c>
      <c r="P55" s="1596"/>
      <c r="Q55" s="1608"/>
      <c r="R55" s="1596"/>
    </row>
    <row r="56" spans="1:18" s="2064" customFormat="1" ht="42.75" customHeight="1" thickBot="1">
      <c r="A56" s="1654"/>
      <c r="B56" s="2236" t="s">
        <v>2306</v>
      </c>
      <c r="C56" s="53">
        <f ca="1">C29</f>
        <v>14853</v>
      </c>
      <c r="D56" s="2669"/>
      <c r="E56" s="787"/>
      <c r="F56" s="812"/>
      <c r="I56" s="2408" t="s">
        <v>2362</v>
      </c>
      <c r="J56" s="3157"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386</v>
      </c>
      <c r="D57" s="26" t="s">
        <v>1752</v>
      </c>
      <c r="E57" s="2670"/>
      <c r="F57" s="56"/>
      <c r="I57" s="2409" t="s">
        <v>2363</v>
      </c>
      <c r="J57" s="2411" t="str">
        <f ca="1">IF(OR(M47="住宅",J51&lt;L48,J56="是"),"——",J51-L48)</f>
        <v>——</v>
      </c>
      <c r="K57" s="2388" t="s">
        <v>2368</v>
      </c>
      <c r="L57" s="2397" t="str">
        <f ca="1">IF(L48&lt;J51,"——",IF(L55="比较法",L49,IF(L55="基准地价",L50,L51)))</f>
        <v>——</v>
      </c>
      <c r="O57" s="2427" t="s">
        <v>2384</v>
      </c>
      <c r="P57" s="2428" t="s">
        <v>2414</v>
      </c>
      <c r="Q57" s="2429">
        <f ca="1">C40+J29</f>
        <v>32115</v>
      </c>
      <c r="R57" s="2428" t="s">
        <v>2385</v>
      </c>
    </row>
    <row r="58" spans="1:18" s="2064" customFormat="1" ht="28.5" customHeight="1" thickBot="1">
      <c r="A58" s="1653" t="s">
        <v>1826</v>
      </c>
      <c r="B58" s="787" t="s">
        <v>657</v>
      </c>
      <c r="C58" s="53">
        <f ca="1">ROUND(IF(项目基本情况!B11="自然人",C47*F58,C59+C60+C61),1)</f>
        <v>133.80000000000001</v>
      </c>
      <c r="D58" s="2668" t="s">
        <v>658</v>
      </c>
      <c r="E58" s="2669" t="s">
        <v>691</v>
      </c>
      <c r="F58" s="813">
        <f ca="1">IF(项目基本情况!B11="企业","",IF(INDIRECT("'数据-取费表'!c"&amp;$G$1)="住宅",5%,IF(F48*F49*F50/12/(1+'数据-取费表'!C42)&gt;20000,12%,7%)))</f>
        <v>7.0000000000000007E-2</v>
      </c>
      <c r="I58" s="2409" t="s">
        <v>2364</v>
      </c>
      <c r="J58" s="3135"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5.6000000000000001E-2</v>
      </c>
      <c r="I59" s="2409" t="s">
        <v>2365</v>
      </c>
      <c r="J59" s="2411"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124.8</v>
      </c>
      <c r="D60" s="2669"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9</v>
      </c>
      <c r="D61" s="817" t="s">
        <v>670</v>
      </c>
      <c r="E61" s="787" t="s">
        <v>671</v>
      </c>
      <c r="F61" s="643">
        <f t="shared" si="0"/>
        <v>16</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5600.22</v>
      </c>
      <c r="I62" s="2414" t="s">
        <v>2372</v>
      </c>
      <c r="J62" s="2415" t="s">
        <v>2373</v>
      </c>
      <c r="K62" s="2415" t="s">
        <v>2374</v>
      </c>
      <c r="L62" s="2415" t="s">
        <v>2355</v>
      </c>
      <c r="M62" s="3136"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222.8</v>
      </c>
      <c r="D63" s="2669" t="s">
        <v>1805</v>
      </c>
      <c r="E63" s="787" t="s">
        <v>1749</v>
      </c>
      <c r="F63" s="820">
        <f t="shared" ca="1" si="0"/>
        <v>1.4999999999999999E-2</v>
      </c>
      <c r="I63" s="2414" t="s">
        <v>2375</v>
      </c>
      <c r="J63" s="2415">
        <v>70</v>
      </c>
      <c r="K63" s="2415">
        <v>50</v>
      </c>
      <c r="L63" s="2415">
        <v>80</v>
      </c>
      <c r="M63" s="3137">
        <v>0.02</v>
      </c>
      <c r="O63" s="2427" t="s">
        <v>2396</v>
      </c>
      <c r="P63" s="2428" t="s">
        <v>2413</v>
      </c>
      <c r="Q63" s="2429">
        <f ca="1">Q57+Q58</f>
        <v>32115</v>
      </c>
      <c r="R63" s="2432" t="s">
        <v>2397</v>
      </c>
    </row>
    <row r="64" spans="1:18" s="2064" customFormat="1" ht="16.5" thickBot="1">
      <c r="A64" s="1653" t="s">
        <v>1892</v>
      </c>
      <c r="B64" s="787" t="s">
        <v>680</v>
      </c>
      <c r="C64" s="53">
        <f ca="1">ROUND(C55*F64,1)</f>
        <v>29.7</v>
      </c>
      <c r="D64" s="2669" t="s">
        <v>681</v>
      </c>
      <c r="E64" s="787" t="s">
        <v>1749</v>
      </c>
      <c r="F64" s="821">
        <f t="shared" ca="1" si="0"/>
        <v>2E-3</v>
      </c>
      <c r="I64" s="2414" t="s">
        <v>2376</v>
      </c>
      <c r="J64" s="2415">
        <v>50</v>
      </c>
      <c r="K64" s="2415">
        <v>35</v>
      </c>
      <c r="L64" s="2415">
        <v>60</v>
      </c>
      <c r="M64" s="3138">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0.02</v>
      </c>
      <c r="I65" s="2414" t="s">
        <v>2377</v>
      </c>
      <c r="J65" s="2415">
        <v>40</v>
      </c>
      <c r="K65" s="2415">
        <v>30</v>
      </c>
      <c r="L65" s="2415">
        <v>50</v>
      </c>
      <c r="M65" s="3137">
        <v>0.02</v>
      </c>
      <c r="O65" s="2424" t="s">
        <v>2380</v>
      </c>
      <c r="P65" s="2425" t="s">
        <v>2381</v>
      </c>
      <c r="Q65" s="2426" t="s">
        <v>2382</v>
      </c>
      <c r="R65" s="2425" t="s">
        <v>2383</v>
      </c>
    </row>
    <row r="66" spans="1:18" s="2064" customFormat="1" ht="24.75" thickBot="1">
      <c r="A66" s="800" t="s">
        <v>1778</v>
      </c>
      <c r="B66" s="3042" t="s">
        <v>2831</v>
      </c>
      <c r="C66" s="802">
        <f ca="1">C47-C57</f>
        <v>-386</v>
      </c>
      <c r="D66" s="2668" t="s">
        <v>701</v>
      </c>
      <c r="E66" s="2667"/>
      <c r="F66" s="823"/>
      <c r="K66" s="2091"/>
      <c r="O66" s="2427" t="s">
        <v>2384</v>
      </c>
      <c r="P66" s="2428" t="s">
        <v>2414</v>
      </c>
      <c r="Q66" s="2429">
        <f ca="1">C40+J29</f>
        <v>32115</v>
      </c>
      <c r="R66" s="2428" t="s">
        <v>2385</v>
      </c>
    </row>
    <row r="67" spans="1:18" s="2064" customFormat="1" ht="20.25" thickBot="1">
      <c r="A67" s="784" t="s">
        <v>1782</v>
      </c>
      <c r="B67" s="2237" t="s">
        <v>2305</v>
      </c>
      <c r="C67" s="786">
        <f ca="1">ROUND(C66*(1-((1+F69)/(1+F67))^F68)/(F67-F69),0)</f>
        <v>-6079</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37.57</v>
      </c>
      <c r="O68" s="2430" t="s">
        <v>2388</v>
      </c>
      <c r="P68" s="2428" t="s">
        <v>2418</v>
      </c>
      <c r="Q68" s="2434">
        <f ca="1">L51</f>
        <v>1640</v>
      </c>
      <c r="R68" s="2435" t="s">
        <v>2421</v>
      </c>
    </row>
    <row r="69" spans="1:18" ht="20.25" thickBot="1">
      <c r="A69" s="793"/>
      <c r="B69" s="794"/>
      <c r="C69" s="795"/>
      <c r="D69" s="819"/>
      <c r="E69" s="787" t="s">
        <v>711</v>
      </c>
      <c r="F69" s="2376"/>
      <c r="O69" s="2430" t="s">
        <v>2389</v>
      </c>
      <c r="P69" s="2436" t="s">
        <v>2403</v>
      </c>
      <c r="Q69" s="2429">
        <f ca="1">ROUND(Q70-Q71*Q72,0)</f>
        <v>89</v>
      </c>
      <c r="R69" s="2432"/>
    </row>
    <row r="70" spans="1:18" ht="15.75" thickBot="1">
      <c r="A70" s="826" t="s">
        <v>1789</v>
      </c>
      <c r="B70" s="827" t="s">
        <v>1812</v>
      </c>
      <c r="C70" s="828">
        <f ca="1">ROUND(C67*10000/F70,0)</f>
        <v>-2215</v>
      </c>
      <c r="D70" s="829" t="s">
        <v>1813</v>
      </c>
      <c r="E70" s="830" t="s">
        <v>1814</v>
      </c>
      <c r="F70" s="831">
        <f ca="1">F43</f>
        <v>27443.54</v>
      </c>
      <c r="O70" s="2430" t="s">
        <v>2404</v>
      </c>
      <c r="P70" s="2436" t="s">
        <v>2405</v>
      </c>
      <c r="Q70" s="2429">
        <f ca="1">C39</f>
        <v>1352</v>
      </c>
      <c r="R70" s="2428" t="s">
        <v>2385</v>
      </c>
    </row>
    <row r="71" spans="1:18" ht="15.75" thickBot="1">
      <c r="O71" s="2430" t="s">
        <v>2406</v>
      </c>
      <c r="P71" s="2436" t="s">
        <v>2407</v>
      </c>
      <c r="Q71" s="2429">
        <f ca="1">C13</f>
        <v>14853</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32115</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conditionalFormatting sqref="C11">
    <cfRule type="expression" dxfId="101" priority="4">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2661</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55531</v>
      </c>
      <c r="D13" s="454"/>
      <c r="E13" s="368"/>
      <c r="F13" s="455"/>
      <c r="G13" s="447"/>
      <c r="H13" s="450"/>
      <c r="I13" s="450"/>
      <c r="J13" s="450"/>
      <c r="K13" s="451"/>
    </row>
    <row r="14" spans="1:41" s="2121" customFormat="1" ht="13.5" customHeight="1">
      <c r="A14" s="1637" t="s">
        <v>1851</v>
      </c>
      <c r="B14" s="452" t="s">
        <v>480</v>
      </c>
      <c r="C14" s="53">
        <f ca="1">ROUND(C13*F14,0)</f>
        <v>1666</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2" customFormat="1" ht="13.5" customHeight="1">
      <c r="A16" s="1637" t="s">
        <v>1853</v>
      </c>
      <c r="B16" s="452" t="s">
        <v>484</v>
      </c>
      <c r="C16" s="53">
        <f ca="1">ROUND(D16*E16/10000,0)</f>
        <v>3329</v>
      </c>
      <c r="D16" s="454">
        <f ca="1">IF(B1="",'数据-汇总表'!E3,INDIRECT("'数据-取费表'!K"&amp;$K$1)+INDIRECT("'数据-取费表'!S"&amp;$K$1))</f>
        <v>166445.44999999998</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833</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61359</v>
      </c>
      <c r="D18" s="464"/>
      <c r="E18" s="465"/>
      <c r="F18" s="465"/>
      <c r="G18" s="1330" t="s">
        <v>2437</v>
      </c>
      <c r="H18" s="450"/>
      <c r="I18" s="450"/>
      <c r="J18" s="450"/>
      <c r="K18" s="451"/>
    </row>
    <row r="19" spans="1:14" s="2124" customFormat="1" ht="13.5" customHeight="1">
      <c r="A19" s="1638" t="s">
        <v>1856</v>
      </c>
      <c r="B19" s="462" t="s">
        <v>493</v>
      </c>
      <c r="C19" s="463">
        <f ca="1">ROUND(C18*F19,0)</f>
        <v>1227</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1">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2973</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2973</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3" t="s">
        <v>2841</v>
      </c>
      <c r="C24" s="481">
        <f ca="1">C25</f>
        <v>7510</v>
      </c>
      <c r="D24" s="492">
        <f ca="1">C26</f>
        <v>2.3999999999999998E-3</v>
      </c>
      <c r="E24" s="472" t="s">
        <v>508</v>
      </c>
      <c r="F24" s="482">
        <f ca="1">IF(B1="",'数据-取费表'!Q16,INDIRECT("'数据-取费表'!q"&amp;$K$1))</f>
        <v>0.12</v>
      </c>
      <c r="G24" s="447"/>
      <c r="H24" s="450"/>
      <c r="I24" s="450"/>
      <c r="J24" s="450"/>
      <c r="K24" s="451"/>
    </row>
    <row r="25" spans="1:14" s="2125" customFormat="1" ht="13.5" customHeight="1">
      <c r="A25" s="1637" t="s">
        <v>1850</v>
      </c>
      <c r="B25" s="1331" t="s">
        <v>2441</v>
      </c>
      <c r="C25" s="493">
        <f ca="1">ROUND((C18+C19)*F24,0)</f>
        <v>7510</v>
      </c>
      <c r="D25" s="475"/>
      <c r="E25" s="476"/>
      <c r="F25" s="483"/>
      <c r="G25" s="1329" t="s">
        <v>2438</v>
      </c>
      <c r="H25" s="460"/>
      <c r="I25" s="460"/>
      <c r="J25" s="460"/>
      <c r="K25" s="461"/>
    </row>
    <row r="26" spans="1:14" s="2125" customFormat="1" ht="13.5" customHeight="1">
      <c r="A26" s="1637" t="s">
        <v>1851</v>
      </c>
      <c r="B26" s="1331" t="s">
        <v>510</v>
      </c>
      <c r="C26" s="494">
        <f ca="1">ROUND(F20*F24,4)</f>
        <v>2.3999999999999998E-3</v>
      </c>
      <c r="D26" s="475"/>
      <c r="E26" s="484"/>
      <c r="F26" s="483"/>
      <c r="G26" s="1329" t="s">
        <v>511</v>
      </c>
      <c r="H26" s="460"/>
      <c r="I26" s="460"/>
      <c r="J26" s="460"/>
      <c r="K26" s="461"/>
    </row>
    <row r="27" spans="1:14" s="2125" customFormat="1" ht="13.5" customHeight="1">
      <c r="A27" s="1641" t="s">
        <v>1869</v>
      </c>
      <c r="B27" s="462" t="s">
        <v>512</v>
      </c>
      <c r="C27" s="3062">
        <f>ROUND(F27/(1+'数据-取费表'!C42),4)</f>
        <v>5.33E-2</v>
      </c>
      <c r="D27" s="465" t="s">
        <v>2839</v>
      </c>
      <c r="E27" s="465"/>
      <c r="F27" s="469">
        <f>'数据-取费表'!B41</f>
        <v>5.6000000000000001E-2</v>
      </c>
      <c r="G27" s="1965" t="s">
        <v>2295</v>
      </c>
      <c r="H27" s="450"/>
      <c r="I27" s="450"/>
      <c r="J27" s="450"/>
      <c r="K27" s="451"/>
    </row>
    <row r="28" spans="1:14" s="2126" customFormat="1" ht="13.5" customHeight="1">
      <c r="A28" s="1641" t="s">
        <v>1870</v>
      </c>
      <c r="B28" s="479" t="s">
        <v>513</v>
      </c>
      <c r="C28" s="473">
        <f ca="1">ROUND((C18+C19+C21+C24)/(1-C20-D21-D24-C27),0)</f>
        <v>79139</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4" t="s">
        <v>523</v>
      </c>
      <c r="D6" s="3375"/>
      <c r="E6" s="3412" t="s">
        <v>524</v>
      </c>
      <c r="F6" s="3413"/>
      <c r="G6" s="3374" t="s">
        <v>525</v>
      </c>
      <c r="H6" s="3375"/>
      <c r="I6" s="3374" t="s">
        <v>526</v>
      </c>
      <c r="J6" s="3375"/>
      <c r="K6" s="517" t="s">
        <v>527</v>
      </c>
      <c r="L6" s="2138"/>
      <c r="M6" s="2139"/>
      <c r="N6" s="2139"/>
      <c r="O6" s="2139"/>
      <c r="P6" s="3376" t="s">
        <v>528</v>
      </c>
      <c r="Q6" s="3377"/>
      <c r="R6" s="3382" t="s">
        <v>524</v>
      </c>
      <c r="S6" s="3383"/>
      <c r="T6" s="3382" t="s">
        <v>525</v>
      </c>
      <c r="U6" s="3383"/>
      <c r="V6" s="3369" t="s">
        <v>526</v>
      </c>
      <c r="W6" s="3369"/>
      <c r="X6" s="1571"/>
      <c r="Y6" s="3382" t="s">
        <v>528</v>
      </c>
      <c r="Z6" s="3383"/>
      <c r="AA6" s="3371" t="s">
        <v>524</v>
      </c>
      <c r="AB6" s="3372" t="s">
        <v>525</v>
      </c>
      <c r="AC6" s="3371" t="s">
        <v>526</v>
      </c>
    </row>
    <row r="7" spans="1:29" ht="15">
      <c r="A7" s="518"/>
      <c r="B7" s="519"/>
      <c r="C7" s="3392" t="s">
        <v>2939</v>
      </c>
      <c r="D7" s="3391"/>
      <c r="E7" s="3429" t="s">
        <v>2940</v>
      </c>
      <c r="F7" s="3421"/>
      <c r="G7" s="3392" t="s">
        <v>2941</v>
      </c>
      <c r="H7" s="3391"/>
      <c r="I7" s="3392" t="s">
        <v>2942</v>
      </c>
      <c r="J7" s="3391"/>
      <c r="K7" s="517"/>
      <c r="L7" s="2138"/>
      <c r="M7" s="2139"/>
      <c r="N7" s="2139"/>
      <c r="O7" s="2139"/>
      <c r="P7" s="3378"/>
      <c r="Q7" s="3379"/>
      <c r="R7" s="3384"/>
      <c r="S7" s="3385"/>
      <c r="T7" s="3384"/>
      <c r="U7" s="3385"/>
      <c r="V7" s="3369"/>
      <c r="W7" s="3369"/>
      <c r="X7" s="1571"/>
      <c r="Y7" s="3384"/>
      <c r="Z7" s="3385"/>
      <c r="AA7" s="3372"/>
      <c r="AB7" s="3372"/>
      <c r="AC7" s="3372"/>
    </row>
    <row r="8" spans="1:29" ht="15.75" thickBot="1">
      <c r="A8" s="520"/>
      <c r="B8" s="521"/>
      <c r="C8" s="3417" t="s">
        <v>2943</v>
      </c>
      <c r="D8" s="3389"/>
      <c r="E8" s="3428" t="s">
        <v>2943</v>
      </c>
      <c r="F8" s="3419"/>
      <c r="G8" s="3417" t="s">
        <v>2943</v>
      </c>
      <c r="H8" s="3389"/>
      <c r="I8" s="3417" t="s">
        <v>2943</v>
      </c>
      <c r="J8" s="3389"/>
      <c r="K8" s="517" t="s">
        <v>529</v>
      </c>
      <c r="L8" s="2138"/>
      <c r="M8" s="2139"/>
      <c r="N8" s="2139"/>
      <c r="O8" s="2139"/>
      <c r="P8" s="3380"/>
      <c r="Q8" s="3381"/>
      <c r="R8" s="3384"/>
      <c r="S8" s="3385"/>
      <c r="T8" s="3386"/>
      <c r="U8" s="3387"/>
      <c r="V8" s="3369"/>
      <c r="W8" s="3369"/>
      <c r="X8" s="1571"/>
      <c r="Y8" s="3386"/>
      <c r="Z8" s="3387"/>
      <c r="AA8" s="3373"/>
      <c r="AB8" s="3373"/>
      <c r="AC8" s="3373"/>
    </row>
    <row r="9" spans="1:29" s="1223" customFormat="1" ht="15.75" thickBot="1">
      <c r="A9" s="2943"/>
      <c r="B9" s="2950" t="s">
        <v>530</v>
      </c>
      <c r="C9" s="522">
        <f>'数据-取费表'!B2</f>
        <v>43020</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401" t="s">
        <v>531</v>
      </c>
      <c r="Q9" s="3403"/>
      <c r="R9" s="1572" t="s">
        <v>8</v>
      </c>
      <c r="S9" s="1573">
        <f t="shared" ref="S9:S17" si="0">F9</f>
        <v>0</v>
      </c>
      <c r="T9" s="1572" t="s">
        <v>8</v>
      </c>
      <c r="U9" s="1573">
        <f t="shared" ref="U9:U17" si="1">H9</f>
        <v>0</v>
      </c>
      <c r="V9" s="1572" t="s">
        <v>8</v>
      </c>
      <c r="W9" s="1573">
        <f t="shared" ref="W9:W17" si="2">J9</f>
        <v>0</v>
      </c>
      <c r="X9" s="1574"/>
      <c r="Y9" s="3401" t="s">
        <v>531</v>
      </c>
      <c r="Z9" s="3402"/>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401" t="s">
        <v>534</v>
      </c>
      <c r="Q10" s="3402"/>
      <c r="R10" s="1572" t="s">
        <v>8</v>
      </c>
      <c r="S10" s="1573">
        <f t="shared" si="0"/>
        <v>0</v>
      </c>
      <c r="T10" s="1572" t="s">
        <v>8</v>
      </c>
      <c r="U10" s="1573">
        <f t="shared" si="1"/>
        <v>0</v>
      </c>
      <c r="V10" s="1572" t="s">
        <v>8</v>
      </c>
      <c r="W10" s="1573">
        <f t="shared" si="2"/>
        <v>0</v>
      </c>
      <c r="X10" s="1574"/>
      <c r="Y10" s="3401" t="s">
        <v>534</v>
      </c>
      <c r="Z10" s="3402"/>
      <c r="AA10" s="1575" t="e">
        <f t="shared" ref="AA10:AA42" si="3">D10/F10</f>
        <v>#DIV/0!</v>
      </c>
      <c r="AB10" s="1575" t="e">
        <f t="shared" ref="AB10:AB42" si="4">D10/H10</f>
        <v>#DIV/0!</v>
      </c>
      <c r="AC10" s="1575" t="e">
        <f t="shared" ref="AC10:AC42" si="5">D10/J10</f>
        <v>#DIV/0!</v>
      </c>
    </row>
    <row r="11" spans="1:29" s="1223" customFormat="1" ht="15">
      <c r="A11" s="2945"/>
      <c r="B11" s="2952" t="s">
        <v>2765</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68" t="s">
        <v>536</v>
      </c>
      <c r="Q11" s="1154" t="str">
        <f t="shared" ref="Q11:Q17" si="6">B11</f>
        <v>用途</v>
      </c>
      <c r="R11" s="1572" t="s">
        <v>8</v>
      </c>
      <c r="S11" s="1573">
        <f t="shared" si="0"/>
        <v>100</v>
      </c>
      <c r="T11" s="1572" t="s">
        <v>8</v>
      </c>
      <c r="U11" s="1573">
        <f t="shared" si="1"/>
        <v>100</v>
      </c>
      <c r="V11" s="1572" t="s">
        <v>8</v>
      </c>
      <c r="W11" s="1573">
        <f t="shared" si="2"/>
        <v>100</v>
      </c>
      <c r="X11" s="1574"/>
      <c r="Y11" s="3310" t="s">
        <v>537</v>
      </c>
      <c r="Z11" s="1153" t="str">
        <f t="shared" ref="Z11:Z17" si="7">Q11</f>
        <v>用途</v>
      </c>
      <c r="AA11" s="1575">
        <f t="shared" si="3"/>
        <v>1</v>
      </c>
      <c r="AB11" s="1575">
        <f t="shared" si="4"/>
        <v>1</v>
      </c>
      <c r="AC11" s="1575">
        <f t="shared" si="5"/>
        <v>1</v>
      </c>
    </row>
    <row r="12" spans="1:29" s="1341" customFormat="1" ht="27">
      <c r="A12" s="2946"/>
      <c r="B12" s="2951" t="s">
        <v>2766</v>
      </c>
      <c r="C12" s="531"/>
      <c r="D12" s="255">
        <v>100</v>
      </c>
      <c r="E12" s="531"/>
      <c r="F12" s="255">
        <f>ROUND(100/'数据-取费表'!G16,0)</f>
        <v>100</v>
      </c>
      <c r="G12" s="531"/>
      <c r="H12" s="255">
        <f>ROUND(100/'数据-取费表'!G16,0)</f>
        <v>100</v>
      </c>
      <c r="I12" s="531"/>
      <c r="J12" s="255">
        <f>ROUND(100/'数据-取费表'!G16,0)</f>
        <v>100</v>
      </c>
      <c r="K12" s="534"/>
      <c r="L12" s="2143"/>
      <c r="M12" s="2183"/>
      <c r="N12" s="2183"/>
      <c r="O12" s="2144"/>
      <c r="P12" s="3368"/>
      <c r="Q12" s="1154" t="str">
        <f t="shared" si="6"/>
        <v>土地使用年限（年）</v>
      </c>
      <c r="R12" s="1572" t="s">
        <v>8</v>
      </c>
      <c r="S12" s="1573">
        <f t="shared" si="0"/>
        <v>100</v>
      </c>
      <c r="T12" s="1572" t="s">
        <v>8</v>
      </c>
      <c r="U12" s="1573">
        <f t="shared" si="1"/>
        <v>100</v>
      </c>
      <c r="V12" s="1572" t="s">
        <v>8</v>
      </c>
      <c r="W12" s="1573">
        <f t="shared" si="2"/>
        <v>100</v>
      </c>
      <c r="X12" s="1574"/>
      <c r="Y12" s="3310"/>
      <c r="Z12" s="1153" t="str">
        <f t="shared" si="7"/>
        <v>土地使用年限（年）</v>
      </c>
      <c r="AA12" s="1575">
        <f t="shared" si="3"/>
        <v>1</v>
      </c>
      <c r="AB12" s="1575">
        <f t="shared" si="4"/>
        <v>1</v>
      </c>
      <c r="AC12" s="1575">
        <f t="shared" si="5"/>
        <v>1</v>
      </c>
    </row>
    <row r="13" spans="1:29" ht="15">
      <c r="A13" s="2947"/>
      <c r="B13" s="2951"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68"/>
      <c r="Q13" s="1154" t="str">
        <f t="shared" si="6"/>
        <v>容积率</v>
      </c>
      <c r="R13" s="1572" t="s">
        <v>8</v>
      </c>
      <c r="S13" s="1573" t="e">
        <f t="shared" si="0"/>
        <v>#N/A</v>
      </c>
      <c r="T13" s="1572" t="s">
        <v>8</v>
      </c>
      <c r="U13" s="1573" t="e">
        <f t="shared" si="1"/>
        <v>#N/A</v>
      </c>
      <c r="V13" s="1572" t="s">
        <v>8</v>
      </c>
      <c r="W13" s="1573" t="e">
        <f t="shared" si="2"/>
        <v>#N/A</v>
      </c>
      <c r="X13" s="1574"/>
      <c r="Y13" s="3310"/>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68"/>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68"/>
      <c r="Q15" s="1154">
        <f t="shared" si="6"/>
        <v>111</v>
      </c>
      <c r="R15" s="1572" t="s">
        <v>8</v>
      </c>
      <c r="S15" s="1573">
        <f t="shared" si="0"/>
        <v>100</v>
      </c>
      <c r="T15" s="1572" t="s">
        <v>8</v>
      </c>
      <c r="U15" s="1573">
        <f t="shared" si="1"/>
        <v>100</v>
      </c>
      <c r="V15" s="1572" t="s">
        <v>8</v>
      </c>
      <c r="W15" s="1573">
        <f t="shared" si="2"/>
        <v>100</v>
      </c>
      <c r="X15" s="1574"/>
      <c r="Y15" s="3310"/>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68"/>
      <c r="Q16" s="1154">
        <f t="shared" si="6"/>
        <v>111</v>
      </c>
      <c r="R16" s="1572" t="s">
        <v>8</v>
      </c>
      <c r="S16" s="1573">
        <f t="shared" si="0"/>
        <v>100</v>
      </c>
      <c r="T16" s="1572" t="s">
        <v>8</v>
      </c>
      <c r="U16" s="1573">
        <f t="shared" si="1"/>
        <v>100</v>
      </c>
      <c r="V16" s="1572" t="s">
        <v>8</v>
      </c>
      <c r="W16" s="1573">
        <f t="shared" si="2"/>
        <v>100</v>
      </c>
      <c r="X16" s="1574"/>
      <c r="Y16" s="3310"/>
      <c r="Z16" s="1153">
        <f t="shared" si="7"/>
        <v>111</v>
      </c>
      <c r="AA16" s="1575">
        <f t="shared" si="3"/>
        <v>1</v>
      </c>
      <c r="AB16" s="1575">
        <f t="shared" si="4"/>
        <v>1</v>
      </c>
      <c r="AC16" s="1575">
        <f t="shared" si="5"/>
        <v>1</v>
      </c>
    </row>
    <row r="17" spans="1:29" ht="57">
      <c r="A17" s="2941"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404" t="s">
        <v>541</v>
      </c>
      <c r="Q17" s="1576" t="str">
        <f t="shared" si="6"/>
        <v>产业集聚程度</v>
      </c>
      <c r="R17" s="1577" t="s">
        <v>8</v>
      </c>
      <c r="S17" s="1578">
        <f t="shared" si="0"/>
        <v>100</v>
      </c>
      <c r="T17" s="1577" t="s">
        <v>8</v>
      </c>
      <c r="U17" s="1578">
        <f t="shared" si="1"/>
        <v>100</v>
      </c>
      <c r="V17" s="1577" t="s">
        <v>8</v>
      </c>
      <c r="W17" s="1578">
        <f t="shared" si="2"/>
        <v>100</v>
      </c>
      <c r="X17" s="1571"/>
      <c r="Y17" s="3404"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405"/>
      <c r="Q18" s="1576"/>
      <c r="R18" s="1577"/>
      <c r="S18" s="1578"/>
      <c r="T18" s="1577"/>
      <c r="U18" s="1578"/>
      <c r="V18" s="1577"/>
      <c r="W18" s="1578"/>
      <c r="X18" s="1571"/>
      <c r="Y18" s="3405"/>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405"/>
      <c r="Q19" s="1576" t="str">
        <f>B19</f>
        <v>交通便捷度</v>
      </c>
      <c r="R19" s="1577" t="s">
        <v>8</v>
      </c>
      <c r="S19" s="1578">
        <f>F19</f>
        <v>100</v>
      </c>
      <c r="T19" s="1577" t="s">
        <v>8</v>
      </c>
      <c r="U19" s="1578">
        <f>H19</f>
        <v>100</v>
      </c>
      <c r="V19" s="1577" t="s">
        <v>8</v>
      </c>
      <c r="W19" s="1578">
        <f>J19</f>
        <v>100</v>
      </c>
      <c r="X19" s="1571"/>
      <c r="Y19" s="3405"/>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405"/>
      <c r="Q20" s="1576"/>
      <c r="R20" s="1577"/>
      <c r="S20" s="1578"/>
      <c r="T20" s="1577"/>
      <c r="U20" s="1578"/>
      <c r="V20" s="1577"/>
      <c r="W20" s="1578"/>
      <c r="X20" s="1571"/>
      <c r="Y20" s="3405"/>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405"/>
      <c r="Q21" s="1576" t="str">
        <f t="shared" ref="Q21:Q35" si="8">B21</f>
        <v>区域土地利用方向</v>
      </c>
      <c r="R21" s="1577" t="s">
        <v>8</v>
      </c>
      <c r="S21" s="1578">
        <f>F21</f>
        <v>100</v>
      </c>
      <c r="T21" s="1577" t="s">
        <v>8</v>
      </c>
      <c r="U21" s="1578">
        <f>H21</f>
        <v>100</v>
      </c>
      <c r="V21" s="1577" t="s">
        <v>8</v>
      </c>
      <c r="W21" s="1578">
        <f>J21</f>
        <v>100</v>
      </c>
      <c r="X21" s="1571"/>
      <c r="Y21" s="3405"/>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405"/>
      <c r="Q22" s="1576"/>
      <c r="R22" s="1577"/>
      <c r="S22" s="1578"/>
      <c r="T22" s="1577"/>
      <c r="U22" s="1578"/>
      <c r="V22" s="1577"/>
      <c r="W22" s="1578"/>
      <c r="X22" s="1571"/>
      <c r="Y22" s="3405"/>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405"/>
      <c r="Q23" s="1576" t="str">
        <f t="shared" si="8"/>
        <v>环境状况</v>
      </c>
      <c r="R23" s="1577" t="s">
        <v>8</v>
      </c>
      <c r="S23" s="1578">
        <f>F23</f>
        <v>100</v>
      </c>
      <c r="T23" s="1577" t="s">
        <v>8</v>
      </c>
      <c r="U23" s="1578">
        <f>H23</f>
        <v>100</v>
      </c>
      <c r="V23" s="1577" t="s">
        <v>8</v>
      </c>
      <c r="W23" s="1578">
        <f>J23</f>
        <v>100</v>
      </c>
      <c r="X23" s="1571"/>
      <c r="Y23" s="3405"/>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405"/>
      <c r="Q24" s="1576"/>
      <c r="R24" s="1577"/>
      <c r="S24" s="1578"/>
      <c r="T24" s="1577"/>
      <c r="U24" s="1578"/>
      <c r="V24" s="1577"/>
      <c r="W24" s="1578"/>
      <c r="X24" s="1571"/>
      <c r="Y24" s="3405"/>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405"/>
      <c r="Q25" s="1154" t="str">
        <f t="shared" si="8"/>
        <v>公共配套设施</v>
      </c>
      <c r="R25" s="1572" t="s">
        <v>8</v>
      </c>
      <c r="S25" s="1573">
        <f>F25</f>
        <v>100</v>
      </c>
      <c r="T25" s="1572" t="s">
        <v>8</v>
      </c>
      <c r="U25" s="1573">
        <f>H25</f>
        <v>100</v>
      </c>
      <c r="V25" s="1572" t="s">
        <v>8</v>
      </c>
      <c r="W25" s="1573">
        <f>J25</f>
        <v>100</v>
      </c>
      <c r="X25" s="1574"/>
      <c r="Y25" s="3405"/>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405"/>
      <c r="Q26" s="1154"/>
      <c r="R26" s="1572"/>
      <c r="S26" s="1573"/>
      <c r="T26" s="1572"/>
      <c r="U26" s="1573"/>
      <c r="V26" s="1572"/>
      <c r="W26" s="1573"/>
      <c r="X26" s="1574"/>
      <c r="Y26" s="3405"/>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405"/>
      <c r="Q27" s="2607" t="str">
        <f t="shared" ref="Q27" si="9">B27</f>
        <v>基础设施水平</v>
      </c>
      <c r="R27" s="1572" t="s">
        <v>8</v>
      </c>
      <c r="S27" s="1573">
        <f>F27</f>
        <v>100</v>
      </c>
      <c r="T27" s="1572" t="s">
        <v>8</v>
      </c>
      <c r="U27" s="1573">
        <f>H27</f>
        <v>100</v>
      </c>
      <c r="V27" s="1572" t="s">
        <v>8</v>
      </c>
      <c r="W27" s="1573">
        <f>J27</f>
        <v>100</v>
      </c>
      <c r="X27" s="1574"/>
      <c r="Y27" s="3405"/>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405"/>
      <c r="Q28" s="2607"/>
      <c r="R28" s="1572"/>
      <c r="S28" s="1573"/>
      <c r="T28" s="1572"/>
      <c r="U28" s="1573"/>
      <c r="V28" s="1572"/>
      <c r="W28" s="1573"/>
      <c r="X28" s="1574"/>
      <c r="Y28" s="3405"/>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405"/>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5"/>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405"/>
      <c r="Q30" s="1576" t="str">
        <f t="shared" si="8"/>
        <v>毗邻道路的类型与等级</v>
      </c>
      <c r="R30" s="1577" t="s">
        <v>8</v>
      </c>
      <c r="S30" s="1578">
        <f t="shared" si="10"/>
        <v>100</v>
      </c>
      <c r="T30" s="1577" t="s">
        <v>8</v>
      </c>
      <c r="U30" s="1578">
        <f t="shared" si="11"/>
        <v>100</v>
      </c>
      <c r="V30" s="1577" t="s">
        <v>8</v>
      </c>
      <c r="W30" s="1578">
        <f t="shared" si="12"/>
        <v>100</v>
      </c>
      <c r="X30" s="1571"/>
      <c r="Y30" s="3405"/>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405"/>
      <c r="Q31" s="1576"/>
      <c r="R31" s="1577"/>
      <c r="S31" s="1578"/>
      <c r="T31" s="1577"/>
      <c r="U31" s="1578"/>
      <c r="V31" s="1577"/>
      <c r="W31" s="1578"/>
      <c r="X31" s="1571"/>
      <c r="Y31" s="3405"/>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405"/>
      <c r="Q32" s="1576" t="str">
        <f t="shared" si="8"/>
        <v>土地级别</v>
      </c>
      <c r="R32" s="1577" t="s">
        <v>8</v>
      </c>
      <c r="S32" s="1578">
        <f t="shared" si="10"/>
        <v>100</v>
      </c>
      <c r="T32" s="1577" t="s">
        <v>8</v>
      </c>
      <c r="U32" s="1578">
        <f t="shared" si="11"/>
        <v>100</v>
      </c>
      <c r="V32" s="1577" t="s">
        <v>8</v>
      </c>
      <c r="W32" s="1578">
        <f t="shared" si="12"/>
        <v>100</v>
      </c>
      <c r="X32" s="1571"/>
      <c r="Y32" s="3405"/>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405"/>
      <c r="Q33" s="1576">
        <f t="shared" si="8"/>
        <v>111</v>
      </c>
      <c r="R33" s="1577" t="s">
        <v>8</v>
      </c>
      <c r="S33" s="1578">
        <f t="shared" si="10"/>
        <v>100</v>
      </c>
      <c r="T33" s="1577" t="s">
        <v>8</v>
      </c>
      <c r="U33" s="1578">
        <f t="shared" si="11"/>
        <v>100</v>
      </c>
      <c r="V33" s="1577" t="s">
        <v>8</v>
      </c>
      <c r="W33" s="1578">
        <f t="shared" si="12"/>
        <v>100</v>
      </c>
      <c r="X33" s="1571"/>
      <c r="Y33" s="3405"/>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406" t="s">
        <v>551</v>
      </c>
      <c r="Q34" s="1576">
        <f t="shared" si="8"/>
        <v>111</v>
      </c>
      <c r="R34" s="1577" t="s">
        <v>8</v>
      </c>
      <c r="S34" s="1578">
        <f t="shared" si="10"/>
        <v>100</v>
      </c>
      <c r="T34" s="1577" t="s">
        <v>8</v>
      </c>
      <c r="U34" s="1578">
        <f t="shared" si="11"/>
        <v>100</v>
      </c>
      <c r="V34" s="1577" t="s">
        <v>8</v>
      </c>
      <c r="W34" s="1578">
        <f t="shared" si="12"/>
        <v>100</v>
      </c>
      <c r="X34" s="1571"/>
      <c r="Y34" s="3407"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407"/>
      <c r="Q35" s="1576">
        <f t="shared" si="8"/>
        <v>111</v>
      </c>
      <c r="R35" s="1581" t="s">
        <v>8</v>
      </c>
      <c r="S35" s="1582">
        <f t="shared" si="10"/>
        <v>100</v>
      </c>
      <c r="T35" s="1581" t="s">
        <v>8</v>
      </c>
      <c r="U35" s="1582">
        <f t="shared" si="11"/>
        <v>100</v>
      </c>
      <c r="V35" s="1581" t="s">
        <v>8</v>
      </c>
      <c r="W35" s="1582">
        <f t="shared" si="12"/>
        <v>100</v>
      </c>
      <c r="X35" s="1583"/>
      <c r="Y35" s="3407"/>
      <c r="Z35" s="1584">
        <f t="shared" si="13"/>
        <v>111</v>
      </c>
      <c r="AA35" s="1580">
        <f t="shared" si="3"/>
        <v>1</v>
      </c>
      <c r="AB35" s="1580">
        <f t="shared" si="4"/>
        <v>1</v>
      </c>
      <c r="AC35" s="1580">
        <f t="shared" si="5"/>
        <v>1</v>
      </c>
    </row>
    <row r="36" spans="1:29" ht="15">
      <c r="A36" s="2938"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407"/>
      <c r="Q36" s="1576" t="str">
        <f>B36</f>
        <v>宗地面积</v>
      </c>
      <c r="R36" s="1577" t="s">
        <v>8</v>
      </c>
      <c r="S36" s="1578" t="e">
        <f t="shared" si="10"/>
        <v>#N/A</v>
      </c>
      <c r="T36" s="1577" t="s">
        <v>8</v>
      </c>
      <c r="U36" s="1578" t="e">
        <f t="shared" si="11"/>
        <v>#N/A</v>
      </c>
      <c r="V36" s="1577" t="s">
        <v>8</v>
      </c>
      <c r="W36" s="1578" t="e">
        <f t="shared" si="12"/>
        <v>#N/A</v>
      </c>
      <c r="X36" s="1571"/>
      <c r="Y36" s="3407"/>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407"/>
      <c r="Q37" s="1576" t="str">
        <f t="shared" ref="Q37:Q42" si="14">B37</f>
        <v>宗地形状</v>
      </c>
      <c r="R37" s="1577" t="s">
        <v>8</v>
      </c>
      <c r="S37" s="1578">
        <f t="shared" si="10"/>
        <v>100</v>
      </c>
      <c r="T37" s="1577" t="s">
        <v>8</v>
      </c>
      <c r="U37" s="1578">
        <f t="shared" si="11"/>
        <v>100</v>
      </c>
      <c r="V37" s="1577" t="s">
        <v>8</v>
      </c>
      <c r="W37" s="1578">
        <f t="shared" si="12"/>
        <v>100</v>
      </c>
      <c r="X37" s="1571"/>
      <c r="Y37" s="3407"/>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407"/>
      <c r="Q38" s="1576" t="str">
        <f t="shared" si="14"/>
        <v>宗地开发程度</v>
      </c>
      <c r="R38" s="1572" t="s">
        <v>8</v>
      </c>
      <c r="S38" s="1573">
        <f t="shared" si="10"/>
        <v>100</v>
      </c>
      <c r="T38" s="1572" t="s">
        <v>8</v>
      </c>
      <c r="U38" s="1573">
        <f t="shared" si="11"/>
        <v>100</v>
      </c>
      <c r="V38" s="1572" t="s">
        <v>8</v>
      </c>
      <c r="W38" s="1573">
        <f t="shared" si="12"/>
        <v>100</v>
      </c>
      <c r="X38" s="1574"/>
      <c r="Y38" s="3407"/>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07" t="s">
        <v>602</v>
      </c>
      <c r="Q39" s="1576" t="str">
        <f t="shared" si="14"/>
        <v>工程地质条件</v>
      </c>
      <c r="R39" s="1577" t="s">
        <v>8</v>
      </c>
      <c r="S39" s="1578">
        <f t="shared" si="10"/>
        <v>100</v>
      </c>
      <c r="T39" s="1577" t="s">
        <v>8</v>
      </c>
      <c r="U39" s="1578">
        <f t="shared" si="11"/>
        <v>100</v>
      </c>
      <c r="V39" s="1577" t="s">
        <v>8</v>
      </c>
      <c r="W39" s="1578">
        <f t="shared" si="12"/>
        <v>100</v>
      </c>
      <c r="X39" s="1571"/>
      <c r="Y39" s="3407"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407"/>
      <c r="Q40" s="1576">
        <f t="shared" si="14"/>
        <v>111</v>
      </c>
      <c r="R40" s="1577" t="s">
        <v>8</v>
      </c>
      <c r="S40" s="1578">
        <f t="shared" si="10"/>
        <v>100</v>
      </c>
      <c r="T40" s="1577" t="s">
        <v>8</v>
      </c>
      <c r="U40" s="1578">
        <f t="shared" si="11"/>
        <v>100</v>
      </c>
      <c r="V40" s="1577" t="s">
        <v>8</v>
      </c>
      <c r="W40" s="1578">
        <f t="shared" si="12"/>
        <v>100</v>
      </c>
      <c r="X40" s="1571"/>
      <c r="Y40" s="3407"/>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407"/>
      <c r="Q41" s="1576">
        <f t="shared" si="14"/>
        <v>111</v>
      </c>
      <c r="R41" s="1577" t="s">
        <v>8</v>
      </c>
      <c r="S41" s="1578">
        <f t="shared" si="10"/>
        <v>100</v>
      </c>
      <c r="T41" s="1577" t="s">
        <v>8</v>
      </c>
      <c r="U41" s="1578">
        <f t="shared" si="11"/>
        <v>100</v>
      </c>
      <c r="V41" s="1577" t="s">
        <v>8</v>
      </c>
      <c r="W41" s="1578">
        <f t="shared" si="12"/>
        <v>100</v>
      </c>
      <c r="X41" s="1571"/>
      <c r="Y41" s="3407"/>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407"/>
      <c r="Q42" s="1576">
        <f t="shared" si="14"/>
        <v>111</v>
      </c>
      <c r="R42" s="1581" t="s">
        <v>8</v>
      </c>
      <c r="S42" s="1582">
        <f t="shared" si="10"/>
        <v>100</v>
      </c>
      <c r="T42" s="1581" t="s">
        <v>8</v>
      </c>
      <c r="U42" s="1582">
        <f t="shared" si="11"/>
        <v>100</v>
      </c>
      <c r="V42" s="1581" t="s">
        <v>8</v>
      </c>
      <c r="W42" s="1582">
        <f t="shared" si="12"/>
        <v>100</v>
      </c>
      <c r="X42" s="1583"/>
      <c r="Y42" s="3407"/>
      <c r="Z42" s="1584">
        <f t="shared" si="13"/>
        <v>111</v>
      </c>
      <c r="AA42" s="1580">
        <f t="shared" si="3"/>
        <v>1</v>
      </c>
      <c r="AB42" s="1580">
        <f t="shared" si="4"/>
        <v>1</v>
      </c>
      <c r="AC42" s="1580">
        <f t="shared" si="5"/>
        <v>1</v>
      </c>
    </row>
    <row r="43" spans="1:29" ht="15">
      <c r="A43" s="610" t="s">
        <v>557</v>
      </c>
      <c r="B43" s="611" t="s">
        <v>2944</v>
      </c>
      <c r="C43" s="612" t="s">
        <v>1</v>
      </c>
      <c r="D43" s="613"/>
      <c r="E43" s="614"/>
      <c r="F43" s="615"/>
      <c r="G43" s="616"/>
      <c r="H43" s="617"/>
      <c r="I43" s="614"/>
      <c r="J43" s="617"/>
      <c r="K43" s="1343"/>
      <c r="L43" s="2149"/>
      <c r="M43" s="2139"/>
      <c r="N43" s="2139"/>
      <c r="O43" s="2150"/>
      <c r="P43" s="3368" t="str">
        <f>A43</f>
        <v>成交单价</v>
      </c>
      <c r="Q43" s="3368"/>
      <c r="R43" s="3369">
        <f>E43</f>
        <v>0</v>
      </c>
      <c r="S43" s="3369"/>
      <c r="T43" s="3369">
        <f>G43</f>
        <v>0</v>
      </c>
      <c r="U43" s="3369"/>
      <c r="V43" s="3369">
        <f>I43</f>
        <v>0</v>
      </c>
      <c r="W43" s="3369"/>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9"/>
      <c r="M44" s="2139"/>
      <c r="N44" s="2139"/>
      <c r="O44" s="2150"/>
      <c r="P44" s="3368" t="str">
        <f>A44</f>
        <v>比较价格（元/平方米）</v>
      </c>
      <c r="Q44" s="3368"/>
      <c r="R44" s="3370" t="e">
        <f>ROUND(PRODUCT(R43,AA9:AA42),0)</f>
        <v>#DIV/0!</v>
      </c>
      <c r="S44" s="3370"/>
      <c r="T44" s="3370" t="e">
        <f>ROUND(PRODUCT(T43,AB9:AB42),0)</f>
        <v>#DIV/0!</v>
      </c>
      <c r="U44" s="3370"/>
      <c r="V44" s="3370" t="e">
        <f>ROUND(PRODUCT(V43,AC9:AC42),0)</f>
        <v>#DIV/0!</v>
      </c>
      <c r="W44" s="3370"/>
      <c r="X44" s="1563"/>
      <c r="Y44" s="1563"/>
      <c r="Z44" s="1563"/>
      <c r="AA44" s="1563"/>
      <c r="AB44" s="1563"/>
      <c r="AC44" s="1563"/>
    </row>
    <row r="45" spans="1:29" ht="15.75" thickBot="1">
      <c r="A45" s="624" t="s">
        <v>2945</v>
      </c>
      <c r="B45" s="625"/>
      <c r="C45" s="626" t="e">
        <f>R45</f>
        <v>#DIV/0!</v>
      </c>
      <c r="D45" s="626"/>
      <c r="E45" s="626"/>
      <c r="F45" s="626"/>
      <c r="G45" s="626"/>
      <c r="H45" s="626"/>
      <c r="I45" s="626"/>
      <c r="J45" s="626"/>
      <c r="K45" s="1345"/>
      <c r="L45" s="2149"/>
      <c r="M45" s="2139"/>
      <c r="N45" s="2139"/>
      <c r="O45" s="2150"/>
      <c r="P45" s="3365" t="str">
        <f>A45</f>
        <v>估价对象XX用房的比较价格（楼面单价，元/平方米）</v>
      </c>
      <c r="Q45" s="3366"/>
      <c r="R45" s="3367" t="e">
        <f>ROUND(AVERAGE(R44:V44),0)</f>
        <v>#DIV/0!</v>
      </c>
      <c r="S45" s="3367"/>
      <c r="T45" s="3367"/>
      <c r="U45" s="3367"/>
      <c r="V45" s="3367"/>
      <c r="W45" s="3367"/>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430" t="s">
        <v>2288</v>
      </c>
      <c r="H52" s="3431"/>
      <c r="I52" s="1957" t="s">
        <v>1949</v>
      </c>
      <c r="J52" s="1559" t="str">
        <f>项目基本情况!F41</f>
        <v>陕西省西安市</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115593.65</v>
      </c>
      <c r="F53" s="1955" t="e">
        <f t="shared" ref="F53:F62" si="15">ROUND(B53*E53/10000,0)</f>
        <v>#DIV/0!</v>
      </c>
      <c r="G53" s="3432"/>
      <c r="H53" s="3433"/>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34"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34"/>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34"/>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34"/>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47200.46</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33220.35</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2017-10-1</v>
      </c>
      <c r="D65" s="2830">
        <f>EDATE(C65,-3)</f>
        <v>42917</v>
      </c>
      <c r="E65" s="2830">
        <f t="shared" ref="E65:N65" si="18">EDATE(D65,-3)</f>
        <v>42826</v>
      </c>
      <c r="F65" s="2830">
        <f t="shared" si="18"/>
        <v>42736</v>
      </c>
      <c r="G65" s="2830">
        <f t="shared" si="18"/>
        <v>42644</v>
      </c>
      <c r="H65" s="2830">
        <f t="shared" si="18"/>
        <v>42552</v>
      </c>
      <c r="I65" s="2830">
        <f t="shared" si="18"/>
        <v>42461</v>
      </c>
      <c r="J65" s="2830">
        <f t="shared" si="18"/>
        <v>42370</v>
      </c>
      <c r="K65" s="2830">
        <f t="shared" si="18"/>
        <v>42278</v>
      </c>
      <c r="L65" s="2830">
        <f t="shared" si="18"/>
        <v>42186</v>
      </c>
      <c r="M65" s="2830">
        <f t="shared" si="18"/>
        <v>42095</v>
      </c>
      <c r="N65" s="2830">
        <f t="shared" si="18"/>
        <v>42005</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2658</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8" priority="14" stopIfTrue="1" operator="containsText" text="超过">
      <formula>NOT(ISERROR(SEARCH("超过",F48)))</formula>
    </cfRule>
  </conditionalFormatting>
  <conditionalFormatting sqref="J50">
    <cfRule type="containsText" dxfId="97" priority="13" stopIfTrue="1" operator="containsText" text="超过">
      <formula>NOT(ISERROR(SEARCH("超过",J50)))</formula>
    </cfRule>
  </conditionalFormatting>
  <conditionalFormatting sqref="H50">
    <cfRule type="containsText" dxfId="96" priority="12" stopIfTrue="1" operator="containsText" text="超过">
      <formula>NOT(ISERROR(SEARCH("超过",H50)))</formula>
    </cfRule>
  </conditionalFormatting>
  <conditionalFormatting sqref="F50">
    <cfRule type="containsText" dxfId="95" priority="11" stopIfTrue="1" operator="containsText" text="超过">
      <formula>NOT(ISERROR(SEARCH("超过",F50)))</formula>
    </cfRule>
  </conditionalFormatting>
  <conditionalFormatting sqref="F49 H49 J49">
    <cfRule type="containsText" dxfId="94" priority="10" stopIfTrue="1" operator="containsText" text="超过">
      <formula>NOT(ISERROR(SEARCH("超过",F49)))</formula>
    </cfRule>
  </conditionalFormatting>
  <conditionalFormatting sqref="E48">
    <cfRule type="expression" dxfId="93" priority="9" stopIfTrue="1">
      <formula>$F$48="超过30%"</formula>
    </cfRule>
  </conditionalFormatting>
  <conditionalFormatting sqref="G50">
    <cfRule type="expression" dxfId="92" priority="8" stopIfTrue="1">
      <formula>$H$50="超过30%"</formula>
    </cfRule>
  </conditionalFormatting>
  <conditionalFormatting sqref="E50">
    <cfRule type="expression" dxfId="91" priority="6" stopIfTrue="1">
      <formula>$F$50="超过30%"</formula>
    </cfRule>
  </conditionalFormatting>
  <conditionalFormatting sqref="G48">
    <cfRule type="expression" dxfId="90" priority="5" stopIfTrue="1">
      <formula>$H$48="超过30%"</formula>
    </cfRule>
  </conditionalFormatting>
  <conditionalFormatting sqref="G49">
    <cfRule type="expression" dxfId="89" priority="4" stopIfTrue="1">
      <formula>$H$49="超过20%"</formula>
    </cfRule>
  </conditionalFormatting>
  <conditionalFormatting sqref="I48">
    <cfRule type="expression" dxfId="88" priority="3" stopIfTrue="1">
      <formula>$J$48="超过30%"</formula>
    </cfRule>
  </conditionalFormatting>
  <conditionalFormatting sqref="I49">
    <cfRule type="expression" dxfId="87" priority="2" stopIfTrue="1">
      <formula>$J$49="超过20%"</formula>
    </cfRule>
  </conditionalFormatting>
  <conditionalFormatting sqref="I50">
    <cfRule type="expression" dxfId="86" priority="1" stopIfTrue="1">
      <formula>$J$50="超过30%"</formula>
    </cfRule>
  </conditionalFormatting>
  <conditionalFormatting sqref="E49">
    <cfRule type="expression" dxfId="8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7" t="s">
        <v>2771</v>
      </c>
      <c r="S1" s="2967" t="s">
        <v>2772</v>
      </c>
      <c r="T1" s="2967" t="s">
        <v>2793</v>
      </c>
      <c r="U1" s="2967" t="s">
        <v>2794</v>
      </c>
      <c r="V1" s="2967" t="s">
        <v>2795</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2946</v>
      </c>
      <c r="G3" s="1042">
        <f>IF(F3="宗地容积率",'数据-汇总表'!I4,IF(F3="估价对象容积率",'数据-汇总表'!I6,'数据-汇总表'!I7))</f>
        <v>3.49</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44"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2774</v>
      </c>
      <c r="X7" s="2958">
        <f>G2</f>
        <v>0</v>
      </c>
      <c r="Y7" s="2958" t="s">
        <v>2775</v>
      </c>
      <c r="Z7" s="2959">
        <f>G3</f>
        <v>3.49</v>
      </c>
      <c r="AA7" s="2197"/>
      <c r="AB7" s="2197"/>
      <c r="AC7" s="2198"/>
      <c r="AD7" s="2960"/>
      <c r="AE7" s="2960"/>
      <c r="AF7" s="2960"/>
      <c r="AG7" s="2960"/>
      <c r="AH7" s="2960"/>
      <c r="AI7" s="2960"/>
      <c r="AJ7" s="2961"/>
    </row>
    <row r="8" spans="1:39" ht="15">
      <c r="A8" s="3445"/>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36" t="s">
        <v>2792</v>
      </c>
      <c r="X8" s="3437"/>
      <c r="Y8" s="1854" t="s">
        <v>2776</v>
      </c>
      <c r="Z8" s="1854" t="s">
        <v>2777</v>
      </c>
      <c r="AA8" s="1854" t="s">
        <v>2778</v>
      </c>
      <c r="AB8" s="1854" t="s">
        <v>2779</v>
      </c>
      <c r="AC8" s="1854" t="s">
        <v>2780</v>
      </c>
      <c r="AD8" s="1854" t="s">
        <v>2781</v>
      </c>
      <c r="AE8" s="1854" t="s">
        <v>2782</v>
      </c>
      <c r="AF8" s="1854" t="s">
        <v>2783</v>
      </c>
      <c r="AG8" s="1854" t="s">
        <v>2784</v>
      </c>
      <c r="AH8" s="1854" t="s">
        <v>2785</v>
      </c>
      <c r="AI8" s="1854" t="s">
        <v>2786</v>
      </c>
      <c r="AJ8" s="1854" t="s">
        <v>2787</v>
      </c>
    </row>
    <row r="9" spans="1:39" ht="15">
      <c r="A9" s="3445"/>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35" t="s">
        <v>2788</v>
      </c>
      <c r="X9" s="2962" t="s">
        <v>2789</v>
      </c>
      <c r="Y9" s="3130"/>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45"/>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35"/>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45"/>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35" t="s">
        <v>2790</v>
      </c>
      <c r="X11" s="1051" t="s">
        <v>2775</v>
      </c>
      <c r="Y11" s="1657">
        <f>$G$3</f>
        <v>3.49</v>
      </c>
      <c r="Z11" s="1657">
        <f t="shared" ref="Z11:AJ11" si="3">$G$3</f>
        <v>3.49</v>
      </c>
      <c r="AA11" s="1657">
        <f t="shared" si="3"/>
        <v>3.49</v>
      </c>
      <c r="AB11" s="1657">
        <f t="shared" si="3"/>
        <v>3.49</v>
      </c>
      <c r="AC11" s="1657">
        <f t="shared" si="3"/>
        <v>3.49</v>
      </c>
      <c r="AD11" s="1657">
        <f t="shared" si="3"/>
        <v>3.49</v>
      </c>
      <c r="AE11" s="1657">
        <f t="shared" si="3"/>
        <v>3.49</v>
      </c>
      <c r="AF11" s="1657">
        <f t="shared" si="3"/>
        <v>3.49</v>
      </c>
      <c r="AG11" s="1657">
        <f t="shared" si="3"/>
        <v>3.49</v>
      </c>
      <c r="AH11" s="1657">
        <f t="shared" si="3"/>
        <v>3.49</v>
      </c>
      <c r="AI11" s="1657">
        <f t="shared" si="3"/>
        <v>3.49</v>
      </c>
      <c r="AJ11" s="1657">
        <f t="shared" si="3"/>
        <v>3.49</v>
      </c>
    </row>
    <row r="12" spans="1:39" ht="25.5" thickBot="1">
      <c r="A12" s="3444"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35"/>
      <c r="X12" s="2965" t="s">
        <v>2791</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46"/>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8">
        <v>12</v>
      </c>
      <c r="S13" s="2957"/>
      <c r="T13" s="2968" t="e">
        <f t="shared" si="0"/>
        <v>#DIV/0!</v>
      </c>
      <c r="U13" s="2957"/>
      <c r="V13" s="2968" t="e">
        <f t="shared" si="1"/>
        <v>#DIV/0!</v>
      </c>
      <c r="W13" s="3435"/>
      <c r="X13" s="2965"/>
      <c r="Y13" s="2964">
        <f>(-0.163*(Y12^2)-0.59*Y12+7617)*(10^(-4))/Y11</f>
        <v>0.21825214899713466</v>
      </c>
      <c r="Z13" s="2964">
        <f t="shared" ref="Z13:AJ13" si="5">(-0.163*(Z12^2)-0.59*Z12+7617)*(10^(-4))/Z11</f>
        <v>0.21825214899713466</v>
      </c>
      <c r="AA13" s="2964">
        <f t="shared" si="5"/>
        <v>0.21825214899713466</v>
      </c>
      <c r="AB13" s="2964">
        <f t="shared" si="5"/>
        <v>0.21825214899713466</v>
      </c>
      <c r="AC13" s="2964">
        <f t="shared" si="5"/>
        <v>0.21825214899713466</v>
      </c>
      <c r="AD13" s="2964">
        <f t="shared" si="5"/>
        <v>0.21825214899713466</v>
      </c>
      <c r="AE13" s="2964">
        <f t="shared" si="5"/>
        <v>0.21825214899713466</v>
      </c>
      <c r="AF13" s="2964">
        <f t="shared" si="5"/>
        <v>0.21825214899713466</v>
      </c>
      <c r="AG13" s="2964">
        <f t="shared" si="5"/>
        <v>0.21825214899713466</v>
      </c>
      <c r="AH13" s="2964">
        <f t="shared" si="5"/>
        <v>0.21825214899713466</v>
      </c>
      <c r="AI13" s="2964">
        <f t="shared" si="5"/>
        <v>0.21825214899713466</v>
      </c>
      <c r="AJ13" s="2964">
        <f t="shared" si="5"/>
        <v>0.21825214899713466</v>
      </c>
    </row>
    <row r="14" spans="1:39" ht="12.75" customHeight="1" thickBot="1">
      <c r="A14" s="3446"/>
      <c r="B14" s="1455"/>
      <c r="C14" s="1456"/>
      <c r="D14" s="1457"/>
      <c r="E14" s="1457"/>
      <c r="F14" s="1458"/>
      <c r="G14" s="1459" t="s">
        <v>950</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47"/>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8">
        <v>14</v>
      </c>
      <c r="S15" s="2957"/>
      <c r="T15" s="2968" t="e">
        <f t="shared" si="0"/>
        <v>#DIV/0!</v>
      </c>
      <c r="U15" s="2957"/>
      <c r="V15" s="2968" t="e">
        <f t="shared" si="1"/>
        <v>#DIV/0!</v>
      </c>
      <c r="W15" s="2194"/>
      <c r="X15" s="2194"/>
      <c r="Y15" s="2194"/>
      <c r="Z15" s="2194"/>
      <c r="AA15" s="2194"/>
      <c r="AB15" s="2194"/>
      <c r="AC15" s="2195"/>
    </row>
    <row r="16" spans="1:39" ht="24">
      <c r="A16" s="3444"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45"/>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43020</v>
      </c>
      <c r="H19" s="1479" t="s">
        <v>2947</v>
      </c>
      <c r="I19" s="2815" t="str">
        <f>IF(H19="季度增幅（自定义）",SUMIF(N21:N24,E2,O21:O24),"")</f>
        <v/>
      </c>
      <c r="J19" s="1475"/>
      <c r="K19" s="1485"/>
      <c r="L19" s="3071" t="s">
        <v>2850</v>
      </c>
      <c r="M19" s="3072">
        <f>ROUND(SUMIF(地价!B2:F2,E2,地价!B20:F20),0)</f>
        <v>0</v>
      </c>
      <c r="N19" s="2817" t="s">
        <v>1678</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7">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3" t="s">
        <v>2851</v>
      </c>
      <c r="M20" s="3074">
        <f>ROUND(SUMPRODUCT((地价!A5:A20=YEAR(G19)&amp;"-"&amp;ROUNDUP(MONTH(G19)/3,0))*(地价!B2:F2=E2)*(地价!B5:F20)),0)</f>
        <v>0</v>
      </c>
      <c r="N20" s="2820" t="s">
        <v>2654</v>
      </c>
      <c r="O20" s="2818" t="s">
        <v>2653</v>
      </c>
      <c r="P20" s="2819" t="s">
        <v>2659</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3.4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8" t="s">
        <v>2657</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50" t="s">
        <v>2974</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51"/>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51"/>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52"/>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9" t="s">
        <v>2949</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8" t="s">
        <v>2948</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9" t="s">
        <v>2950</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8" t="s">
        <v>2948</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8" t="s">
        <v>2948</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28" t="s">
        <v>2948</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48" t="s">
        <v>1635</v>
      </c>
      <c r="B90" s="3448"/>
      <c r="C90" s="3448"/>
      <c r="D90" s="3448"/>
      <c r="E90" s="3448"/>
      <c r="F90" s="3448"/>
      <c r="G90" s="3448"/>
      <c r="H90" s="3448"/>
      <c r="I90" s="3448"/>
      <c r="J90" s="3448"/>
      <c r="K90" s="2479"/>
      <c r="L90" s="2479"/>
      <c r="M90" s="2479"/>
      <c r="N90" s="2479"/>
    </row>
    <row r="91" spans="1:40">
      <c r="A91" s="3449" t="s">
        <v>1445</v>
      </c>
      <c r="B91" s="3449" t="s">
        <v>1636</v>
      </c>
      <c r="C91" s="1143" t="s">
        <v>1637</v>
      </c>
      <c r="D91" s="1144"/>
      <c r="E91" s="1144"/>
      <c r="F91" s="1144"/>
      <c r="G91" s="1144"/>
      <c r="H91" s="1144"/>
      <c r="I91" s="1144"/>
      <c r="J91" s="1145"/>
      <c r="K91" s="1137"/>
      <c r="L91" s="1137"/>
      <c r="M91" s="1137"/>
      <c r="N91" s="1137"/>
    </row>
    <row r="92" spans="1:40">
      <c r="A92" s="3449"/>
      <c r="B92" s="3449"/>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38"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9"/>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8" t="s">
        <v>1639</v>
      </c>
      <c r="B101" s="1150" t="s">
        <v>907</v>
      </c>
      <c r="C101" s="1151">
        <f>$G$3</f>
        <v>3.49</v>
      </c>
      <c r="D101" s="1151">
        <f t="shared" ref="D101:N101" si="31">$G$3</f>
        <v>3.49</v>
      </c>
      <c r="E101" s="1151">
        <f t="shared" si="31"/>
        <v>3.49</v>
      </c>
      <c r="F101" s="1151">
        <f t="shared" si="31"/>
        <v>3.49</v>
      </c>
      <c r="G101" s="1151">
        <f t="shared" si="31"/>
        <v>3.49</v>
      </c>
      <c r="H101" s="1151">
        <f t="shared" si="31"/>
        <v>3.49</v>
      </c>
      <c r="I101" s="1151">
        <f t="shared" si="31"/>
        <v>3.49</v>
      </c>
      <c r="J101" s="1151">
        <f t="shared" si="31"/>
        <v>3.49</v>
      </c>
      <c r="K101" s="1151">
        <f t="shared" si="31"/>
        <v>3.49</v>
      </c>
      <c r="L101" s="1151">
        <f t="shared" si="31"/>
        <v>3.49</v>
      </c>
      <c r="M101" s="1151">
        <f t="shared" si="31"/>
        <v>3.49</v>
      </c>
      <c r="N101" s="1151">
        <f t="shared" si="31"/>
        <v>3.49</v>
      </c>
    </row>
    <row r="102" spans="1:14">
      <c r="A102" s="3439"/>
      <c r="B102" s="1146">
        <v>1</v>
      </c>
      <c r="C102" s="1147">
        <f>1.9362/C101</f>
        <v>0.55478510028653294</v>
      </c>
      <c r="D102" s="1147">
        <f>1.9362/D101</f>
        <v>0.55478510028653294</v>
      </c>
      <c r="E102" s="1147">
        <f>1.8629/E101</f>
        <v>0.53378223495702004</v>
      </c>
      <c r="F102" s="1147">
        <f>1.8629/F101</f>
        <v>0.53378223495702004</v>
      </c>
      <c r="G102" s="1147">
        <f>1.8629/G101</f>
        <v>0.53378223495702004</v>
      </c>
      <c r="H102" s="1147">
        <f>1.8629/H101</f>
        <v>0.53378223495702004</v>
      </c>
      <c r="I102" s="1147">
        <f>1.8629/I101</f>
        <v>0.53378223495702004</v>
      </c>
      <c r="J102" s="1147">
        <f>1.942/J101</f>
        <v>0.55644699140401144</v>
      </c>
      <c r="K102" s="1147">
        <f>1.942/K101</f>
        <v>0.55644699140401144</v>
      </c>
      <c r="L102" s="1147">
        <f>1.942/L101</f>
        <v>0.55644699140401144</v>
      </c>
      <c r="M102" s="1147">
        <f>1.942/M101</f>
        <v>0.55644699140401144</v>
      </c>
      <c r="N102" s="1147">
        <f>1.942/N101</f>
        <v>0.55644699140401144</v>
      </c>
    </row>
    <row r="103" spans="1:14">
      <c r="A103" s="3439"/>
      <c r="B103" s="1146">
        <v>2</v>
      </c>
      <c r="C103" s="1147">
        <f>1.4198/C101</f>
        <v>0.40681948424068765</v>
      </c>
      <c r="D103" s="1147">
        <f>1.4198/D101</f>
        <v>0.40681948424068765</v>
      </c>
      <c r="E103" s="1147">
        <f>1.3372/E101</f>
        <v>0.38315186246418337</v>
      </c>
      <c r="F103" s="1147">
        <f>1.3372/F101</f>
        <v>0.38315186246418337</v>
      </c>
      <c r="G103" s="1147">
        <f>1.3372/G101</f>
        <v>0.38315186246418337</v>
      </c>
      <c r="H103" s="1147">
        <f>1.3372/H101</f>
        <v>0.38315186246418337</v>
      </c>
      <c r="I103" s="1147">
        <f>1.3372/I101</f>
        <v>0.38315186246418337</v>
      </c>
      <c r="J103" s="1147">
        <f>1.2799/J101</f>
        <v>0.36673352435530082</v>
      </c>
      <c r="K103" s="1147">
        <f>1.2799/K101</f>
        <v>0.36673352435530082</v>
      </c>
      <c r="L103" s="1147">
        <f>1.2799/L101</f>
        <v>0.36673352435530082</v>
      </c>
      <c r="M103" s="1147">
        <f>1.2799/M101</f>
        <v>0.36673352435530082</v>
      </c>
      <c r="N103" s="1147">
        <f>1.2799/N101</f>
        <v>0.36673352435530082</v>
      </c>
    </row>
    <row r="104" spans="1:14">
      <c r="A104" s="3439"/>
      <c r="B104" s="1146">
        <v>3</v>
      </c>
      <c r="C104" s="1147">
        <f>1.1594/C101</f>
        <v>0.33220630372492832</v>
      </c>
      <c r="D104" s="1147">
        <f>1.1594/D101</f>
        <v>0.33220630372492832</v>
      </c>
      <c r="E104" s="1147">
        <f>1.0788/E101</f>
        <v>0.30911174785100282</v>
      </c>
      <c r="F104" s="1147">
        <f>1.0788/F101</f>
        <v>0.30911174785100282</v>
      </c>
      <c r="G104" s="1147">
        <f>1.0788/G101</f>
        <v>0.30911174785100282</v>
      </c>
      <c r="H104" s="1147">
        <f>1.0788/H101</f>
        <v>0.30911174785100282</v>
      </c>
      <c r="I104" s="1147">
        <f>1.0788/I101</f>
        <v>0.30911174785100282</v>
      </c>
      <c r="J104" s="1147">
        <f>1.0072/J101</f>
        <v>0.28859598853868196</v>
      </c>
      <c r="K104" s="1147">
        <f>1.0072/K101</f>
        <v>0.28859598853868196</v>
      </c>
      <c r="L104" s="1147">
        <f>1.0072/L101</f>
        <v>0.28859598853868196</v>
      </c>
      <c r="M104" s="1147">
        <f>1.0072/M101</f>
        <v>0.28859598853868196</v>
      </c>
      <c r="N104" s="1147">
        <f>1.0072/N101</f>
        <v>0.28859598853868196</v>
      </c>
    </row>
    <row r="105" spans="1:14">
      <c r="A105" s="3439"/>
      <c r="B105" s="1146">
        <v>4</v>
      </c>
      <c r="C105" s="1147">
        <f>0.9622/C101</f>
        <v>0.27570200573065901</v>
      </c>
      <c r="D105" s="1147">
        <f>0.9622/D101</f>
        <v>0.27570200573065901</v>
      </c>
      <c r="E105" s="1147">
        <f>0.8656/E101</f>
        <v>0.24802292263610315</v>
      </c>
      <c r="F105" s="1147">
        <f>0.8656/F101</f>
        <v>0.24802292263610315</v>
      </c>
      <c r="G105" s="1147">
        <f>0.8656/G101</f>
        <v>0.24802292263610315</v>
      </c>
      <c r="H105" s="1147">
        <f>0.8656/H101</f>
        <v>0.24802292263610315</v>
      </c>
      <c r="I105" s="1147">
        <f>0.8656/I101</f>
        <v>0.24802292263610315</v>
      </c>
      <c r="J105" s="1147">
        <f>0.7525/J101</f>
        <v>0.21561604584527216</v>
      </c>
      <c r="K105" s="1147">
        <f>0.7525/K101</f>
        <v>0.21561604584527216</v>
      </c>
      <c r="L105" s="1147">
        <f>0.7525/L101</f>
        <v>0.21561604584527216</v>
      </c>
      <c r="M105" s="1147">
        <f>0.7525/M101</f>
        <v>0.21561604584527216</v>
      </c>
      <c r="N105" s="1147">
        <f>0.7525/N101</f>
        <v>0.21561604584527216</v>
      </c>
    </row>
    <row r="106" spans="1:14">
      <c r="A106" s="3439"/>
      <c r="B106" s="1146">
        <v>5</v>
      </c>
      <c r="C106" s="1147">
        <f>0.8417/C101</f>
        <v>0.24117478510028653</v>
      </c>
      <c r="D106" s="1147">
        <f>0.8417/D101</f>
        <v>0.24117478510028653</v>
      </c>
      <c r="E106" s="1147">
        <f>0.7371/E101</f>
        <v>0.21120343839541544</v>
      </c>
      <c r="F106" s="1147">
        <f>0.7371/F101</f>
        <v>0.21120343839541544</v>
      </c>
      <c r="G106" s="1147">
        <f>0.7371/G101</f>
        <v>0.21120343839541544</v>
      </c>
      <c r="H106" s="1147">
        <f>0.7371/H101</f>
        <v>0.21120343839541544</v>
      </c>
      <c r="I106" s="1147">
        <f>0.7371/I101</f>
        <v>0.21120343839541544</v>
      </c>
      <c r="J106" s="1147">
        <f>0.5659/J101</f>
        <v>0.16214899713467046</v>
      </c>
      <c r="K106" s="1147">
        <f>0.5659/K101</f>
        <v>0.16214899713467046</v>
      </c>
      <c r="L106" s="1147">
        <f>0.5659/L101</f>
        <v>0.16214899713467046</v>
      </c>
      <c r="M106" s="1147">
        <f>0.5659/M101</f>
        <v>0.16214899713467046</v>
      </c>
      <c r="N106" s="1147">
        <f>0.5659/N101</f>
        <v>0.16214899713467046</v>
      </c>
    </row>
    <row r="107" spans="1:14">
      <c r="A107" s="3439"/>
      <c r="B107" s="1146">
        <v>6</v>
      </c>
      <c r="C107" s="1147">
        <f>0.7608/C101</f>
        <v>0.21799426934097421</v>
      </c>
      <c r="D107" s="1147">
        <f>0.7608/D101</f>
        <v>0.21799426934097421</v>
      </c>
      <c r="E107" s="1147">
        <f>0.6482/E101</f>
        <v>0.18573065902578795</v>
      </c>
      <c r="F107" s="1147">
        <f>0.6482/F101</f>
        <v>0.18573065902578795</v>
      </c>
      <c r="G107" s="1147">
        <f>0.6482/G101</f>
        <v>0.18573065902578795</v>
      </c>
      <c r="H107" s="1147">
        <f>0.6482/H101</f>
        <v>0.18573065902578795</v>
      </c>
      <c r="I107" s="1147">
        <f>0.6482/I101</f>
        <v>0.18573065902578795</v>
      </c>
      <c r="J107" s="1147">
        <f>0.4525/J101</f>
        <v>0.12965616045845271</v>
      </c>
      <c r="K107" s="1147">
        <f>0.4525/K101</f>
        <v>0.12965616045845271</v>
      </c>
      <c r="L107" s="1147">
        <f>0.4525/L101</f>
        <v>0.12965616045845271</v>
      </c>
      <c r="M107" s="1147">
        <f>0.4525/M101</f>
        <v>0.12965616045845271</v>
      </c>
      <c r="N107" s="1147">
        <f>0.4525/N101</f>
        <v>0.12965616045845271</v>
      </c>
    </row>
    <row r="108" spans="1:14">
      <c r="A108" s="3439"/>
      <c r="B108" s="3441"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0"/>
      <c r="B109" s="3442"/>
      <c r="C109" s="1149">
        <f>(-0.163*(C108^2)-0.59*C108+7617)*(10^(-4))/C101</f>
        <v>0.21781799426934095</v>
      </c>
      <c r="D109" s="1149">
        <f>(-0.163*(D108^2)-0.59*D108+7617)*(10^(-4))/D101</f>
        <v>0.21781799426934095</v>
      </c>
      <c r="E109" s="1149">
        <f>(-0.161*(E108^2)-7.509*E108+6533)*(10^(-4))/E101</f>
        <v>0.18517547277936963</v>
      </c>
      <c r="F109" s="1149">
        <f>(-0.161*(F108^2)-7.509*F108+6533)*(10^(-4))/F101</f>
        <v>0.18517547277936963</v>
      </c>
      <c r="G109" s="1149">
        <f>(-0.161*(G108^2)-7.509*G108+6533)*(10^(-4))/G101</f>
        <v>0.18517547277936963</v>
      </c>
      <c r="H109" s="1149">
        <f>(-0.161*(H108^2)-7.509*H108+6533)*(10^(-4))/H101</f>
        <v>0.18517547277936963</v>
      </c>
      <c r="I109" s="1149">
        <f>(-0.161*(I108^2)-7.509*I108+6533)*(10^(-4))/I101</f>
        <v>0.18517547277936963</v>
      </c>
      <c r="J109" s="1149">
        <f>(-0.214*(J108^2)-21.991*J108+4665)*(10^(-4))/J101</f>
        <v>0.12823426934097421</v>
      </c>
      <c r="K109" s="1149">
        <f>(-0.214*(K108^2)-21.991*K108+4665)*(10^(-4))/K101</f>
        <v>0.12823426934097421</v>
      </c>
      <c r="L109" s="1149">
        <f>(-0.214*(L108^2)-21.991*L108+4665)*(10^(-4))/L101</f>
        <v>0.12823426934097421</v>
      </c>
      <c r="M109" s="1149">
        <f>(-0.214*(M108^2)-21.991*M108+4665)*(10^(-4))/M101</f>
        <v>0.12823426934097421</v>
      </c>
      <c r="N109" s="1149">
        <f>(-0.214*(N108^2)-21.991*N108+4665)*(10^(-4))/N101</f>
        <v>0.12823426934097421</v>
      </c>
    </row>
    <row r="110" spans="1:14">
      <c r="A110" s="3443" t="s">
        <v>1641</v>
      </c>
      <c r="B110" s="3443"/>
      <c r="C110" s="3443"/>
      <c r="D110" s="3443"/>
      <c r="E110" s="3443"/>
      <c r="F110" s="3443"/>
      <c r="G110" s="3443"/>
      <c r="H110" s="3443"/>
      <c r="I110" s="3443"/>
      <c r="J110" s="3443"/>
      <c r="K110" s="2477"/>
      <c r="L110" s="2477"/>
      <c r="M110" s="2477"/>
      <c r="N110" s="2477"/>
    </row>
    <row r="112" spans="1:14" ht="12.75" thickBot="1"/>
    <row r="113" spans="1:13" ht="25.5" thickBot="1">
      <c r="A113" s="1019" t="s">
        <v>897</v>
      </c>
      <c r="B113" s="2480">
        <f>G3</f>
        <v>3.49</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0.90069999999999995</v>
      </c>
      <c r="C115" s="1033">
        <f>B115</f>
        <v>0.90069999999999995</v>
      </c>
      <c r="D115" s="1033">
        <f>ROUND(0.8331-0.0109*B113,4)</f>
        <v>0.79510000000000003</v>
      </c>
      <c r="E115" s="1033">
        <f>D115</f>
        <v>0.79510000000000003</v>
      </c>
      <c r="F115" s="1033">
        <f>E115</f>
        <v>0.79510000000000003</v>
      </c>
      <c r="G115" s="1033">
        <f>F115</f>
        <v>0.79510000000000003</v>
      </c>
      <c r="H115" s="1033">
        <f>G115</f>
        <v>0.79510000000000003</v>
      </c>
      <c r="I115" s="1033">
        <f>ROUND(0.689-0.0155*B113,4)</f>
        <v>0.63490000000000002</v>
      </c>
      <c r="J115" s="1033">
        <f t="shared" ref="J115:M118" si="33">I115</f>
        <v>0.63490000000000002</v>
      </c>
      <c r="K115" s="1033">
        <f t="shared" si="33"/>
        <v>0.63490000000000002</v>
      </c>
      <c r="L115" s="1033">
        <f t="shared" si="33"/>
        <v>0.63490000000000002</v>
      </c>
      <c r="M115" s="1034">
        <f t="shared" si="33"/>
        <v>0.63490000000000002</v>
      </c>
    </row>
    <row r="116" spans="1:13" ht="12.75">
      <c r="A116" s="1032" t="s">
        <v>902</v>
      </c>
      <c r="B116" s="1033">
        <f>ROUND(0.949-0.012*B113,4)</f>
        <v>0.90710000000000002</v>
      </c>
      <c r="C116" s="1033">
        <f>B116</f>
        <v>0.90710000000000002</v>
      </c>
      <c r="D116" s="1033">
        <f>ROUND(0.8567-0.013*B113,4)</f>
        <v>0.81130000000000002</v>
      </c>
      <c r="E116" s="1033">
        <f t="shared" ref="E116:H117" si="34">D116</f>
        <v>0.81130000000000002</v>
      </c>
      <c r="F116" s="1033">
        <f t="shared" si="34"/>
        <v>0.81130000000000002</v>
      </c>
      <c r="G116" s="1033">
        <f t="shared" si="34"/>
        <v>0.81130000000000002</v>
      </c>
      <c r="H116" s="1033">
        <f t="shared" si="34"/>
        <v>0.81130000000000002</v>
      </c>
      <c r="I116" s="1033">
        <f>ROUND(0.7694-0.014*B113,4)</f>
        <v>0.72050000000000003</v>
      </c>
      <c r="J116" s="1033">
        <f t="shared" si="33"/>
        <v>0.72050000000000003</v>
      </c>
      <c r="K116" s="1033">
        <f t="shared" si="33"/>
        <v>0.72050000000000003</v>
      </c>
      <c r="L116" s="1033">
        <f t="shared" si="33"/>
        <v>0.72050000000000003</v>
      </c>
      <c r="M116" s="1034">
        <f t="shared" si="33"/>
        <v>0.72050000000000003</v>
      </c>
    </row>
    <row r="117" spans="1:13" ht="12.75">
      <c r="A117" s="1035" t="s">
        <v>903</v>
      </c>
      <c r="B117" s="1033">
        <f>ROUND(0.8808-0.006*B113,4)</f>
        <v>0.8599</v>
      </c>
      <c r="C117" s="1033">
        <f>B117</f>
        <v>0.8599</v>
      </c>
      <c r="D117" s="1033">
        <f>ROUND(0.8748-0.008*B113,4)</f>
        <v>0.84689999999999999</v>
      </c>
      <c r="E117" s="1033">
        <f t="shared" si="34"/>
        <v>0.84689999999999999</v>
      </c>
      <c r="F117" s="1033">
        <f t="shared" si="34"/>
        <v>0.84689999999999999</v>
      </c>
      <c r="G117" s="1033">
        <f t="shared" si="34"/>
        <v>0.84689999999999999</v>
      </c>
      <c r="H117" s="1033">
        <f t="shared" si="34"/>
        <v>0.84689999999999999</v>
      </c>
      <c r="I117" s="1033">
        <f>ROUND(0.7412-0.0095*B113,4)</f>
        <v>0.70799999999999996</v>
      </c>
      <c r="J117" s="1033">
        <f t="shared" si="33"/>
        <v>0.70799999999999996</v>
      </c>
      <c r="K117" s="1033">
        <f t="shared" si="33"/>
        <v>0.70799999999999996</v>
      </c>
      <c r="L117" s="1033">
        <f t="shared" si="33"/>
        <v>0.70799999999999996</v>
      </c>
      <c r="M117" s="1034">
        <f t="shared" si="33"/>
        <v>0.70799999999999996</v>
      </c>
    </row>
    <row r="118" spans="1:13" ht="13.5" thickBot="1">
      <c r="A118" s="1036" t="s">
        <v>904</v>
      </c>
      <c r="B118" s="1037">
        <f>ROUND(0.7275-0.01*B113,4)</f>
        <v>0.69259999999999999</v>
      </c>
      <c r="C118" s="1037">
        <f>B118</f>
        <v>0.69259999999999999</v>
      </c>
      <c r="D118" s="1037">
        <f>ROUND(0.7043-0.012*B113,4)</f>
        <v>0.66239999999999999</v>
      </c>
      <c r="E118" s="1037">
        <f>D118</f>
        <v>0.66239999999999999</v>
      </c>
      <c r="F118" s="1037">
        <f>E118</f>
        <v>0.66239999999999999</v>
      </c>
      <c r="G118" s="1037">
        <f>ROUND(0.6299-0.0122*B113,4)</f>
        <v>0.58730000000000004</v>
      </c>
      <c r="H118" s="1037">
        <f>G118</f>
        <v>0.58730000000000004</v>
      </c>
      <c r="I118" s="1037">
        <f>ROUND(0.5667-0.0136*B113,4)</f>
        <v>0.51919999999999999</v>
      </c>
      <c r="J118" s="1037">
        <f t="shared" si="33"/>
        <v>0.51919999999999999</v>
      </c>
      <c r="K118" s="1037">
        <f t="shared" si="33"/>
        <v>0.51919999999999999</v>
      </c>
      <c r="L118" s="1037">
        <f t="shared" si="33"/>
        <v>0.51919999999999999</v>
      </c>
      <c r="M118" s="1038">
        <f t="shared" si="33"/>
        <v>0.51919999999999999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4" priority="5" stopIfTrue="1" operator="notEqual">
      <formula>"——"</formula>
    </cfRule>
  </conditionalFormatting>
  <conditionalFormatting sqref="F58">
    <cfRule type="cellIs" dxfId="83" priority="4" stopIfTrue="1" operator="notEqual">
      <formula>"——"</formula>
    </cfRule>
  </conditionalFormatting>
  <conditionalFormatting sqref="F69">
    <cfRule type="cellIs" dxfId="82" priority="3" stopIfTrue="1" operator="notEqual">
      <formula>"——"</formula>
    </cfRule>
  </conditionalFormatting>
  <conditionalFormatting sqref="F80">
    <cfRule type="cellIs" dxfId="81" priority="2" stopIfTrue="1" operator="notEqual">
      <formula>"——"</formula>
    </cfRule>
  </conditionalFormatting>
  <conditionalFormatting sqref="H58:H66 H47:H55 H69:H77 H80:H87">
    <cfRule type="cellIs" dxfId="8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49" t="s">
        <v>1009</v>
      </c>
      <c r="B18" s="1157" t="s">
        <v>1448</v>
      </c>
      <c r="C18" s="1134" t="s">
        <v>1449</v>
      </c>
      <c r="D18" s="1135"/>
      <c r="E18" s="1157">
        <v>1</v>
      </c>
      <c r="F18" s="1136" t="s">
        <v>1450</v>
      </c>
      <c r="G18" s="1137"/>
      <c r="H18" s="1108"/>
      <c r="I18" s="1108"/>
    </row>
    <row r="19" spans="1:9" s="1603" customFormat="1" ht="19.5" customHeight="1">
      <c r="A19" s="3449"/>
      <c r="B19" s="3449" t="s">
        <v>1451</v>
      </c>
      <c r="C19" s="1134" t="s">
        <v>1452</v>
      </c>
      <c r="D19" s="1135"/>
      <c r="E19" s="1157">
        <v>0.9</v>
      </c>
      <c r="F19" s="1136" t="s">
        <v>1453</v>
      </c>
      <c r="G19" s="1137"/>
      <c r="H19" s="1108"/>
      <c r="I19" s="1108"/>
    </row>
    <row r="20" spans="1:9" s="1603" customFormat="1" ht="19.5" customHeight="1">
      <c r="A20" s="3449"/>
      <c r="B20" s="3449"/>
      <c r="C20" s="1134" t="s">
        <v>1454</v>
      </c>
      <c r="D20" s="1135"/>
      <c r="E20" s="1157">
        <v>1.1000000000000001</v>
      </c>
      <c r="F20" s="1136" t="s">
        <v>1455</v>
      </c>
      <c r="G20" s="1137"/>
      <c r="H20" s="1108"/>
      <c r="I20" s="1108"/>
    </row>
    <row r="21" spans="1:9" s="1603" customFormat="1" ht="19.5" customHeight="1">
      <c r="A21" s="3449"/>
      <c r="B21" s="3449"/>
      <c r="C21" s="1134" t="s">
        <v>1456</v>
      </c>
      <c r="D21" s="1135"/>
      <c r="E21" s="1157">
        <v>0.8</v>
      </c>
      <c r="F21" s="1136" t="s">
        <v>1457</v>
      </c>
      <c r="G21" s="1137"/>
      <c r="H21" s="1108"/>
      <c r="I21" s="1108"/>
    </row>
    <row r="22" spans="1:9" s="1603" customFormat="1" ht="19.5" customHeight="1">
      <c r="A22" s="3449"/>
      <c r="B22" s="3449"/>
      <c r="C22" s="1134" t="s">
        <v>1458</v>
      </c>
      <c r="D22" s="1135"/>
      <c r="E22" s="1157">
        <v>0.5</v>
      </c>
      <c r="F22" s="1136"/>
      <c r="G22" s="1137"/>
      <c r="H22" s="1108"/>
      <c r="I22" s="1108"/>
    </row>
    <row r="23" spans="1:9" s="1603" customFormat="1" ht="19.5" customHeight="1">
      <c r="A23" s="3449" t="s">
        <v>1031</v>
      </c>
      <c r="B23" s="1157" t="s">
        <v>1448</v>
      </c>
      <c r="C23" s="1134" t="s">
        <v>1459</v>
      </c>
      <c r="D23" s="1135"/>
      <c r="E23" s="1157">
        <v>1</v>
      </c>
      <c r="F23" s="1136" t="s">
        <v>1460</v>
      </c>
      <c r="G23" s="1137"/>
      <c r="H23" s="1108"/>
      <c r="I23" s="1108"/>
    </row>
    <row r="24" spans="1:9" s="1603" customFormat="1" ht="19.5" customHeight="1">
      <c r="A24" s="3449"/>
      <c r="B24" s="3449" t="s">
        <v>1451</v>
      </c>
      <c r="C24" s="1134" t="s">
        <v>1461</v>
      </c>
      <c r="D24" s="1135"/>
      <c r="E24" s="1157">
        <v>0.5</v>
      </c>
      <c r="F24" s="1136"/>
      <c r="G24" s="1137"/>
      <c r="H24" s="1108"/>
      <c r="I24" s="1108"/>
    </row>
    <row r="25" spans="1:9" s="1603" customFormat="1" ht="19.5" customHeight="1">
      <c r="A25" s="3449"/>
      <c r="B25" s="3449"/>
      <c r="C25" s="1134" t="s">
        <v>1462</v>
      </c>
      <c r="D25" s="1135"/>
      <c r="E25" s="1157">
        <v>1.1000000000000001</v>
      </c>
      <c r="F25" s="1136"/>
      <c r="G25" s="1137"/>
      <c r="H25" s="1108"/>
      <c r="I25" s="1108"/>
    </row>
    <row r="26" spans="1:9" s="1603" customFormat="1" ht="19.5" customHeight="1">
      <c r="A26" s="3449"/>
      <c r="B26" s="3449"/>
      <c r="C26" s="1134" t="s">
        <v>1463</v>
      </c>
      <c r="D26" s="1135"/>
      <c r="E26" s="1157">
        <v>1.1000000000000001</v>
      </c>
      <c r="F26" s="1136"/>
      <c r="G26" s="1137"/>
      <c r="H26" s="1108"/>
      <c r="I26" s="1108"/>
    </row>
    <row r="27" spans="1:9" s="1603" customFormat="1" ht="19.5" customHeight="1">
      <c r="A27" s="3449"/>
      <c r="B27" s="3449"/>
      <c r="C27" s="1134" t="s">
        <v>1464</v>
      </c>
      <c r="D27" s="1135"/>
      <c r="E27" s="1157">
        <v>0.9</v>
      </c>
      <c r="F27" s="1136" t="s">
        <v>1465</v>
      </c>
      <c r="G27" s="1137"/>
      <c r="H27" s="1108"/>
      <c r="I27" s="1108"/>
    </row>
    <row r="28" spans="1:9" s="1603" customFormat="1" ht="19.5" customHeight="1">
      <c r="A28" s="3449"/>
      <c r="B28" s="3449"/>
      <c r="C28" s="1134" t="s">
        <v>1466</v>
      </c>
      <c r="D28" s="1135"/>
      <c r="E28" s="1157">
        <v>0.9</v>
      </c>
      <c r="F28" s="1136" t="s">
        <v>1467</v>
      </c>
      <c r="G28" s="1137"/>
      <c r="H28" s="1108"/>
      <c r="I28" s="1108"/>
    </row>
    <row r="29" spans="1:9" s="1603" customFormat="1" ht="19.5" customHeight="1">
      <c r="A29" s="3449"/>
      <c r="B29" s="3449"/>
      <c r="C29" s="1134" t="s">
        <v>1468</v>
      </c>
      <c r="D29" s="1135"/>
      <c r="E29" s="1157">
        <v>0.9</v>
      </c>
      <c r="F29" s="1136" t="s">
        <v>1469</v>
      </c>
      <c r="G29" s="1137"/>
      <c r="H29" s="1108"/>
      <c r="I29" s="1108"/>
    </row>
    <row r="30" spans="1:9" s="1603" customFormat="1" ht="19.5" customHeight="1">
      <c r="A30" s="3449"/>
      <c r="B30" s="3449"/>
      <c r="C30" s="1134" t="s">
        <v>1470</v>
      </c>
      <c r="D30" s="1135"/>
      <c r="E30" s="1157">
        <v>0.9</v>
      </c>
      <c r="F30" s="1136" t="s">
        <v>1471</v>
      </c>
      <c r="G30" s="1137"/>
      <c r="H30" s="1108"/>
      <c r="I30" s="1108"/>
    </row>
    <row r="31" spans="1:9" s="1603" customFormat="1" ht="19.5" customHeight="1">
      <c r="A31" s="3449"/>
      <c r="B31" s="3449"/>
      <c r="C31" s="1134" t="s">
        <v>1472</v>
      </c>
      <c r="D31" s="1135"/>
      <c r="E31" s="1157">
        <v>0.8</v>
      </c>
      <c r="F31" s="1136" t="s">
        <v>1473</v>
      </c>
      <c r="G31" s="1137"/>
      <c r="H31" s="1108"/>
      <c r="I31" s="1108"/>
    </row>
    <row r="32" spans="1:9" s="1603" customFormat="1" ht="19.5" customHeight="1">
      <c r="A32" s="3449"/>
      <c r="B32" s="3449"/>
      <c r="C32" s="1134" t="s">
        <v>1474</v>
      </c>
      <c r="D32" s="1135"/>
      <c r="E32" s="1157">
        <v>0.8</v>
      </c>
      <c r="F32" s="1136" t="s">
        <v>1475</v>
      </c>
      <c r="G32" s="1137"/>
      <c r="H32" s="1108"/>
      <c r="I32" s="1108"/>
    </row>
    <row r="33" spans="1:9" s="1603" customFormat="1" ht="19.5" customHeight="1">
      <c r="A33" s="3449" t="s">
        <v>1476</v>
      </c>
      <c r="B33" s="1157" t="s">
        <v>1448</v>
      </c>
      <c r="C33" s="1134" t="s">
        <v>1477</v>
      </c>
      <c r="D33" s="1135"/>
      <c r="E33" s="1157">
        <v>1</v>
      </c>
      <c r="F33" s="1136" t="s">
        <v>1478</v>
      </c>
      <c r="G33" s="1137"/>
      <c r="H33" s="1108"/>
      <c r="I33" s="1108"/>
    </row>
    <row r="34" spans="1:9" s="1603" customFormat="1" ht="19.5" customHeight="1">
      <c r="A34" s="3449"/>
      <c r="B34" s="1157" t="s">
        <v>1451</v>
      </c>
      <c r="C34" s="1134" t="s">
        <v>1479</v>
      </c>
      <c r="D34" s="1135"/>
      <c r="E34" s="1157">
        <v>1.5</v>
      </c>
      <c r="F34" s="1136" t="s">
        <v>1480</v>
      </c>
      <c r="G34" s="1137"/>
      <c r="H34" s="1108"/>
      <c r="I34" s="1108"/>
    </row>
    <row r="35" spans="1:9" s="1603" customFormat="1" ht="19.5" customHeight="1">
      <c r="A35" s="3449" t="s">
        <v>1434</v>
      </c>
      <c r="B35" s="1157" t="s">
        <v>1448</v>
      </c>
      <c r="C35" s="1134" t="s">
        <v>1481</v>
      </c>
      <c r="D35" s="1135"/>
      <c r="E35" s="1157">
        <v>1</v>
      </c>
      <c r="F35" s="1136" t="s">
        <v>1482</v>
      </c>
      <c r="G35" s="1137"/>
      <c r="H35" s="1108"/>
      <c r="I35" s="1108"/>
    </row>
    <row r="36" spans="1:9" s="1603" customFormat="1" ht="19.5" customHeight="1">
      <c r="A36" s="3449"/>
      <c r="B36" s="3449" t="s">
        <v>1451</v>
      </c>
      <c r="C36" s="1134" t="s">
        <v>1483</v>
      </c>
      <c r="D36" s="1135"/>
      <c r="E36" s="1157">
        <v>1</v>
      </c>
      <c r="F36" s="1136" t="s">
        <v>1484</v>
      </c>
      <c r="G36" s="1137"/>
      <c r="H36" s="1108"/>
      <c r="I36" s="1108"/>
    </row>
    <row r="37" spans="1:9" s="1603" customFormat="1" ht="19.5" customHeight="1">
      <c r="A37" s="3449"/>
      <c r="B37" s="3449"/>
      <c r="C37" s="1134" t="s">
        <v>1485</v>
      </c>
      <c r="D37" s="1135"/>
      <c r="E37" s="1157">
        <v>1.5</v>
      </c>
      <c r="F37" s="1136" t="s">
        <v>1486</v>
      </c>
      <c r="G37" s="1137"/>
      <c r="H37" s="1108"/>
      <c r="I37" s="1108"/>
    </row>
    <row r="38" spans="1:9" s="1603" customFormat="1" ht="19.5" customHeight="1">
      <c r="A38" s="3449"/>
      <c r="B38" s="3449"/>
      <c r="C38" s="1134" t="s">
        <v>1487</v>
      </c>
      <c r="D38" s="1135"/>
      <c r="E38" s="1157">
        <v>1</v>
      </c>
      <c r="F38" s="1136" t="s">
        <v>1488</v>
      </c>
      <c r="G38" s="1137"/>
      <c r="H38" s="1108"/>
      <c r="I38" s="1108"/>
    </row>
    <row r="39" spans="1:9" s="1603" customFormat="1" ht="19.5" customHeight="1">
      <c r="A39" s="3449"/>
      <c r="B39" s="3449"/>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49" t="s">
        <v>1503</v>
      </c>
      <c r="C61" s="1071" t="s">
        <v>1504</v>
      </c>
      <c r="D61" s="1071" t="s">
        <v>1505</v>
      </c>
      <c r="E61" s="1142">
        <v>0.5</v>
      </c>
      <c r="F61" s="1157">
        <v>80</v>
      </c>
      <c r="H61" s="1108">
        <f>SUMIF(C59:C119,基准地价!C8,E59:E119)</f>
        <v>0</v>
      </c>
    </row>
    <row r="62" spans="1:8" s="1108" customFormat="1" ht="24">
      <c r="A62" s="1157">
        <v>2</v>
      </c>
      <c r="B62" s="3449"/>
      <c r="C62" s="1071" t="s">
        <v>1506</v>
      </c>
      <c r="D62" s="1071" t="s">
        <v>1507</v>
      </c>
      <c r="E62" s="1142">
        <v>0.5</v>
      </c>
      <c r="F62" s="1157">
        <v>80</v>
      </c>
    </row>
    <row r="63" spans="1:8" s="1108" customFormat="1" ht="36">
      <c r="A63" s="1157">
        <v>3</v>
      </c>
      <c r="B63" s="3449"/>
      <c r="C63" s="1071" t="s">
        <v>1508</v>
      </c>
      <c r="D63" s="1071" t="s">
        <v>1509</v>
      </c>
      <c r="E63" s="1142">
        <v>0.5</v>
      </c>
      <c r="F63" s="1157">
        <v>80</v>
      </c>
    </row>
    <row r="64" spans="1:8" s="1108" customFormat="1" ht="36">
      <c r="A64" s="1157">
        <v>4</v>
      </c>
      <c r="B64" s="3449"/>
      <c r="C64" s="1071" t="s">
        <v>1510</v>
      </c>
      <c r="D64" s="1071" t="s">
        <v>1511</v>
      </c>
      <c r="E64" s="1142">
        <v>0.4</v>
      </c>
      <c r="F64" s="1157">
        <v>60</v>
      </c>
    </row>
    <row r="65" spans="1:6" s="1108" customFormat="1" ht="36">
      <c r="A65" s="1157">
        <v>5</v>
      </c>
      <c r="B65" s="3449"/>
      <c r="C65" s="1071" t="s">
        <v>1512</v>
      </c>
      <c r="D65" s="1071" t="s">
        <v>1513</v>
      </c>
      <c r="E65" s="1142">
        <v>0.2</v>
      </c>
      <c r="F65" s="1157">
        <v>30</v>
      </c>
    </row>
    <row r="66" spans="1:6" s="1108" customFormat="1" ht="36">
      <c r="A66" s="1157">
        <v>6</v>
      </c>
      <c r="B66" s="3449"/>
      <c r="C66" s="1071" t="s">
        <v>1514</v>
      </c>
      <c r="D66" s="1071" t="s">
        <v>1515</v>
      </c>
      <c r="E66" s="1142">
        <v>0.3</v>
      </c>
      <c r="F66" s="1157">
        <v>50</v>
      </c>
    </row>
    <row r="67" spans="1:6" s="1108" customFormat="1" ht="36">
      <c r="A67" s="1157">
        <v>7</v>
      </c>
      <c r="B67" s="3449"/>
      <c r="C67" s="1071" t="s">
        <v>1516</v>
      </c>
      <c r="D67" s="1071" t="s">
        <v>1517</v>
      </c>
      <c r="E67" s="1142">
        <v>0.2</v>
      </c>
      <c r="F67" s="1157">
        <v>30</v>
      </c>
    </row>
    <row r="68" spans="1:6" s="1108" customFormat="1" ht="36">
      <c r="A68" s="1157">
        <v>8</v>
      </c>
      <c r="B68" s="3449"/>
      <c r="C68" s="1071" t="s">
        <v>1518</v>
      </c>
      <c r="D68" s="1071" t="s">
        <v>1519</v>
      </c>
      <c r="E68" s="1142">
        <v>0.2</v>
      </c>
      <c r="F68" s="1157">
        <v>30</v>
      </c>
    </row>
    <row r="69" spans="1:6" s="1108" customFormat="1" ht="36">
      <c r="A69" s="1157">
        <v>9</v>
      </c>
      <c r="B69" s="3449"/>
      <c r="C69" s="1071" t="s">
        <v>1520</v>
      </c>
      <c r="D69" s="1071" t="s">
        <v>1521</v>
      </c>
      <c r="E69" s="1142">
        <v>0.2</v>
      </c>
      <c r="F69" s="1157">
        <v>30</v>
      </c>
    </row>
    <row r="70" spans="1:6" s="1108" customFormat="1" ht="48">
      <c r="A70" s="1157">
        <v>10</v>
      </c>
      <c r="B70" s="3449"/>
      <c r="C70" s="1071" t="s">
        <v>1522</v>
      </c>
      <c r="D70" s="1071" t="s">
        <v>1523</v>
      </c>
      <c r="E70" s="1142">
        <v>0.2</v>
      </c>
      <c r="F70" s="1157">
        <v>30</v>
      </c>
    </row>
    <row r="71" spans="1:6" s="1108" customFormat="1" ht="48">
      <c r="A71" s="1157">
        <v>11</v>
      </c>
      <c r="B71" s="3449"/>
      <c r="C71" s="1071" t="s">
        <v>1524</v>
      </c>
      <c r="D71" s="1071" t="s">
        <v>1525</v>
      </c>
      <c r="E71" s="1142">
        <v>0.2</v>
      </c>
      <c r="F71" s="1157">
        <v>30</v>
      </c>
    </row>
    <row r="72" spans="1:6" s="1108" customFormat="1" ht="36">
      <c r="A72" s="1157">
        <v>12</v>
      </c>
      <c r="B72" s="3449"/>
      <c r="C72" s="1071" t="s">
        <v>1526</v>
      </c>
      <c r="D72" s="1071" t="s">
        <v>1527</v>
      </c>
      <c r="E72" s="1142">
        <v>0.5</v>
      </c>
      <c r="F72" s="1157">
        <v>80</v>
      </c>
    </row>
    <row r="73" spans="1:6" s="1108" customFormat="1" ht="24">
      <c r="A73" s="1157">
        <v>13</v>
      </c>
      <c r="B73" s="3449"/>
      <c r="C73" s="1071" t="s">
        <v>1528</v>
      </c>
      <c r="D73" s="1071" t="s">
        <v>1529</v>
      </c>
      <c r="E73" s="1142">
        <v>0.4</v>
      </c>
      <c r="F73" s="1157">
        <v>60</v>
      </c>
    </row>
    <row r="74" spans="1:6" s="1108" customFormat="1" ht="24">
      <c r="A74" s="1157">
        <v>14</v>
      </c>
      <c r="B74" s="3449"/>
      <c r="C74" s="1071" t="s">
        <v>1530</v>
      </c>
      <c r="D74" s="1071" t="s">
        <v>1531</v>
      </c>
      <c r="E74" s="1142">
        <v>0.2</v>
      </c>
      <c r="F74" s="1157">
        <v>30</v>
      </c>
    </row>
    <row r="75" spans="1:6" s="1108" customFormat="1" ht="24">
      <c r="A75" s="1157">
        <v>15</v>
      </c>
      <c r="B75" s="3449"/>
      <c r="C75" s="1071" t="s">
        <v>1532</v>
      </c>
      <c r="D75" s="1071" t="s">
        <v>1533</v>
      </c>
      <c r="E75" s="1142">
        <v>0.2</v>
      </c>
      <c r="F75" s="1157">
        <v>30</v>
      </c>
    </row>
    <row r="76" spans="1:6" s="1108" customFormat="1" ht="24">
      <c r="A76" s="1157">
        <v>16</v>
      </c>
      <c r="B76" s="3449" t="s">
        <v>1534</v>
      </c>
      <c r="C76" s="1071" t="s">
        <v>1535</v>
      </c>
      <c r="D76" s="1071" t="s">
        <v>1536</v>
      </c>
      <c r="E76" s="1142">
        <v>0.5</v>
      </c>
      <c r="F76" s="1157">
        <v>80</v>
      </c>
    </row>
    <row r="77" spans="1:6" s="1108" customFormat="1" ht="24">
      <c r="A77" s="1157">
        <v>17</v>
      </c>
      <c r="B77" s="3449"/>
      <c r="C77" s="1071" t="s">
        <v>1537</v>
      </c>
      <c r="D77" s="1071" t="s">
        <v>1538</v>
      </c>
      <c r="E77" s="1142">
        <v>0.5</v>
      </c>
      <c r="F77" s="1157">
        <v>80</v>
      </c>
    </row>
    <row r="78" spans="1:6" s="1108" customFormat="1" ht="24">
      <c r="A78" s="1157">
        <v>18</v>
      </c>
      <c r="B78" s="3449"/>
      <c r="C78" s="1071" t="s">
        <v>1539</v>
      </c>
      <c r="D78" s="1071" t="s">
        <v>1540</v>
      </c>
      <c r="E78" s="1142">
        <v>0.2</v>
      </c>
      <c r="F78" s="1157">
        <v>30</v>
      </c>
    </row>
    <row r="79" spans="1:6" s="1108" customFormat="1" ht="24">
      <c r="A79" s="1157">
        <v>19</v>
      </c>
      <c r="B79" s="3449"/>
      <c r="C79" s="1071" t="s">
        <v>1541</v>
      </c>
      <c r="D79" s="1071" t="s">
        <v>1542</v>
      </c>
      <c r="E79" s="1142">
        <v>0.5</v>
      </c>
      <c r="F79" s="1157">
        <v>80</v>
      </c>
    </row>
    <row r="80" spans="1:6" s="1108" customFormat="1" ht="36">
      <c r="A80" s="1157">
        <v>20</v>
      </c>
      <c r="B80" s="3449"/>
      <c r="C80" s="1071" t="s">
        <v>1543</v>
      </c>
      <c r="D80" s="1071" t="s">
        <v>1544</v>
      </c>
      <c r="E80" s="1142">
        <v>0.2</v>
      </c>
      <c r="F80" s="1157">
        <v>30</v>
      </c>
    </row>
    <row r="81" spans="1:6" s="1108" customFormat="1" ht="36">
      <c r="A81" s="1157">
        <v>21</v>
      </c>
      <c r="B81" s="3449"/>
      <c r="C81" s="1071" t="s">
        <v>1545</v>
      </c>
      <c r="D81" s="1071" t="s">
        <v>1546</v>
      </c>
      <c r="E81" s="1142">
        <v>0.2</v>
      </c>
      <c r="F81" s="1157">
        <v>30</v>
      </c>
    </row>
    <row r="82" spans="1:6" s="1108" customFormat="1" ht="48">
      <c r="A82" s="1157">
        <v>22</v>
      </c>
      <c r="B82" s="3449"/>
      <c r="C82" s="1071" t="s">
        <v>1547</v>
      </c>
      <c r="D82" s="1071" t="s">
        <v>1548</v>
      </c>
      <c r="E82" s="1142">
        <v>0.2</v>
      </c>
      <c r="F82" s="1157">
        <v>30</v>
      </c>
    </row>
    <row r="83" spans="1:6" s="1108" customFormat="1" ht="48">
      <c r="A83" s="1157">
        <v>23</v>
      </c>
      <c r="B83" s="3449"/>
      <c r="C83" s="1071" t="s">
        <v>1549</v>
      </c>
      <c r="D83" s="1071" t="s">
        <v>1550</v>
      </c>
      <c r="E83" s="1142">
        <v>0.2</v>
      </c>
      <c r="F83" s="1157">
        <v>30</v>
      </c>
    </row>
    <row r="84" spans="1:6" s="1108" customFormat="1" ht="36">
      <c r="A84" s="1157">
        <v>24</v>
      </c>
      <c r="B84" s="3449"/>
      <c r="C84" s="1071" t="s">
        <v>1551</v>
      </c>
      <c r="D84" s="1071" t="s">
        <v>1552</v>
      </c>
      <c r="E84" s="1142">
        <v>0.2</v>
      </c>
      <c r="F84" s="1157">
        <v>30</v>
      </c>
    </row>
    <row r="85" spans="1:6" s="1108" customFormat="1" ht="36">
      <c r="A85" s="1157">
        <v>25</v>
      </c>
      <c r="B85" s="3449"/>
      <c r="C85" s="1071" t="s">
        <v>1553</v>
      </c>
      <c r="D85" s="1071" t="s">
        <v>1554</v>
      </c>
      <c r="E85" s="1142">
        <v>0.5</v>
      </c>
      <c r="F85" s="1157">
        <v>80</v>
      </c>
    </row>
    <row r="86" spans="1:6" s="1108" customFormat="1" ht="36">
      <c r="A86" s="1157">
        <v>26</v>
      </c>
      <c r="B86" s="3449"/>
      <c r="C86" s="1071" t="s">
        <v>1555</v>
      </c>
      <c r="D86" s="1071" t="s">
        <v>1556</v>
      </c>
      <c r="E86" s="1142">
        <v>0.2</v>
      </c>
      <c r="F86" s="1157">
        <v>30</v>
      </c>
    </row>
    <row r="87" spans="1:6" s="1108" customFormat="1" ht="36">
      <c r="A87" s="1157">
        <v>27</v>
      </c>
      <c r="B87" s="3449"/>
      <c r="C87" s="1071" t="s">
        <v>1557</v>
      </c>
      <c r="D87" s="1071" t="s">
        <v>1558</v>
      </c>
      <c r="E87" s="1142">
        <v>0.2</v>
      </c>
      <c r="F87" s="1157">
        <v>30</v>
      </c>
    </row>
    <row r="88" spans="1:6" s="1108" customFormat="1" ht="36">
      <c r="A88" s="1157">
        <v>28</v>
      </c>
      <c r="B88" s="3449"/>
      <c r="C88" s="1071" t="s">
        <v>1559</v>
      </c>
      <c r="D88" s="1071" t="s">
        <v>1560</v>
      </c>
      <c r="E88" s="1142">
        <v>0.2</v>
      </c>
      <c r="F88" s="1157">
        <v>30</v>
      </c>
    </row>
    <row r="89" spans="1:6" s="1108" customFormat="1" ht="24">
      <c r="A89" s="1157">
        <v>29</v>
      </c>
      <c r="B89" s="3449"/>
      <c r="C89" s="1071" t="s">
        <v>1561</v>
      </c>
      <c r="D89" s="1071" t="s">
        <v>1562</v>
      </c>
      <c r="E89" s="1142">
        <v>0.2</v>
      </c>
      <c r="F89" s="1157">
        <v>30</v>
      </c>
    </row>
    <row r="90" spans="1:6" s="1108" customFormat="1" ht="24">
      <c r="A90" s="1157">
        <v>30</v>
      </c>
      <c r="B90" s="3449"/>
      <c r="C90" s="1071" t="s">
        <v>1563</v>
      </c>
      <c r="D90" s="1071" t="s">
        <v>1564</v>
      </c>
      <c r="E90" s="1142">
        <v>0.2</v>
      </c>
      <c r="F90" s="1157">
        <v>30</v>
      </c>
    </row>
    <row r="91" spans="1:6" s="1108" customFormat="1" ht="36">
      <c r="A91" s="1157">
        <v>31</v>
      </c>
      <c r="B91" s="3449"/>
      <c r="C91" s="1071" t="s">
        <v>1565</v>
      </c>
      <c r="D91" s="1071" t="s">
        <v>1566</v>
      </c>
      <c r="E91" s="1142">
        <v>0.2</v>
      </c>
      <c r="F91" s="1157">
        <v>30</v>
      </c>
    </row>
    <row r="92" spans="1:6" s="1108" customFormat="1" ht="24">
      <c r="A92" s="1157">
        <v>32</v>
      </c>
      <c r="B92" s="3449" t="s">
        <v>1567</v>
      </c>
      <c r="C92" s="1157" t="s">
        <v>1568</v>
      </c>
      <c r="D92" s="1071" t="s">
        <v>1569</v>
      </c>
      <c r="E92" s="1142">
        <v>0.2</v>
      </c>
      <c r="F92" s="1157">
        <v>30</v>
      </c>
    </row>
    <row r="93" spans="1:6" s="1108" customFormat="1" ht="36">
      <c r="A93" s="1157">
        <v>33</v>
      </c>
      <c r="B93" s="3449"/>
      <c r="C93" s="1157" t="s">
        <v>1570</v>
      </c>
      <c r="D93" s="1071" t="s">
        <v>1571</v>
      </c>
      <c r="E93" s="1142">
        <v>0.2</v>
      </c>
      <c r="F93" s="1157">
        <v>30</v>
      </c>
    </row>
    <row r="94" spans="1:6" s="1108" customFormat="1" ht="48">
      <c r="A94" s="1157">
        <v>34</v>
      </c>
      <c r="B94" s="3449"/>
      <c r="C94" s="1157" t="s">
        <v>1572</v>
      </c>
      <c r="D94" s="1071" t="s">
        <v>1573</v>
      </c>
      <c r="E94" s="1142">
        <v>0.2</v>
      </c>
      <c r="F94" s="1157">
        <v>30</v>
      </c>
    </row>
    <row r="95" spans="1:6" s="1108" customFormat="1" ht="36">
      <c r="A95" s="1157">
        <v>35</v>
      </c>
      <c r="B95" s="3449"/>
      <c r="C95" s="1157" t="s">
        <v>1574</v>
      </c>
      <c r="D95" s="1071" t="s">
        <v>1575</v>
      </c>
      <c r="E95" s="1142">
        <v>0.2</v>
      </c>
      <c r="F95" s="1157">
        <v>30</v>
      </c>
    </row>
    <row r="96" spans="1:6" s="1108" customFormat="1" ht="48">
      <c r="A96" s="1157">
        <v>36</v>
      </c>
      <c r="B96" s="3449"/>
      <c r="C96" s="1071" t="s">
        <v>1576</v>
      </c>
      <c r="D96" s="1071" t="s">
        <v>1577</v>
      </c>
      <c r="E96" s="1142">
        <v>0.2</v>
      </c>
      <c r="F96" s="1157">
        <v>30</v>
      </c>
    </row>
    <row r="97" spans="1:6" s="1108" customFormat="1" ht="36">
      <c r="A97" s="1157">
        <v>37</v>
      </c>
      <c r="B97" s="3449"/>
      <c r="C97" s="1157" t="s">
        <v>1578</v>
      </c>
      <c r="D97" s="1071" t="s">
        <v>1579</v>
      </c>
      <c r="E97" s="1142">
        <v>0.2</v>
      </c>
      <c r="F97" s="1157">
        <v>30</v>
      </c>
    </row>
    <row r="98" spans="1:6" s="1108" customFormat="1" ht="36">
      <c r="A98" s="1157">
        <v>38</v>
      </c>
      <c r="B98" s="3449"/>
      <c r="C98" s="1157" t="s">
        <v>1580</v>
      </c>
      <c r="D98" s="1071" t="s">
        <v>1581</v>
      </c>
      <c r="E98" s="1142">
        <v>0.2</v>
      </c>
      <c r="F98" s="1157">
        <v>30</v>
      </c>
    </row>
    <row r="99" spans="1:6" s="1108" customFormat="1" ht="36">
      <c r="A99" s="1157">
        <v>39</v>
      </c>
      <c r="B99" s="3449" t="s">
        <v>1582</v>
      </c>
      <c r="C99" s="1157" t="s">
        <v>1583</v>
      </c>
      <c r="D99" s="1071" t="s">
        <v>1584</v>
      </c>
      <c r="E99" s="1142">
        <v>0.3</v>
      </c>
      <c r="F99" s="1157">
        <v>50</v>
      </c>
    </row>
    <row r="100" spans="1:6" s="1108" customFormat="1" ht="24">
      <c r="A100" s="1157">
        <v>40</v>
      </c>
      <c r="B100" s="3449"/>
      <c r="C100" s="1157" t="s">
        <v>1585</v>
      </c>
      <c r="D100" s="1071" t="s">
        <v>1586</v>
      </c>
      <c r="E100" s="1142">
        <v>0.2</v>
      </c>
      <c r="F100" s="1157">
        <v>30</v>
      </c>
    </row>
    <row r="101" spans="1:6" s="1108" customFormat="1" ht="36">
      <c r="A101" s="1157">
        <v>41</v>
      </c>
      <c r="B101" s="3449"/>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49" t="s">
        <v>1597</v>
      </c>
      <c r="C105" s="1157" t="s">
        <v>1598</v>
      </c>
      <c r="D105" s="1071" t="s">
        <v>1599</v>
      </c>
      <c r="E105" s="1142">
        <v>0.2</v>
      </c>
      <c r="F105" s="1157">
        <v>30</v>
      </c>
    </row>
    <row r="106" spans="1:6" s="1108" customFormat="1" ht="36">
      <c r="A106" s="1157">
        <v>46</v>
      </c>
      <c r="B106" s="3449"/>
      <c r="C106" s="1157" t="s">
        <v>1600</v>
      </c>
      <c r="D106" s="1071" t="s">
        <v>1601</v>
      </c>
      <c r="E106" s="1142">
        <v>0.2</v>
      </c>
      <c r="F106" s="1157">
        <v>30</v>
      </c>
    </row>
    <row r="107" spans="1:6" s="1108" customFormat="1" ht="36">
      <c r="A107" s="1157">
        <v>47</v>
      </c>
      <c r="B107" s="3449" t="s">
        <v>1602</v>
      </c>
      <c r="C107" s="1157" t="s">
        <v>1603</v>
      </c>
      <c r="D107" s="1071" t="s">
        <v>1604</v>
      </c>
      <c r="E107" s="1142">
        <v>0.3</v>
      </c>
      <c r="F107" s="1157">
        <v>50</v>
      </c>
    </row>
    <row r="108" spans="1:6" s="1108" customFormat="1" ht="36">
      <c r="A108" s="1157">
        <v>48</v>
      </c>
      <c r="B108" s="3449"/>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49" t="s">
        <v>1613</v>
      </c>
      <c r="C111" s="1157" t="s">
        <v>1614</v>
      </c>
      <c r="D111" s="1071" t="s">
        <v>1615</v>
      </c>
      <c r="E111" s="1142">
        <v>0.2</v>
      </c>
      <c r="F111" s="1157">
        <v>30</v>
      </c>
    </row>
    <row r="112" spans="1:6" s="1108" customFormat="1" ht="24">
      <c r="A112" s="1157">
        <v>52</v>
      </c>
      <c r="B112" s="3449"/>
      <c r="C112" s="1157" t="s">
        <v>1616</v>
      </c>
      <c r="D112" s="1071" t="s">
        <v>1617</v>
      </c>
      <c r="E112" s="1142">
        <v>0.2</v>
      </c>
      <c r="F112" s="1157">
        <v>30</v>
      </c>
    </row>
    <row r="113" spans="1:14" s="1108" customFormat="1" ht="24">
      <c r="A113" s="1157">
        <v>53</v>
      </c>
      <c r="B113" s="3449"/>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49" t="s">
        <v>1626</v>
      </c>
      <c r="C116" s="1157" t="s">
        <v>1627</v>
      </c>
      <c r="D116" s="1071" t="s">
        <v>1628</v>
      </c>
      <c r="E116" s="1142">
        <v>0.2</v>
      </c>
      <c r="F116" s="1157">
        <v>30</v>
      </c>
    </row>
    <row r="117" spans="1:14" ht="36">
      <c r="A117" s="1157">
        <v>57</v>
      </c>
      <c r="B117" s="3449"/>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48" t="s">
        <v>1635</v>
      </c>
      <c r="B121" s="3448"/>
      <c r="C121" s="3448"/>
      <c r="D121" s="3448"/>
      <c r="E121" s="3448"/>
      <c r="F121" s="3448"/>
      <c r="G121" s="3448"/>
      <c r="H121" s="3448"/>
      <c r="I121" s="3448"/>
      <c r="J121" s="344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3" t="s">
        <v>1041</v>
      </c>
      <c r="B1" s="3453"/>
      <c r="C1" s="3453"/>
      <c r="D1" s="3453"/>
      <c r="E1" s="3453"/>
      <c r="F1" s="3453"/>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54" t="s">
        <v>1054</v>
      </c>
      <c r="B2" s="3454"/>
      <c r="C2" s="3454"/>
      <c r="D2" s="3454"/>
      <c r="E2" s="3454"/>
      <c r="F2" s="3454"/>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55"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56"/>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受贵公司委托，我公司对陕西省西安市西安浐灞生态区金茂四路以东、金桥二路以北出让国有建设用地使用权进行了预评估。</v>
      </c>
    </row>
    <row r="5" spans="1:4" ht="18.75">
      <c r="A5" s="1799" t="s">
        <v>1907</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7" spans="1:4" ht="56.25">
      <c r="A7" s="1800" t="s">
        <v>2756</v>
      </c>
    </row>
    <row r="8" spans="1:4" ht="18.75">
      <c r="A8" s="1799" t="s">
        <v>1908</v>
      </c>
    </row>
    <row r="9" spans="1:4" ht="75">
      <c r="A9" s="1801" t="str">
        <f>IF(项目基本情况!B8="抵押",IF(项目基本情况!B5=项目基本情况!B6,定义!C51,定义!B51),定义!D51)</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2017年10月12日（评估专业人员勘察现场之日）</v>
      </c>
    </row>
    <row r="12" spans="1:4" ht="18.75">
      <c r="A12" s="1802" t="s">
        <v>2029</v>
      </c>
    </row>
    <row r="13" spans="1:4" ht="18.75">
      <c r="A13" s="1796" t="s">
        <v>2953</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根据《国有土地使用证》[]，估价对象（分摊）出让国有建设用地使用权面积为33220.35平方米。根据《建设工程规划许可证》[]、《出让合同》[]，估价对象规划建筑面积为166445.45平方米。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4月30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93.75">
      <c r="A25" s="1796" t="str">
        <f>定义!C53</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57" t="s">
        <v>2083</v>
      </c>
      <c r="B1" s="3457"/>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2962</v>
      </c>
      <c r="B1" s="3141"/>
      <c r="C1" s="3141"/>
      <c r="D1" s="3141"/>
      <c r="E1" s="3141"/>
      <c r="F1" s="3141"/>
    </row>
    <row r="2" spans="1:6" ht="14.25">
      <c r="A2" s="3142" t="s">
        <v>2956</v>
      </c>
      <c r="B2" s="3143" t="e">
        <f ca="1">SUMIF(B7:B14,"&lt;&gt;#ref!",B7:B14)</f>
        <v>#DIV/0!</v>
      </c>
      <c r="C2" s="3142" t="s">
        <v>2957</v>
      </c>
      <c r="D2" s="3141"/>
      <c r="E2" s="3141"/>
      <c r="F2" s="3141"/>
    </row>
    <row r="3" spans="1:6" ht="14.25">
      <c r="A3" s="3142" t="s">
        <v>2959</v>
      </c>
      <c r="B3" s="3143" t="e">
        <f ca="1">ROUND(B2*10000/E3,0)</f>
        <v>#DIV/0!</v>
      </c>
      <c r="C3" s="3142" t="s">
        <v>2082</v>
      </c>
      <c r="D3" s="3142" t="s">
        <v>2958</v>
      </c>
      <c r="E3" s="3143" t="e">
        <f ca="1">SUM(E7:E14)</f>
        <v>#REF!</v>
      </c>
      <c r="F3" s="3141"/>
    </row>
    <row r="4" spans="1:6" ht="14.25">
      <c r="A4" s="3142" t="s">
        <v>2966</v>
      </c>
      <c r="B4" s="3143" t="e">
        <f ca="1">ROUND(B2*10000/E4,0)</f>
        <v>#DIV/0!</v>
      </c>
      <c r="C4" s="3142" t="s">
        <v>2082</v>
      </c>
      <c r="D4" s="3142" t="s">
        <v>2967</v>
      </c>
      <c r="E4" s="3143" t="e">
        <f ca="1">SUM(F7:F14)</f>
        <v>#REF!</v>
      </c>
      <c r="F4" s="3141"/>
    </row>
    <row r="5" spans="1:6" ht="14.25">
      <c r="A5" s="3144"/>
      <c r="B5" s="1886"/>
      <c r="C5" s="1886"/>
      <c r="D5" s="1886"/>
      <c r="E5" s="1886"/>
      <c r="F5" s="3141"/>
    </row>
    <row r="6" spans="1:6" ht="28.5">
      <c r="A6" s="3145" t="s">
        <v>2963</v>
      </c>
      <c r="B6" s="3142" t="s">
        <v>2960</v>
      </c>
      <c r="C6" s="3143"/>
      <c r="D6" s="1886"/>
      <c r="E6" s="3142" t="s">
        <v>2961</v>
      </c>
      <c r="F6" s="3142" t="s">
        <v>2965</v>
      </c>
    </row>
    <row r="7" spans="1:6" ht="14.25">
      <c r="A7" s="260" t="s">
        <v>2964</v>
      </c>
      <c r="B7" s="3146" t="e">
        <f ca="1">SUMIF(INDIRECT("'"&amp;A7&amp;"'"&amp;"!A:A"),"总价",INDIRECT("'"&amp;A7&amp;"'"&amp;"!B:B"))</f>
        <v>#DIV/0!</v>
      </c>
      <c r="C7" s="3142" t="s">
        <v>2957</v>
      </c>
      <c r="D7" s="1886"/>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2957</v>
      </c>
      <c r="D8" s="1886"/>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2957</v>
      </c>
      <c r="D9" s="1886"/>
      <c r="E9" s="3147" t="e">
        <f t="shared" ca="1" si="1"/>
        <v>#REF!</v>
      </c>
      <c r="F9" s="3147" t="e">
        <f t="shared" ca="1" si="2"/>
        <v>#REF!</v>
      </c>
    </row>
    <row r="10" spans="1:6" ht="14.25">
      <c r="A10" s="260"/>
      <c r="B10" s="3146" t="e">
        <f t="shared" ca="1" si="0"/>
        <v>#REF!</v>
      </c>
      <c r="C10" s="3142" t="s">
        <v>2957</v>
      </c>
      <c r="D10" s="1886"/>
      <c r="E10" s="3147" t="e">
        <f t="shared" ca="1" si="1"/>
        <v>#REF!</v>
      </c>
      <c r="F10" s="3147" t="e">
        <f t="shared" ca="1" si="2"/>
        <v>#REF!</v>
      </c>
    </row>
    <row r="11" spans="1:6" ht="14.25">
      <c r="A11" s="260"/>
      <c r="B11" s="3146" t="e">
        <f t="shared" ca="1" si="0"/>
        <v>#REF!</v>
      </c>
      <c r="C11" s="3142" t="s">
        <v>2957</v>
      </c>
      <c r="D11" s="1886"/>
      <c r="E11" s="3147" t="e">
        <f t="shared" ca="1" si="1"/>
        <v>#REF!</v>
      </c>
      <c r="F11" s="3147" t="e">
        <f t="shared" ca="1" si="2"/>
        <v>#REF!</v>
      </c>
    </row>
    <row r="12" spans="1:6" ht="14.25">
      <c r="A12" s="260"/>
      <c r="B12" s="3146" t="e">
        <f t="shared" ca="1" si="0"/>
        <v>#REF!</v>
      </c>
      <c r="C12" s="3142" t="s">
        <v>2957</v>
      </c>
      <c r="D12" s="1886"/>
      <c r="E12" s="3147" t="e">
        <f t="shared" ca="1" si="1"/>
        <v>#REF!</v>
      </c>
      <c r="F12" s="3147" t="e">
        <f t="shared" ca="1" si="2"/>
        <v>#REF!</v>
      </c>
    </row>
    <row r="13" spans="1:6" ht="14.25">
      <c r="A13" s="260"/>
      <c r="B13" s="3146" t="e">
        <f t="shared" ca="1" si="0"/>
        <v>#REF!</v>
      </c>
      <c r="C13" s="3142" t="s">
        <v>2957</v>
      </c>
      <c r="D13" s="1886"/>
      <c r="E13" s="3147" t="e">
        <f t="shared" ca="1" si="1"/>
        <v>#REF!</v>
      </c>
      <c r="F13" s="3147" t="e">
        <f t="shared" ca="1" si="2"/>
        <v>#REF!</v>
      </c>
    </row>
    <row r="14" spans="1:6" ht="14.25">
      <c r="A14" s="3140"/>
      <c r="B14" s="3146" t="e">
        <f t="shared" ca="1" si="0"/>
        <v>#REF!</v>
      </c>
      <c r="C14" s="3142" t="s">
        <v>2957</v>
      </c>
      <c r="D14" s="1886"/>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22" t="s">
        <v>2469</v>
      </c>
      <c r="C8" s="1830">
        <f ca="1">ROUND(F8*F10*F9*(1-F11)/10000,0)</f>
        <v>0</v>
      </c>
      <c r="D8" s="1827" t="s">
        <v>2541</v>
      </c>
      <c r="E8" s="61" t="s">
        <v>638</v>
      </c>
      <c r="F8" s="788">
        <f ca="1">INDIRECT("'数据-取费表'!u"&amp;$G$1)</f>
        <v>0</v>
      </c>
      <c r="G8" s="1596"/>
      <c r="H8" s="2533" t="s">
        <v>1826</v>
      </c>
      <c r="I8" s="3422" t="s">
        <v>2469</v>
      </c>
      <c r="J8" s="786">
        <f ca="1">ROUND(M8*M10*M9*(1-M11)/10000,0)</f>
        <v>0</v>
      </c>
      <c r="K8" s="344" t="s">
        <v>2541</v>
      </c>
      <c r="L8" s="787" t="s">
        <v>1740</v>
      </c>
      <c r="M8" s="788">
        <f ca="1">INDIRECT("'数据-取费表'!z"&amp;$G$1)</f>
        <v>0</v>
      </c>
    </row>
    <row r="9" spans="1:25" ht="18" customHeight="1">
      <c r="A9" s="2529"/>
      <c r="B9" s="3423"/>
      <c r="C9" s="1831"/>
      <c r="D9" s="1828"/>
      <c r="E9" s="61" t="s">
        <v>639</v>
      </c>
      <c r="F9" s="788">
        <f ca="1">IF(INDIRECT("'数据-取费表'!ah"&amp;$G$1)="",INDIRECT("'数据-取费表'!k"&amp;$G$1),INDIRECT("'数据-取费表'!ah"&amp;$G$1))</f>
        <v>0</v>
      </c>
      <c r="G9" s="1596"/>
      <c r="H9" s="2518"/>
      <c r="I9" s="3423"/>
      <c r="J9" s="791"/>
      <c r="K9" s="792"/>
      <c r="L9" s="787" t="s">
        <v>1741</v>
      </c>
      <c r="M9" s="788">
        <f ca="1">F9</f>
        <v>0</v>
      </c>
    </row>
    <row r="10" spans="1:25" ht="18" customHeight="1">
      <c r="A10" s="2522"/>
      <c r="B10" s="3424"/>
      <c r="C10" s="1831"/>
      <c r="D10" s="1828"/>
      <c r="E10" s="61" t="s">
        <v>640</v>
      </c>
      <c r="F10" s="788">
        <f ca="1">INDIRECT("'数据-取费表'!ai"&amp;$G$1)</f>
        <v>0</v>
      </c>
      <c r="G10" s="1596"/>
      <c r="H10" s="2518"/>
      <c r="I10" s="3424"/>
      <c r="J10" s="791"/>
      <c r="K10" s="792"/>
      <c r="L10" s="787" t="s">
        <v>1742</v>
      </c>
      <c r="M10" s="788">
        <f ca="1">INDIRECT("'数据-取费表'!ai"&amp;$G$1)</f>
        <v>0</v>
      </c>
    </row>
    <row r="11" spans="1:25" ht="18" customHeight="1">
      <c r="A11" s="789"/>
      <c r="B11" s="3425"/>
      <c r="C11" s="1831"/>
      <c r="D11" s="1828"/>
      <c r="E11" s="61" t="s">
        <v>641</v>
      </c>
      <c r="F11" s="797">
        <f ca="1">INDIRECT("'数据-取费表'!w"&amp;$G$1)</f>
        <v>0</v>
      </c>
      <c r="G11" s="1596"/>
      <c r="H11" s="2534"/>
      <c r="I11" s="3424"/>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2834</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16</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2" t="s">
        <v>2831</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2832</v>
      </c>
      <c r="C31" s="2573">
        <f ca="1">ROUND((C21+C22+C25+C28)/(1-F23-C26-C29-C30),0)</f>
        <v>0</v>
      </c>
      <c r="D31" s="2574"/>
      <c r="E31" s="2575"/>
      <c r="F31" s="2576"/>
      <c r="G31" s="1597"/>
      <c r="H31" s="826" t="s">
        <v>1874</v>
      </c>
      <c r="I31" s="3043" t="s">
        <v>2833</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16</v>
      </c>
      <c r="G36" s="2067"/>
      <c r="H36" s="2070"/>
      <c r="I36" s="3458"/>
      <c r="J36" s="2084"/>
      <c r="K36" s="2085"/>
      <c r="L36" s="2084"/>
      <c r="M36" s="2084"/>
    </row>
    <row r="37" spans="1:18" ht="18" customHeight="1">
      <c r="A37" s="818"/>
      <c r="B37" s="796"/>
      <c r="C37" s="69"/>
      <c r="D37" s="819"/>
      <c r="E37" s="787" t="s">
        <v>675</v>
      </c>
      <c r="F37" s="788">
        <f ca="1">INDIRECT("'数据-取费表'!r"&amp;$G$1)</f>
        <v>0</v>
      </c>
      <c r="G37" s="2067"/>
      <c r="H37" s="2070"/>
      <c r="I37" s="3458"/>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60" t="s">
        <v>2975</v>
      </c>
      <c r="F43" s="3161">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2" t="s">
        <v>2978</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7"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59"/>
      <c r="L54" s="3460"/>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4" t="s">
        <v>2360</v>
      </c>
      <c r="J56" s="3158"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7"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59"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6" t="s">
        <v>2954</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7">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38">
        <v>0</v>
      </c>
      <c r="O65" s="2433" t="s">
        <v>2420</v>
      </c>
      <c r="P65" s="1596"/>
      <c r="Q65" s="1608"/>
      <c r="R65" s="1596"/>
    </row>
    <row r="66" spans="1:18" s="2064" customFormat="1" ht="15.75" thickBot="1">
      <c r="A66" s="2101"/>
      <c r="B66" s="2102"/>
      <c r="C66" s="2102"/>
      <c r="I66" s="2414" t="s">
        <v>2377</v>
      </c>
      <c r="J66" s="2415">
        <v>40</v>
      </c>
      <c r="K66" s="2415">
        <v>30</v>
      </c>
      <c r="L66" s="2415">
        <v>50</v>
      </c>
      <c r="M66" s="3137">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67" t="s">
        <v>2583</v>
      </c>
      <c r="C1" s="3467"/>
      <c r="D1" s="3467"/>
      <c r="E1" s="3467"/>
      <c r="F1" s="3467"/>
      <c r="G1" s="3466" t="s">
        <v>2584</v>
      </c>
      <c r="H1" s="3466"/>
      <c r="I1" s="3466"/>
      <c r="J1" s="3466"/>
      <c r="K1" s="3466"/>
      <c r="L1" s="3466"/>
      <c r="N1" s="3466" t="s">
        <v>2585</v>
      </c>
      <c r="O1" s="3466"/>
      <c r="P1" s="3466"/>
      <c r="Q1" s="3466"/>
      <c r="R1" s="2684"/>
      <c r="S1" s="3466" t="s">
        <v>2586</v>
      </c>
      <c r="T1" s="3466"/>
      <c r="U1" s="3466"/>
      <c r="V1" s="3466"/>
      <c r="X1" s="3465" t="s">
        <v>2647</v>
      </c>
      <c r="Y1" s="3466"/>
      <c r="Z1" s="3466"/>
      <c r="AA1" s="3466"/>
      <c r="AB1" s="3466"/>
      <c r="AD1" s="3465" t="s">
        <v>2652</v>
      </c>
      <c r="AE1" s="3466"/>
      <c r="AF1" s="3466"/>
      <c r="AG1" s="3466"/>
      <c r="AH1" s="3466"/>
    </row>
    <row r="2" spans="1:34" s="2786" customFormat="1" ht="14.25" thickBot="1">
      <c r="B2" s="2795" t="s">
        <v>2587</v>
      </c>
      <c r="C2" s="2795" t="s">
        <v>2650</v>
      </c>
      <c r="D2" s="2787" t="s">
        <v>1646</v>
      </c>
      <c r="E2" s="2787" t="s">
        <v>1953</v>
      </c>
      <c r="F2" s="2795" t="s">
        <v>2651</v>
      </c>
      <c r="G2" s="2790"/>
      <c r="H2" s="2789"/>
      <c r="I2" s="2795" t="s">
        <v>2969</v>
      </c>
      <c r="J2" s="2787" t="s">
        <v>2971</v>
      </c>
      <c r="K2" s="2787" t="s">
        <v>2972</v>
      </c>
      <c r="L2" s="2795" t="s">
        <v>2973</v>
      </c>
      <c r="N2" s="2795" t="s">
        <v>2587</v>
      </c>
      <c r="O2" s="2787" t="s">
        <v>2970</v>
      </c>
      <c r="P2" s="2787" t="s">
        <v>1953</v>
      </c>
      <c r="Q2" s="2795" t="s">
        <v>2651</v>
      </c>
      <c r="R2" s="2788"/>
      <c r="S2" s="2795" t="s">
        <v>2587</v>
      </c>
      <c r="T2" s="2787" t="s">
        <v>2970</v>
      </c>
      <c r="U2" s="2787" t="s">
        <v>1953</v>
      </c>
      <c r="V2" s="2795" t="s">
        <v>2651</v>
      </c>
      <c r="X2" s="2795" t="s">
        <v>2587</v>
      </c>
      <c r="Y2" s="2795" t="s">
        <v>2650</v>
      </c>
      <c r="Z2" s="2787" t="s">
        <v>1646</v>
      </c>
      <c r="AA2" s="2787" t="s">
        <v>1953</v>
      </c>
      <c r="AB2" s="2795" t="s">
        <v>2651</v>
      </c>
      <c r="AD2" s="2795" t="s">
        <v>2587</v>
      </c>
      <c r="AE2" s="2795" t="s">
        <v>2650</v>
      </c>
      <c r="AF2" s="2787" t="s">
        <v>1646</v>
      </c>
      <c r="AG2" s="2787" t="s">
        <v>1953</v>
      </c>
      <c r="AH2" s="2795" t="s">
        <v>2651</v>
      </c>
    </row>
    <row r="3" spans="1:34" s="2779" customFormat="1" ht="14.25">
      <c r="B3" s="2780"/>
      <c r="C3" s="2780"/>
      <c r="D3" s="2781"/>
      <c r="E3" s="2781"/>
      <c r="F3" s="2780"/>
      <c r="G3" s="2785"/>
      <c r="H3" s="2782"/>
      <c r="I3" s="3174"/>
      <c r="J3" s="3174"/>
      <c r="K3" s="3174"/>
      <c r="L3" s="3174"/>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2981</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74">
        <f>ROUND(AVERAGE(I5:I20),2)</f>
        <v>2.4900000000000002</v>
      </c>
      <c r="J4" s="3174">
        <f t="shared" ref="J4:L4" si="6">ROUND(AVERAGE(J5:J20),2)</f>
        <v>1.64</v>
      </c>
      <c r="K4" s="3174">
        <f t="shared" si="6"/>
        <v>2.78</v>
      </c>
      <c r="L4" s="3174">
        <f t="shared" si="6"/>
        <v>1.39</v>
      </c>
      <c r="N4" s="3166">
        <f t="shared" ref="N4:N9" si="7">I4/100</f>
        <v>2.4900000000000002E-2</v>
      </c>
      <c r="O4" s="3167">
        <f t="shared" ref="O4" si="8">J4/100</f>
        <v>1.6399999999999998E-2</v>
      </c>
      <c r="P4" s="3167">
        <f t="shared" ref="P4" si="9">K4/100</f>
        <v>2.7799999999999998E-2</v>
      </c>
      <c r="Q4" s="3167">
        <f t="shared" ref="Q4" si="10">L4/100</f>
        <v>1.3899999999999999E-2</v>
      </c>
      <c r="R4" s="2783"/>
      <c r="S4" s="2785"/>
      <c r="T4" s="2783"/>
      <c r="U4" s="2783"/>
      <c r="V4" s="2783"/>
      <c r="X4" s="2784"/>
      <c r="Y4" s="2784"/>
      <c r="Z4" s="2784"/>
      <c r="AA4" s="2784"/>
      <c r="AB4" s="2784"/>
      <c r="AD4" s="2704"/>
      <c r="AE4" s="2704"/>
      <c r="AF4" s="2704"/>
      <c r="AG4" s="2704"/>
      <c r="AH4" s="2704"/>
    </row>
    <row r="5" spans="1:34" s="3151" customFormat="1">
      <c r="A5" s="3149" t="s">
        <v>2980</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64">
        <v>2017</v>
      </c>
      <c r="H5" s="3150">
        <v>4</v>
      </c>
      <c r="I5" s="3175">
        <f>ROUND(AVERAGE(I6:I20),2)</f>
        <v>2.4900000000000002</v>
      </c>
      <c r="J5" s="3175">
        <f>ROUND(AVERAGE(J6:J20),2)</f>
        <v>1.64</v>
      </c>
      <c r="K5" s="3175">
        <f>ROUND(AVERAGE(K6:K20),2)</f>
        <v>2.78</v>
      </c>
      <c r="L5" s="3175">
        <f>ROUND(AVERAGE(L6:L20),2)</f>
        <v>1.39</v>
      </c>
      <c r="N5" s="2792">
        <f t="shared" si="7"/>
        <v>2.4900000000000002E-2</v>
      </c>
      <c r="O5" s="2792">
        <f t="shared" ref="O5" si="15">J5/100</f>
        <v>1.6399999999999998E-2</v>
      </c>
      <c r="P5" s="2792">
        <f t="shared" ref="P5" si="16">K5/100</f>
        <v>2.7799999999999998E-2</v>
      </c>
      <c r="Q5" s="2792">
        <f t="shared" ref="Q5" si="17">L5/100</f>
        <v>1.3899999999999999E-2</v>
      </c>
      <c r="R5" s="3152"/>
      <c r="S5" s="3153"/>
      <c r="T5" s="3152"/>
      <c r="U5" s="3152"/>
      <c r="V5" s="3152"/>
      <c r="W5" s="2793" t="s">
        <v>2648</v>
      </c>
      <c r="X5" s="3154">
        <f>ROUND(SUMPRODUCT(PRODUCT(1+N5:N$19)),4)</f>
        <v>1.4383999999999999</v>
      </c>
      <c r="Y5" s="3154">
        <f>ROUND(SUMPRODUCT(PRODUCT(1+O5:O$19)),4)</f>
        <v>1.2667999999999999</v>
      </c>
      <c r="Z5" s="3154">
        <f t="shared" si="0"/>
        <v>1.2667999999999999</v>
      </c>
      <c r="AA5" s="3154">
        <f>ROUND(SUMPRODUCT(PRODUCT(1+P5:P$19)),4)</f>
        <v>1.4982</v>
      </c>
      <c r="AB5" s="3154">
        <f>ROUND(SUMPRODUCT(PRODUCT(1+Q5:Q$19)),4)</f>
        <v>1.2303999999999999</v>
      </c>
      <c r="AD5" s="3155">
        <f>ROUND(AVERAGE(I5:I$20)/100,4)</f>
        <v>2.4899999999999999E-2</v>
      </c>
      <c r="AE5" s="3155">
        <f>ROUND(AVERAGE(J5:J$20)/100,4)</f>
        <v>1.6400000000000001E-2</v>
      </c>
      <c r="AF5" s="3155">
        <f t="shared" si="1"/>
        <v>1.6400000000000001E-2</v>
      </c>
      <c r="AG5" s="3155">
        <f>ROUND(AVERAGE(K5:K$20)/100,4)</f>
        <v>2.7799999999999998E-2</v>
      </c>
      <c r="AH5" s="3155">
        <f>ROUND(AVERAGE(L5:L$20)/100,4)</f>
        <v>1.3899999999999999E-2</v>
      </c>
    </row>
    <row r="6" spans="1:34" s="3151" customFormat="1">
      <c r="A6" s="2685" t="s">
        <v>2588</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62"/>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2"/>
      <c r="S6" s="2688"/>
      <c r="T6" s="3165"/>
      <c r="U6" s="3165"/>
      <c r="V6" s="3165"/>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2589</v>
      </c>
      <c r="B7" s="2699">
        <f t="shared" si="18"/>
        <v>419.31181600000002</v>
      </c>
      <c r="C7" s="2699">
        <f t="shared" si="18"/>
        <v>313.95436800000004</v>
      </c>
      <c r="D7" s="2699">
        <f t="shared" si="3"/>
        <v>313.95436800000004</v>
      </c>
      <c r="E7" s="2699">
        <f t="shared" si="19"/>
        <v>596.63028431999999</v>
      </c>
      <c r="F7" s="2699">
        <f t="shared" si="19"/>
        <v>274.74220703999998</v>
      </c>
      <c r="G7" s="3462"/>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2590</v>
      </c>
      <c r="B8" s="2699">
        <f t="shared" si="18"/>
        <v>405.524</v>
      </c>
      <c r="C8" s="2699">
        <f t="shared" si="18"/>
        <v>307.79840000000002</v>
      </c>
      <c r="D8" s="2699">
        <f t="shared" si="3"/>
        <v>307.79840000000002</v>
      </c>
      <c r="E8" s="2699">
        <f t="shared" si="19"/>
        <v>574.67759999999998</v>
      </c>
      <c r="F8" s="2699">
        <f t="shared" si="19"/>
        <v>270.20280000000002</v>
      </c>
      <c r="G8" s="3463"/>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972</v>
      </c>
      <c r="B9" s="2691">
        <v>392</v>
      </c>
      <c r="C9" s="2691">
        <v>302</v>
      </c>
      <c r="D9" s="2691">
        <f t="shared" si="3"/>
        <v>302</v>
      </c>
      <c r="E9" s="2691">
        <v>553</v>
      </c>
      <c r="F9" s="2692">
        <v>266</v>
      </c>
      <c r="G9" s="3464">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971</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62"/>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961</v>
      </c>
      <c r="B11" s="2699">
        <f t="shared" si="27"/>
        <v>360.06949782209392</v>
      </c>
      <c r="C11" s="2699">
        <f t="shared" si="27"/>
        <v>289.84672674747821</v>
      </c>
      <c r="D11" s="2699">
        <f t="shared" si="28"/>
        <v>289.84672674747821</v>
      </c>
      <c r="E11" s="2699">
        <f t="shared" si="29"/>
        <v>501.06543001181495</v>
      </c>
      <c r="F11" s="2699">
        <f t="shared" si="29"/>
        <v>256.82882500744967</v>
      </c>
      <c r="G11" s="3462"/>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970</v>
      </c>
      <c r="B12" s="2699">
        <f t="shared" si="27"/>
        <v>346.720748986128</v>
      </c>
      <c r="C12" s="2699">
        <f t="shared" si="27"/>
        <v>284.30282172386285</v>
      </c>
      <c r="D12" s="2699">
        <f t="shared" si="28"/>
        <v>284.30282172386285</v>
      </c>
      <c r="E12" s="2699">
        <f t="shared" si="29"/>
        <v>479.58023546306947</v>
      </c>
      <c r="F12" s="2699">
        <f t="shared" si="29"/>
        <v>253.25788877571213</v>
      </c>
      <c r="G12" s="3463"/>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969</v>
      </c>
      <c r="B13" s="2691">
        <v>333</v>
      </c>
      <c r="C13" s="2691">
        <v>277</v>
      </c>
      <c r="D13" s="2691">
        <f t="shared" si="28"/>
        <v>277</v>
      </c>
      <c r="E13" s="2691">
        <v>459</v>
      </c>
      <c r="F13" s="2692">
        <v>249</v>
      </c>
      <c r="G13" s="3461">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968</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62"/>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967</v>
      </c>
      <c r="B15" s="2699">
        <f t="shared" si="31"/>
        <v>322.34053690220776</v>
      </c>
      <c r="C15" s="2699">
        <f t="shared" si="31"/>
        <v>271.46160770422546</v>
      </c>
      <c r="D15" s="2699">
        <f t="shared" si="28"/>
        <v>271.46160770422546</v>
      </c>
      <c r="E15" s="2699">
        <f t="shared" si="32"/>
        <v>442.69434542172456</v>
      </c>
      <c r="F15" s="2699">
        <f t="shared" si="32"/>
        <v>241.34030753190925</v>
      </c>
      <c r="G15" s="3462"/>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966</v>
      </c>
      <c r="B16" s="2699">
        <f t="shared" si="31"/>
        <v>319.87748030386797</v>
      </c>
      <c r="C16" s="2699">
        <f t="shared" si="31"/>
        <v>269.60135833173649</v>
      </c>
      <c r="D16" s="2699">
        <f t="shared" si="28"/>
        <v>269.60135833173649</v>
      </c>
      <c r="E16" s="2699">
        <f t="shared" si="32"/>
        <v>439.18089823583784</v>
      </c>
      <c r="F16" s="2699">
        <f t="shared" si="32"/>
        <v>239.23503918706311</v>
      </c>
      <c r="G16" s="3463"/>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965</v>
      </c>
      <c r="B17" s="2713">
        <v>318</v>
      </c>
      <c r="C17" s="2713">
        <v>268</v>
      </c>
      <c r="D17" s="2713">
        <f t="shared" si="28"/>
        <v>268</v>
      </c>
      <c r="E17" s="2713">
        <v>437</v>
      </c>
      <c r="F17" s="2714">
        <v>237</v>
      </c>
      <c r="G17" s="3461">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964</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62"/>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963</v>
      </c>
      <c r="B19" s="2699">
        <f t="shared" si="33"/>
        <v>314.72141172386546</v>
      </c>
      <c r="C19" s="2699">
        <f t="shared" si="33"/>
        <v>263.03901319069001</v>
      </c>
      <c r="D19" s="2699">
        <f t="shared" si="28"/>
        <v>263.03901319069001</v>
      </c>
      <c r="E19" s="2699">
        <f t="shared" si="34"/>
        <v>433.65745506782821</v>
      </c>
      <c r="F19" s="2699">
        <f t="shared" si="34"/>
        <v>233.23005080045735</v>
      </c>
      <c r="G19" s="3462"/>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962</v>
      </c>
      <c r="B20" s="2718">
        <f t="shared" si="33"/>
        <v>307.34512863658733</v>
      </c>
      <c r="C20" s="2718">
        <f t="shared" si="33"/>
        <v>257.80556031626975</v>
      </c>
      <c r="D20" s="2718">
        <f t="shared" si="28"/>
        <v>257.80556031626975</v>
      </c>
      <c r="E20" s="2718">
        <f t="shared" si="34"/>
        <v>422.70928459677179</v>
      </c>
      <c r="F20" s="2718">
        <f t="shared" si="34"/>
        <v>229.73803270336617</v>
      </c>
      <c r="G20" s="3463"/>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2649</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2591</v>
      </c>
      <c r="B21" s="2691">
        <v>299</v>
      </c>
      <c r="C21" s="2691">
        <v>252</v>
      </c>
      <c r="D21" s="2691">
        <f t="shared" si="28"/>
        <v>252</v>
      </c>
      <c r="E21" s="2691">
        <v>409</v>
      </c>
      <c r="F21" s="2692">
        <v>227</v>
      </c>
      <c r="G21" s="3468">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2592</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69"/>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2593</v>
      </c>
      <c r="B23" s="2699">
        <f t="shared" si="37"/>
        <v>288.2649053828776</v>
      </c>
      <c r="C23" s="2699">
        <f t="shared" si="37"/>
        <v>243.64564425013293</v>
      </c>
      <c r="D23" s="2699">
        <f t="shared" si="28"/>
        <v>243.64564425013293</v>
      </c>
      <c r="E23" s="2699">
        <f t="shared" si="38"/>
        <v>393.31080825986544</v>
      </c>
      <c r="F23" s="2699">
        <f t="shared" si="38"/>
        <v>223.07903790551154</v>
      </c>
      <c r="G23" s="3469"/>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2594</v>
      </c>
      <c r="B24" s="2699">
        <f t="shared" si="37"/>
        <v>282.50186729015837</v>
      </c>
      <c r="C24" s="2699">
        <f t="shared" si="37"/>
        <v>238.09796174155468</v>
      </c>
      <c r="D24" s="2699">
        <f t="shared" si="28"/>
        <v>238.09796174155468</v>
      </c>
      <c r="E24" s="2699">
        <f t="shared" si="38"/>
        <v>385.33438646014054</v>
      </c>
      <c r="F24" s="2699">
        <f t="shared" si="38"/>
        <v>221.55034055567739</v>
      </c>
      <c r="G24" s="3470"/>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2595</v>
      </c>
      <c r="B25" s="2729">
        <v>278</v>
      </c>
      <c r="C25" s="2729">
        <v>234</v>
      </c>
      <c r="D25" s="2729">
        <f t="shared" si="28"/>
        <v>234</v>
      </c>
      <c r="E25" s="2729">
        <v>379</v>
      </c>
      <c r="F25" s="2730">
        <v>220</v>
      </c>
      <c r="G25" s="3461">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2596</v>
      </c>
      <c r="B26" s="2699">
        <f>B25/(1+N25)</f>
        <v>275.49301357645425</v>
      </c>
      <c r="C26" s="2699">
        <f>C25/(1+O25)</f>
        <v>232.41954707985698</v>
      </c>
      <c r="D26" s="2699">
        <f t="shared" si="28"/>
        <v>232.41954707985698</v>
      </c>
      <c r="E26" s="2699">
        <f t="shared" ref="E26:F28" si="39">E25/(1+P25)</f>
        <v>375.32184591008121</v>
      </c>
      <c r="F26" s="2699">
        <f t="shared" si="39"/>
        <v>218.03766105054513</v>
      </c>
      <c r="G26" s="3462"/>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2597</v>
      </c>
      <c r="B27" s="2699">
        <f>B26/(1+N26)</f>
        <v>275.24529281292263</v>
      </c>
      <c r="C27" s="2699">
        <f>C26/(1+O26)</f>
        <v>231.74747938962707</v>
      </c>
      <c r="D27" s="2699">
        <f t="shared" si="28"/>
        <v>231.74747938962707</v>
      </c>
      <c r="E27" s="2699">
        <f t="shared" si="39"/>
        <v>375.35938184826603</v>
      </c>
      <c r="F27" s="2699">
        <f t="shared" si="39"/>
        <v>216.78033510692495</v>
      </c>
      <c r="G27" s="3462"/>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2598</v>
      </c>
      <c r="B28" s="2699">
        <f>B27/(1+N27)</f>
        <v>275.19025476197027</v>
      </c>
      <c r="C28" s="2731">
        <v>232</v>
      </c>
      <c r="D28" s="2731">
        <f t="shared" si="28"/>
        <v>232</v>
      </c>
      <c r="E28" s="2699">
        <f t="shared" si="39"/>
        <v>375.65990977608692</v>
      </c>
      <c r="F28" s="2699">
        <f t="shared" si="39"/>
        <v>214.12518283971252</v>
      </c>
      <c r="G28" s="3463"/>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2599</v>
      </c>
      <c r="B29" s="2691">
        <v>275</v>
      </c>
      <c r="C29" s="2691">
        <v>232</v>
      </c>
      <c r="D29" s="2691">
        <f t="shared" si="28"/>
        <v>232</v>
      </c>
      <c r="E29" s="2691">
        <v>376</v>
      </c>
      <c r="F29" s="2692">
        <v>213</v>
      </c>
      <c r="G29" s="3461">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2600</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62">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2601</v>
      </c>
      <c r="B31" s="2699">
        <f t="shared" si="40"/>
        <v>275.19335084830601</v>
      </c>
      <c r="C31" s="2699">
        <f t="shared" si="40"/>
        <v>230.18088050139744</v>
      </c>
      <c r="D31" s="2699">
        <f t="shared" si="28"/>
        <v>230.18088050139744</v>
      </c>
      <c r="E31" s="2699">
        <f t="shared" si="41"/>
        <v>377.58482925212331</v>
      </c>
      <c r="F31" s="2699">
        <f t="shared" si="41"/>
        <v>210.90687997847917</v>
      </c>
      <c r="G31" s="3462">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2602</v>
      </c>
      <c r="B32" s="2699">
        <f t="shared" si="40"/>
        <v>276.29854502841971</v>
      </c>
      <c r="C32" s="2699">
        <f t="shared" si="40"/>
        <v>229.79023709833027</v>
      </c>
      <c r="D32" s="2699">
        <f t="shared" si="28"/>
        <v>229.79023709833027</v>
      </c>
      <c r="E32" s="2699">
        <f t="shared" si="41"/>
        <v>379.78759731655936</v>
      </c>
      <c r="F32" s="2699">
        <f t="shared" si="41"/>
        <v>211.32953905659235</v>
      </c>
      <c r="G32" s="3463">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2603</v>
      </c>
      <c r="B33" s="2691">
        <v>269</v>
      </c>
      <c r="C33" s="2691">
        <v>221</v>
      </c>
      <c r="D33" s="2691">
        <f t="shared" si="28"/>
        <v>221</v>
      </c>
      <c r="E33" s="2691">
        <v>373</v>
      </c>
      <c r="F33" s="2692">
        <v>196</v>
      </c>
      <c r="G33" s="3461">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2604</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62">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2605</v>
      </c>
      <c r="B35" s="2699">
        <f t="shared" si="42"/>
        <v>242.95398227588385</v>
      </c>
      <c r="C35" s="2699">
        <f t="shared" si="42"/>
        <v>199.59137053614126</v>
      </c>
      <c r="D35" s="2699">
        <f t="shared" si="28"/>
        <v>199.59137053614126</v>
      </c>
      <c r="E35" s="2699">
        <f t="shared" si="43"/>
        <v>335.92189522342125</v>
      </c>
      <c r="F35" s="2699">
        <f t="shared" si="43"/>
        <v>183.10139991109489</v>
      </c>
      <c r="G35" s="3462">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2606</v>
      </c>
      <c r="B36" s="2699">
        <f t="shared" si="42"/>
        <v>232.06990378821649</v>
      </c>
      <c r="C36" s="2699">
        <f t="shared" si="42"/>
        <v>192.74878854286936</v>
      </c>
      <c r="D36" s="2699">
        <f t="shared" si="28"/>
        <v>192.74878854286936</v>
      </c>
      <c r="E36" s="2699">
        <f t="shared" si="43"/>
        <v>319.71247284992984</v>
      </c>
      <c r="F36" s="2699">
        <f t="shared" si="43"/>
        <v>175.67053622862409</v>
      </c>
      <c r="G36" s="3463">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2607</v>
      </c>
      <c r="B37" s="2691">
        <v>220</v>
      </c>
      <c r="C37" s="2691">
        <v>187</v>
      </c>
      <c r="D37" s="2691">
        <f t="shared" si="28"/>
        <v>187</v>
      </c>
      <c r="E37" s="2691">
        <v>301</v>
      </c>
      <c r="F37" s="2692">
        <v>168</v>
      </c>
      <c r="G37" s="3461">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2608</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62">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2609</v>
      </c>
      <c r="B39" s="2699">
        <f t="shared" si="44"/>
        <v>210.630522469011</v>
      </c>
      <c r="C39" s="2699">
        <f t="shared" si="44"/>
        <v>181.69567812247232</v>
      </c>
      <c r="D39" s="2699">
        <f t="shared" si="28"/>
        <v>181.69567812247232</v>
      </c>
      <c r="E39" s="2699">
        <f t="shared" si="45"/>
        <v>286.13517466736738</v>
      </c>
      <c r="F39" s="2699">
        <f t="shared" si="45"/>
        <v>165.47535084591149</v>
      </c>
      <c r="G39" s="3462">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2610</v>
      </c>
      <c r="B40" s="2699">
        <f t="shared" si="44"/>
        <v>208.83454537875372</v>
      </c>
      <c r="C40" s="2699">
        <f t="shared" si="44"/>
        <v>183.77230517090351</v>
      </c>
      <c r="D40" s="2699">
        <f t="shared" si="28"/>
        <v>183.77230517090351</v>
      </c>
      <c r="E40" s="2699">
        <f t="shared" si="45"/>
        <v>281.10342338870947</v>
      </c>
      <c r="F40" s="2699">
        <f t="shared" si="45"/>
        <v>168.97309388942256</v>
      </c>
      <c r="G40" s="3463">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2611</v>
      </c>
      <c r="B41" s="2729">
        <v>214</v>
      </c>
      <c r="C41" s="2729">
        <v>188</v>
      </c>
      <c r="D41" s="2729">
        <f t="shared" si="28"/>
        <v>188</v>
      </c>
      <c r="E41" s="2729">
        <v>289</v>
      </c>
      <c r="F41" s="2730">
        <v>166</v>
      </c>
      <c r="G41" s="3461">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2612</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62">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2613</v>
      </c>
      <c r="B43" s="2699">
        <f t="shared" si="46"/>
        <v>206.31694671589116</v>
      </c>
      <c r="C43" s="2699">
        <f t="shared" si="46"/>
        <v>183.61041121036101</v>
      </c>
      <c r="D43" s="2699">
        <f t="shared" si="28"/>
        <v>183.61041121036101</v>
      </c>
      <c r="E43" s="2699">
        <f t="shared" si="47"/>
        <v>276.66850301795557</v>
      </c>
      <c r="F43" s="2699">
        <f t="shared" si="47"/>
        <v>165.1360938278614</v>
      </c>
      <c r="G43" s="3462">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2614</v>
      </c>
      <c r="B44" s="2732">
        <f t="shared" si="46"/>
        <v>196.62341248059772</v>
      </c>
      <c r="C44" s="2732">
        <f t="shared" si="46"/>
        <v>170.99125648199012</v>
      </c>
      <c r="D44" s="2732">
        <f t="shared" si="28"/>
        <v>170.99125648199012</v>
      </c>
      <c r="E44" s="2732">
        <f t="shared" si="47"/>
        <v>266.07857570490052</v>
      </c>
      <c r="F44" s="2732">
        <f t="shared" si="47"/>
        <v>154.53499328828505</v>
      </c>
      <c r="G44" s="3463">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2615</v>
      </c>
      <c r="B45" s="2691">
        <v>188</v>
      </c>
      <c r="C45" s="2691">
        <v>165</v>
      </c>
      <c r="D45" s="2691">
        <f t="shared" si="28"/>
        <v>165</v>
      </c>
      <c r="E45" s="2691">
        <v>254</v>
      </c>
      <c r="F45" s="2692">
        <v>148</v>
      </c>
      <c r="G45" s="3461">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2616</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62">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2617</v>
      </c>
      <c r="B47" s="2699">
        <f t="shared" si="50"/>
        <v>168.82017748715555</v>
      </c>
      <c r="C47" s="2699">
        <f t="shared" si="50"/>
        <v>148.06267029972753</v>
      </c>
      <c r="D47" s="2699">
        <f t="shared" si="28"/>
        <v>148.06267029972753</v>
      </c>
      <c r="E47" s="2699">
        <f t="shared" si="51"/>
        <v>216.46288379323747</v>
      </c>
      <c r="F47" s="2699">
        <f t="shared" si="51"/>
        <v>134.23529411764704</v>
      </c>
      <c r="G47" s="3462">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2618</v>
      </c>
      <c r="B48" s="2699">
        <f t="shared" si="50"/>
        <v>163.84913591779542</v>
      </c>
      <c r="C48" s="2699">
        <f t="shared" si="50"/>
        <v>145.0283378746594</v>
      </c>
      <c r="D48" s="2699">
        <f t="shared" si="28"/>
        <v>145.0283378746594</v>
      </c>
      <c r="E48" s="2699">
        <f t="shared" si="51"/>
        <v>204.95180722891567</v>
      </c>
      <c r="F48" s="2699">
        <f t="shared" si="51"/>
        <v>125.95920303605313</v>
      </c>
      <c r="G48" s="3463">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2619</v>
      </c>
      <c r="B49" s="2713">
        <v>159</v>
      </c>
      <c r="C49" s="2713">
        <v>141</v>
      </c>
      <c r="D49" s="2713">
        <f t="shared" si="28"/>
        <v>141</v>
      </c>
      <c r="E49" s="2713">
        <v>195</v>
      </c>
      <c r="F49" s="2714">
        <v>122</v>
      </c>
      <c r="G49" s="3461">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2620</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62">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2621</v>
      </c>
      <c r="B51" s="2699">
        <f t="shared" si="54"/>
        <v>146.57412060301507</v>
      </c>
      <c r="C51" s="2699">
        <f t="shared" si="54"/>
        <v>136.46831955922866</v>
      </c>
      <c r="D51" s="2699">
        <f t="shared" si="28"/>
        <v>136.46831955922866</v>
      </c>
      <c r="E51" s="2699">
        <f t="shared" si="55"/>
        <v>166.73864894795128</v>
      </c>
      <c r="F51" s="2699">
        <f t="shared" si="55"/>
        <v>115.05882352941177</v>
      </c>
      <c r="G51" s="3462">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2622</v>
      </c>
      <c r="B52" s="2699">
        <f t="shared" si="54"/>
        <v>144.04145728643215</v>
      </c>
      <c r="C52" s="2699">
        <f t="shared" si="54"/>
        <v>136.12396694214877</v>
      </c>
      <c r="D52" s="2699">
        <f t="shared" si="28"/>
        <v>136.12396694214877</v>
      </c>
      <c r="E52" s="2699">
        <f t="shared" si="55"/>
        <v>158.32225913621264</v>
      </c>
      <c r="F52" s="2699">
        <f t="shared" si="55"/>
        <v>114.04278074866311</v>
      </c>
      <c r="G52" s="3463">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2623</v>
      </c>
      <c r="B53" s="2713">
        <v>138</v>
      </c>
      <c r="C53" s="2713">
        <v>131</v>
      </c>
      <c r="D53" s="2713">
        <f t="shared" si="28"/>
        <v>131</v>
      </c>
      <c r="E53" s="2713">
        <v>155</v>
      </c>
      <c r="F53" s="2714">
        <v>114</v>
      </c>
      <c r="G53" s="3461">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2624</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62">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2625</v>
      </c>
      <c r="B55" s="2699">
        <f t="shared" si="58"/>
        <v>124.29032258064517</v>
      </c>
      <c r="C55" s="2699">
        <f t="shared" si="58"/>
        <v>123.8968609865471</v>
      </c>
      <c r="D55" s="2699">
        <f t="shared" si="28"/>
        <v>123.8968609865471</v>
      </c>
      <c r="E55" s="2699">
        <f t="shared" si="59"/>
        <v>138.00507614213197</v>
      </c>
      <c r="F55" s="2699">
        <f t="shared" si="59"/>
        <v>107.96106557377048</v>
      </c>
      <c r="G55" s="3462">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2626</v>
      </c>
      <c r="B56" s="2699">
        <f t="shared" si="58"/>
        <v>122.57204301075269</v>
      </c>
      <c r="C56" s="2699">
        <f t="shared" si="58"/>
        <v>123.4932735426009</v>
      </c>
      <c r="D56" s="2699">
        <f t="shared" si="28"/>
        <v>123.4932735426009</v>
      </c>
      <c r="E56" s="2699">
        <f t="shared" si="59"/>
        <v>129.82233502538071</v>
      </c>
      <c r="F56" s="2699">
        <f t="shared" si="59"/>
        <v>107.39446721311475</v>
      </c>
      <c r="G56" s="3463">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2627</v>
      </c>
      <c r="B57" s="2729">
        <v>121</v>
      </c>
      <c r="C57" s="2729">
        <v>122</v>
      </c>
      <c r="D57" s="2729">
        <f t="shared" si="28"/>
        <v>122</v>
      </c>
      <c r="E57" s="2729">
        <v>124</v>
      </c>
      <c r="F57" s="2730">
        <v>107</v>
      </c>
      <c r="G57" s="3461">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2628</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62">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2629</v>
      </c>
      <c r="B59" s="2699">
        <f t="shared" si="62"/>
        <v>116.99099099099099</v>
      </c>
      <c r="C59" s="2699">
        <f t="shared" si="62"/>
        <v>118.84848484848486</v>
      </c>
      <c r="D59" s="2699">
        <f t="shared" si="28"/>
        <v>118.84848484848486</v>
      </c>
      <c r="E59" s="2699">
        <f t="shared" si="63"/>
        <v>117.60960960960961</v>
      </c>
      <c r="F59" s="2699">
        <f t="shared" si="63"/>
        <v>104</v>
      </c>
      <c r="G59" s="3462">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2630</v>
      </c>
      <c r="B60" s="2732">
        <f t="shared" si="62"/>
        <v>112.48648648648648</v>
      </c>
      <c r="C60" s="2732">
        <f t="shared" si="62"/>
        <v>115.21212121212122</v>
      </c>
      <c r="D60" s="2732">
        <f t="shared" si="28"/>
        <v>115.21212121212122</v>
      </c>
      <c r="E60" s="2732">
        <f t="shared" si="63"/>
        <v>110.4024024024024</v>
      </c>
      <c r="F60" s="2732">
        <f t="shared" si="63"/>
        <v>104</v>
      </c>
      <c r="G60" s="3463">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2631</v>
      </c>
      <c r="B61" s="2750">
        <v>111</v>
      </c>
      <c r="C61" s="2750">
        <v>114</v>
      </c>
      <c r="D61" s="2750">
        <f t="shared" si="28"/>
        <v>114</v>
      </c>
      <c r="E61" s="2750">
        <v>108</v>
      </c>
      <c r="F61" s="2751">
        <v>104</v>
      </c>
      <c r="G61" s="3461">
        <v>2003</v>
      </c>
      <c r="H61" s="2740">
        <v>4</v>
      </c>
      <c r="I61" s="2752"/>
      <c r="J61" s="2752"/>
      <c r="K61" s="2752"/>
      <c r="L61" s="2752"/>
      <c r="N61" s="2753"/>
      <c r="O61" s="2752"/>
      <c r="P61" s="2752"/>
      <c r="Q61" s="2752"/>
      <c r="S61" s="2753"/>
      <c r="T61" s="2752"/>
      <c r="U61" s="2752"/>
      <c r="V61" s="2752"/>
      <c r="X61" s="2744"/>
      <c r="Y61" s="2744"/>
      <c r="Z61" s="2744"/>
    </row>
    <row r="62" spans="1:26">
      <c r="A62" s="2685" t="s">
        <v>2632</v>
      </c>
      <c r="B62" s="2754">
        <f t="shared" ref="B62:C64" si="64">B63+(B$61-B$65)/4</f>
        <v>109.75</v>
      </c>
      <c r="C62" s="2754">
        <f t="shared" si="64"/>
        <v>112.25</v>
      </c>
      <c r="D62" s="2754">
        <f t="shared" si="28"/>
        <v>112.25</v>
      </c>
      <c r="E62" s="2754">
        <f t="shared" ref="E62:F64" si="65">E63+(E$61-E$65)/4</f>
        <v>107.25</v>
      </c>
      <c r="F62" s="2754">
        <f t="shared" si="65"/>
        <v>103.5</v>
      </c>
      <c r="G62" s="3462">
        <v>2003</v>
      </c>
      <c r="H62" s="2710">
        <v>3</v>
      </c>
      <c r="I62" s="2752"/>
      <c r="J62" s="2752"/>
      <c r="K62" s="2752"/>
      <c r="L62" s="2752"/>
      <c r="X62" s="2744"/>
      <c r="Y62" s="2744"/>
      <c r="Z62" s="2744"/>
    </row>
    <row r="63" spans="1:26">
      <c r="A63" s="2685" t="s">
        <v>2633</v>
      </c>
      <c r="B63" s="2754">
        <f t="shared" si="64"/>
        <v>108.5</v>
      </c>
      <c r="C63" s="2754">
        <f t="shared" si="64"/>
        <v>110.5</v>
      </c>
      <c r="D63" s="2754">
        <f t="shared" si="28"/>
        <v>110.5</v>
      </c>
      <c r="E63" s="2754">
        <f t="shared" si="65"/>
        <v>106.5</v>
      </c>
      <c r="F63" s="2754">
        <f t="shared" si="65"/>
        <v>103</v>
      </c>
      <c r="G63" s="3462">
        <v>2003</v>
      </c>
      <c r="H63" s="2690">
        <v>2</v>
      </c>
      <c r="I63" s="2752"/>
      <c r="J63" s="2752"/>
      <c r="K63" s="2752"/>
      <c r="L63" s="2752"/>
      <c r="X63" s="2744"/>
      <c r="Y63" s="2744"/>
      <c r="Z63" s="2744"/>
    </row>
    <row r="64" spans="1:26" ht="13.5" thickBot="1">
      <c r="A64" s="2685" t="s">
        <v>2634</v>
      </c>
      <c r="B64" s="2754">
        <f t="shared" si="64"/>
        <v>107.25</v>
      </c>
      <c r="C64" s="2754">
        <f t="shared" si="64"/>
        <v>108.75</v>
      </c>
      <c r="D64" s="2754">
        <f t="shared" si="28"/>
        <v>108.75</v>
      </c>
      <c r="E64" s="2754">
        <f t="shared" si="65"/>
        <v>105.75</v>
      </c>
      <c r="F64" s="2754">
        <f t="shared" si="65"/>
        <v>102.5</v>
      </c>
      <c r="G64" s="3463">
        <v>2003</v>
      </c>
      <c r="H64" s="2755">
        <v>1</v>
      </c>
      <c r="I64" s="2752"/>
      <c r="J64" s="2752"/>
      <c r="K64" s="2752"/>
      <c r="L64" s="2752"/>
      <c r="S64" s="2694"/>
      <c r="T64" s="2695"/>
      <c r="U64" s="2695"/>
      <c r="X64" s="2744"/>
      <c r="Y64" s="2744"/>
      <c r="Z64" s="2744"/>
    </row>
    <row r="65" spans="1:26" ht="13.5" thickBot="1">
      <c r="A65" s="2685" t="s">
        <v>2635</v>
      </c>
      <c r="B65" s="2756">
        <v>106</v>
      </c>
      <c r="C65" s="2756">
        <v>107</v>
      </c>
      <c r="D65" s="2756">
        <f t="shared" si="28"/>
        <v>107</v>
      </c>
      <c r="E65" s="2756">
        <v>105</v>
      </c>
      <c r="F65" s="2757">
        <v>102</v>
      </c>
      <c r="G65" s="3461">
        <v>2002</v>
      </c>
      <c r="H65" s="2705">
        <v>4</v>
      </c>
      <c r="I65" s="2752"/>
      <c r="J65" s="2752"/>
      <c r="K65" s="2752"/>
      <c r="L65" s="2752"/>
      <c r="N65" s="2753"/>
      <c r="O65" s="2752"/>
      <c r="P65" s="2752"/>
      <c r="Q65" s="2752"/>
      <c r="S65" s="2753"/>
      <c r="T65" s="2752"/>
      <c r="U65" s="2752"/>
      <c r="V65" s="2752"/>
      <c r="X65" s="2744"/>
      <c r="Y65" s="2744"/>
      <c r="Z65" s="2744"/>
    </row>
    <row r="66" spans="1:26">
      <c r="A66" s="2685" t="s">
        <v>2636</v>
      </c>
      <c r="B66" s="2754">
        <f t="shared" ref="B66:C68" si="66">B67+(B$65-B$69)/4</f>
        <v>105</v>
      </c>
      <c r="C66" s="2754">
        <f t="shared" si="66"/>
        <v>106</v>
      </c>
      <c r="D66" s="2754">
        <f t="shared" si="28"/>
        <v>106</v>
      </c>
      <c r="E66" s="2754">
        <f t="shared" ref="E66:F68" si="67">E67+(E$65-E$69)/4</f>
        <v>104.5</v>
      </c>
      <c r="F66" s="2754">
        <f t="shared" si="67"/>
        <v>101.5</v>
      </c>
      <c r="G66" s="3462">
        <v>2002</v>
      </c>
      <c r="H66" s="2710">
        <v>3</v>
      </c>
      <c r="I66" s="2752"/>
      <c r="J66" s="2752"/>
      <c r="K66" s="2752"/>
      <c r="L66" s="2752"/>
      <c r="X66" s="2744"/>
      <c r="Y66" s="2744"/>
      <c r="Z66" s="2744"/>
    </row>
    <row r="67" spans="1:26">
      <c r="A67" s="2685" t="s">
        <v>2637</v>
      </c>
      <c r="B67" s="2754">
        <f t="shared" si="66"/>
        <v>104</v>
      </c>
      <c r="C67" s="2754">
        <f t="shared" si="66"/>
        <v>105</v>
      </c>
      <c r="D67" s="2754">
        <f t="shared" si="28"/>
        <v>105</v>
      </c>
      <c r="E67" s="2754">
        <f t="shared" si="67"/>
        <v>104</v>
      </c>
      <c r="F67" s="2754">
        <f t="shared" si="67"/>
        <v>101</v>
      </c>
      <c r="G67" s="3462">
        <v>2002</v>
      </c>
      <c r="H67" s="2690">
        <v>2</v>
      </c>
      <c r="I67" s="2752"/>
      <c r="J67" s="2752"/>
      <c r="K67" s="2752"/>
      <c r="L67" s="2752"/>
      <c r="X67" s="2744"/>
      <c r="Y67" s="2744"/>
      <c r="Z67" s="2744"/>
    </row>
    <row r="68" spans="1:26" s="2721" customFormat="1" ht="13.5" thickBot="1">
      <c r="A68" s="2717" t="s">
        <v>2638</v>
      </c>
      <c r="B68" s="2758">
        <f t="shared" si="66"/>
        <v>103</v>
      </c>
      <c r="C68" s="2758">
        <f t="shared" si="66"/>
        <v>104</v>
      </c>
      <c r="D68" s="2758">
        <f t="shared" si="28"/>
        <v>104</v>
      </c>
      <c r="E68" s="2758">
        <f t="shared" si="67"/>
        <v>103.5</v>
      </c>
      <c r="F68" s="2758">
        <f t="shared" si="67"/>
        <v>100.5</v>
      </c>
      <c r="G68" s="3463">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2639</v>
      </c>
      <c r="G71" s="2768"/>
      <c r="N71" s="2768"/>
      <c r="S71" s="2768"/>
    </row>
    <row r="72" spans="1:26" s="2767" customFormat="1">
      <c r="A72" s="2767" t="s">
        <v>2640</v>
      </c>
      <c r="G72" s="2768"/>
      <c r="N72" s="2768"/>
      <c r="S72" s="2768"/>
    </row>
    <row r="73" spans="1:26" s="2767" customFormat="1">
      <c r="A73" s="2767" t="s">
        <v>2641</v>
      </c>
      <c r="G73" s="2768"/>
      <c r="I73" s="2769"/>
      <c r="J73" s="2769"/>
      <c r="K73" s="2769"/>
      <c r="L73" s="2769"/>
      <c r="N73" s="2770"/>
      <c r="O73" s="2769"/>
      <c r="P73" s="2769"/>
      <c r="Q73" s="2769"/>
      <c r="S73" s="2770"/>
      <c r="T73" s="2769"/>
      <c r="U73" s="2769"/>
      <c r="V73" s="2769"/>
    </row>
    <row r="74" spans="1:26" s="2767" customFormat="1">
      <c r="A74" s="2767" t="s">
        <v>2642</v>
      </c>
      <c r="G74" s="2768"/>
      <c r="N74" s="2768"/>
      <c r="S74" s="2768"/>
    </row>
    <row r="81" spans="7:22" ht="13.5" thickBot="1"/>
    <row r="82" spans="7:22">
      <c r="G82" s="2693"/>
      <c r="S82" s="2771" t="s">
        <v>2643</v>
      </c>
      <c r="T82" s="2772" t="s">
        <v>2644</v>
      </c>
      <c r="U82" s="2772" t="s">
        <v>2645</v>
      </c>
      <c r="V82" s="2772" t="s">
        <v>2646</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2478</v>
      </c>
      <c r="B1" s="3472"/>
      <c r="C1" s="3473"/>
      <c r="D1" s="3474">
        <f>SUM(I10,I15,I20,I21,I23)</f>
        <v>0</v>
      </c>
      <c r="E1" s="3474"/>
      <c r="F1" s="3474"/>
      <c r="G1" s="3474"/>
      <c r="H1" s="3474"/>
      <c r="I1" s="3475"/>
    </row>
    <row r="2" spans="1:9">
      <c r="A2" s="3476" t="s">
        <v>2479</v>
      </c>
      <c r="B2" s="3477" t="s">
        <v>2480</v>
      </c>
      <c r="C2" s="3477"/>
      <c r="D2" s="2536" t="s">
        <v>2481</v>
      </c>
      <c r="E2" s="2536" t="s">
        <v>2482</v>
      </c>
      <c r="F2" s="2536" t="s">
        <v>2483</v>
      </c>
      <c r="G2" s="2536" t="s">
        <v>2484</v>
      </c>
      <c r="H2" s="2536" t="s">
        <v>2485</v>
      </c>
      <c r="I2" s="2537" t="s">
        <v>2486</v>
      </c>
    </row>
    <row r="3" spans="1:9">
      <c r="A3" s="3476"/>
      <c r="B3" s="3477" t="s">
        <v>2487</v>
      </c>
      <c r="C3" s="3477"/>
      <c r="D3" s="2538"/>
      <c r="E3" s="2536"/>
      <c r="F3" s="2539"/>
      <c r="G3" s="2539"/>
      <c r="H3" s="2540"/>
      <c r="I3" s="2541">
        <f>ROUND(D3*E3*F3*G3*H3/10000,0)</f>
        <v>0</v>
      </c>
    </row>
    <row r="4" spans="1:9">
      <c r="A4" s="3476"/>
      <c r="B4" s="3477" t="s">
        <v>2488</v>
      </c>
      <c r="C4" s="3477"/>
      <c r="D4" s="2538"/>
      <c r="E4" s="2536"/>
      <c r="F4" s="2539"/>
      <c r="G4" s="2539"/>
      <c r="H4" s="2540"/>
      <c r="I4" s="2541">
        <f t="shared" ref="I4:I9" si="0">ROUND(D4*E4*F4*G4*H4/10000,0)</f>
        <v>0</v>
      </c>
    </row>
    <row r="5" spans="1:9">
      <c r="A5" s="3476"/>
      <c r="B5" s="3477" t="s">
        <v>2489</v>
      </c>
      <c r="C5" s="3477"/>
      <c r="D5" s="2538"/>
      <c r="E5" s="2536"/>
      <c r="F5" s="2539"/>
      <c r="G5" s="2539"/>
      <c r="H5" s="2540"/>
      <c r="I5" s="2541">
        <f t="shared" si="0"/>
        <v>0</v>
      </c>
    </row>
    <row r="6" spans="1:9">
      <c r="A6" s="3476"/>
      <c r="B6" s="3477" t="s">
        <v>2490</v>
      </c>
      <c r="C6" s="3477"/>
      <c r="D6" s="2538"/>
      <c r="E6" s="2536"/>
      <c r="F6" s="2539"/>
      <c r="G6" s="2539"/>
      <c r="H6" s="2540"/>
      <c r="I6" s="2541">
        <f t="shared" si="0"/>
        <v>0</v>
      </c>
    </row>
    <row r="7" spans="1:9">
      <c r="A7" s="3476"/>
      <c r="B7" s="3477" t="s">
        <v>2491</v>
      </c>
      <c r="C7" s="3477"/>
      <c r="D7" s="2538"/>
      <c r="E7" s="2536"/>
      <c r="F7" s="2539"/>
      <c r="G7" s="2539"/>
      <c r="H7" s="2540"/>
      <c r="I7" s="2541">
        <f t="shared" si="0"/>
        <v>0</v>
      </c>
    </row>
    <row r="8" spans="1:9">
      <c r="A8" s="3476"/>
      <c r="B8" s="3477" t="s">
        <v>2492</v>
      </c>
      <c r="C8" s="3477"/>
      <c r="D8" s="2538"/>
      <c r="E8" s="2536"/>
      <c r="F8" s="2539"/>
      <c r="G8" s="2539"/>
      <c r="H8" s="2540"/>
      <c r="I8" s="2541">
        <f t="shared" si="0"/>
        <v>0</v>
      </c>
    </row>
    <row r="9" spans="1:9">
      <c r="A9" s="3476"/>
      <c r="B9" s="3477" t="s">
        <v>2493</v>
      </c>
      <c r="C9" s="3477"/>
      <c r="D9" s="2538"/>
      <c r="E9" s="2536"/>
      <c r="F9" s="2539"/>
      <c r="G9" s="2539"/>
      <c r="H9" s="2540"/>
      <c r="I9" s="2541">
        <f t="shared" si="0"/>
        <v>0</v>
      </c>
    </row>
    <row r="10" spans="1:9">
      <c r="A10" s="3476"/>
      <c r="B10" s="3478" t="s">
        <v>2494</v>
      </c>
      <c r="C10" s="3478"/>
      <c r="D10" s="2542">
        <v>527</v>
      </c>
      <c r="E10" s="2542" t="e">
        <f>ROUND(D1*10000/D10/H9,0)</f>
        <v>#DIV/0!</v>
      </c>
      <c r="F10" s="2543"/>
      <c r="G10" s="2543"/>
      <c r="H10" s="2544"/>
      <c r="I10" s="2545">
        <f>SUM(I3:I9)</f>
        <v>0</v>
      </c>
    </row>
    <row r="11" spans="1:9" ht="14.25">
      <c r="A11" s="3476" t="s">
        <v>2495</v>
      </c>
      <c r="B11" s="3477" t="s">
        <v>2496</v>
      </c>
      <c r="C11" s="3477"/>
      <c r="D11" s="2538" t="s">
        <v>2497</v>
      </c>
      <c r="E11" s="2538" t="s">
        <v>2498</v>
      </c>
      <c r="F11" s="2539" t="s">
        <v>2499</v>
      </c>
      <c r="G11" s="2539" t="s">
        <v>2500</v>
      </c>
      <c r="H11" s="2546" t="s">
        <v>2501</v>
      </c>
      <c r="I11" s="2537" t="s">
        <v>2502</v>
      </c>
    </row>
    <row r="12" spans="1:9">
      <c r="A12" s="3476"/>
      <c r="B12" s="3477" t="s">
        <v>2503</v>
      </c>
      <c r="C12" s="3477"/>
      <c r="D12" s="2538"/>
      <c r="E12" s="2538"/>
      <c r="F12" s="2539"/>
      <c r="G12" s="2540"/>
      <c r="H12" s="2547"/>
      <c r="I12" s="2537">
        <f>ROUND(D12*E12*F12*G12/10000,0)</f>
        <v>0</v>
      </c>
    </row>
    <row r="13" spans="1:9">
      <c r="A13" s="3476"/>
      <c r="B13" s="3477" t="s">
        <v>2504</v>
      </c>
      <c r="C13" s="3477"/>
      <c r="D13" s="2538"/>
      <c r="E13" s="2538"/>
      <c r="F13" s="2539"/>
      <c r="G13" s="2540"/>
      <c r="H13" s="2547"/>
      <c r="I13" s="2537">
        <f>ROUND(D13*E13*F13*G13/10000,0)</f>
        <v>0</v>
      </c>
    </row>
    <row r="14" spans="1:9">
      <c r="A14" s="3476"/>
      <c r="B14" s="3477" t="s">
        <v>2505</v>
      </c>
      <c r="C14" s="3477"/>
      <c r="D14" s="2538"/>
      <c r="E14" s="2538"/>
      <c r="F14" s="2539"/>
      <c r="G14" s="2540"/>
      <c r="H14" s="2547"/>
      <c r="I14" s="2537">
        <f>ROUND(D14*E14*F14*G14/10000,0)</f>
        <v>0</v>
      </c>
    </row>
    <row r="15" spans="1:9">
      <c r="A15" s="3476"/>
      <c r="B15" s="3478" t="s">
        <v>2494</v>
      </c>
      <c r="C15" s="3478"/>
      <c r="D15" s="2542"/>
      <c r="E15" s="2542">
        <f>SUM(E12:E14)</f>
        <v>0</v>
      </c>
      <c r="F15" s="2543"/>
      <c r="G15" s="2540"/>
      <c r="H15" s="2547"/>
      <c r="I15" s="2548">
        <f>SUM(I12:I14)</f>
        <v>0</v>
      </c>
    </row>
    <row r="16" spans="1:9" ht="24">
      <c r="A16" s="3476" t="s">
        <v>2506</v>
      </c>
      <c r="B16" s="3477" t="s">
        <v>2507</v>
      </c>
      <c r="C16" s="3477"/>
      <c r="D16" s="2538" t="s">
        <v>2508</v>
      </c>
      <c r="E16" s="2549" t="s">
        <v>2509</v>
      </c>
      <c r="F16" s="2539" t="s">
        <v>2510</v>
      </c>
      <c r="G16" s="2540" t="s">
        <v>2500</v>
      </c>
      <c r="H16" s="2546" t="s">
        <v>2501</v>
      </c>
      <c r="I16" s="2537" t="s">
        <v>2502</v>
      </c>
    </row>
    <row r="17" spans="1:9" ht="14.25">
      <c r="A17" s="3476"/>
      <c r="B17" s="3477" t="s">
        <v>2511</v>
      </c>
      <c r="C17" s="3477"/>
      <c r="D17" s="2538"/>
      <c r="E17" s="2538"/>
      <c r="F17" s="2539"/>
      <c r="G17" s="2540"/>
      <c r="H17" s="2550"/>
      <c r="I17" s="2551">
        <f>ROUND(D17*E17*F17*G17/10000,0)</f>
        <v>0</v>
      </c>
    </row>
    <row r="18" spans="1:9" ht="14.25">
      <c r="A18" s="3476"/>
      <c r="B18" s="3477" t="s">
        <v>2512</v>
      </c>
      <c r="C18" s="3477"/>
      <c r="D18" s="2538"/>
      <c r="E18" s="2538"/>
      <c r="F18" s="2539"/>
      <c r="G18" s="2540"/>
      <c r="H18" s="2550"/>
      <c r="I18" s="2551">
        <f>ROUND(D18*E18*F18*G18/10000,0)</f>
        <v>0</v>
      </c>
    </row>
    <row r="19" spans="1:9" ht="14.25">
      <c r="A19" s="3476"/>
      <c r="B19" s="3477" t="s">
        <v>2513</v>
      </c>
      <c r="C19" s="3477"/>
      <c r="D19" s="2538"/>
      <c r="E19" s="2538"/>
      <c r="F19" s="2539"/>
      <c r="G19" s="2540"/>
      <c r="H19" s="2550"/>
      <c r="I19" s="2551">
        <f>ROUND(D19*E19*F19*G19/10000,0)</f>
        <v>0</v>
      </c>
    </row>
    <row r="20" spans="1:9">
      <c r="A20" s="3476"/>
      <c r="B20" s="3478" t="s">
        <v>2494</v>
      </c>
      <c r="C20" s="3478"/>
      <c r="D20" s="2542">
        <f>SUM(D17:D19)</f>
        <v>0</v>
      </c>
      <c r="E20" s="2542"/>
      <c r="F20" s="2543"/>
      <c r="G20" s="2540"/>
      <c r="H20" s="2547"/>
      <c r="I20" s="2548">
        <f>SUM(I17:I19)</f>
        <v>0</v>
      </c>
    </row>
    <row r="21" spans="1:9">
      <c r="A21" s="3476" t="s">
        <v>2514</v>
      </c>
      <c r="B21" s="3480"/>
      <c r="C21" s="3480"/>
      <c r="D21" s="3480"/>
      <c r="E21" s="3480"/>
      <c r="F21" s="3480"/>
      <c r="G21" s="3480"/>
      <c r="H21" s="2552">
        <v>0.1</v>
      </c>
      <c r="I21" s="2545">
        <f>ROUND(I10*H21,0)</f>
        <v>0</v>
      </c>
    </row>
    <row r="22" spans="1:9" ht="14.25">
      <c r="A22" s="3481" t="s">
        <v>2515</v>
      </c>
      <c r="B22" s="3482"/>
      <c r="C22" s="3483"/>
      <c r="D22" s="2553" t="s">
        <v>2516</v>
      </c>
      <c r="E22" s="2553" t="s">
        <v>2517</v>
      </c>
      <c r="F22" s="2554" t="s">
        <v>2518</v>
      </c>
      <c r="G22" s="2554" t="s">
        <v>2519</v>
      </c>
      <c r="H22" s="2546" t="s">
        <v>2520</v>
      </c>
      <c r="I22" s="2537" t="s">
        <v>2521</v>
      </c>
    </row>
    <row r="23" spans="1:9" ht="14.25" thickBot="1">
      <c r="A23" s="3484"/>
      <c r="B23" s="3485"/>
      <c r="C23" s="3486"/>
      <c r="D23" s="2555"/>
      <c r="E23" s="2555"/>
      <c r="F23" s="2555"/>
      <c r="G23" s="2556"/>
      <c r="H23" s="2557"/>
      <c r="I23" s="2558">
        <f>ROUND(E23*D23*F23*(1-G23)/10000,0)</f>
        <v>0</v>
      </c>
    </row>
    <row r="26" spans="1:9">
      <c r="A26" s="2559" t="s">
        <v>2522</v>
      </c>
      <c r="B26" s="2559"/>
      <c r="C26" s="2559"/>
      <c r="D26" s="2559"/>
      <c r="E26" s="3487">
        <f>C27-C30-C31-C32</f>
        <v>0</v>
      </c>
      <c r="F26" s="3487"/>
      <c r="G26" s="3487"/>
      <c r="H26" s="3075" t="s">
        <v>2852</v>
      </c>
    </row>
    <row r="27" spans="1:9">
      <c r="A27" s="2560">
        <v>1</v>
      </c>
      <c r="B27" s="2561" t="s">
        <v>2523</v>
      </c>
      <c r="C27" s="2561"/>
      <c r="D27" s="2561"/>
      <c r="E27" s="3488"/>
      <c r="F27" s="3488"/>
      <c r="G27" s="3488"/>
    </row>
    <row r="28" spans="1:9">
      <c r="A28" s="2562" t="s">
        <v>2524</v>
      </c>
      <c r="B28" s="2561" t="s">
        <v>2525</v>
      </c>
      <c r="C28" s="2561"/>
      <c r="D28" s="2561"/>
      <c r="E28" s="3488"/>
      <c r="F28" s="3488"/>
      <c r="G28" s="3488"/>
    </row>
    <row r="29" spans="1:9">
      <c r="A29" s="2562" t="s">
        <v>2526</v>
      </c>
      <c r="B29" s="2561" t="s">
        <v>2466</v>
      </c>
      <c r="C29" s="2561"/>
      <c r="D29" s="2561"/>
      <c r="E29" s="2561" t="s">
        <v>2527</v>
      </c>
      <c r="F29" s="2561"/>
      <c r="G29" s="2561"/>
    </row>
    <row r="30" spans="1:9">
      <c r="A30" s="2560">
        <v>2</v>
      </c>
      <c r="B30" s="2561" t="s">
        <v>2528</v>
      </c>
      <c r="C30" s="2561">
        <f>C27*D30</f>
        <v>0</v>
      </c>
      <c r="D30" s="2563">
        <v>0.2</v>
      </c>
      <c r="E30" s="2561" t="s">
        <v>2529</v>
      </c>
      <c r="F30" s="2561"/>
      <c r="G30" s="2561"/>
    </row>
    <row r="31" spans="1:9">
      <c r="A31" s="2560">
        <v>3</v>
      </c>
      <c r="B31" s="2561" t="s">
        <v>2530</v>
      </c>
      <c r="C31" s="2561">
        <f>C25*D31</f>
        <v>0</v>
      </c>
      <c r="D31" s="2563">
        <v>0.15</v>
      </c>
      <c r="E31" s="2561" t="s">
        <v>2531</v>
      </c>
      <c r="F31" s="2561"/>
      <c r="G31" s="2561"/>
    </row>
    <row r="32" spans="1:9">
      <c r="A32" s="2560">
        <v>4</v>
      </c>
      <c r="B32" s="2561" t="s">
        <v>2532</v>
      </c>
      <c r="C32" s="2561">
        <f>C27*D32</f>
        <v>0</v>
      </c>
      <c r="D32" s="2563">
        <v>0.05</v>
      </c>
      <c r="E32" s="3479"/>
      <c r="F32" s="3479"/>
      <c r="G32" s="3479"/>
    </row>
    <row r="33" spans="1:7" hidden="1">
      <c r="A33" s="3489" t="s">
        <v>2533</v>
      </c>
      <c r="B33" s="3490"/>
      <c r="C33" s="3490"/>
      <c r="D33" s="3491"/>
      <c r="E33" s="3487"/>
      <c r="F33" s="3487"/>
      <c r="G33" s="3487"/>
    </row>
    <row r="34" spans="1:7" hidden="1">
      <c r="A34" s="2564">
        <v>1</v>
      </c>
      <c r="B34" s="2561" t="s">
        <v>2534</v>
      </c>
      <c r="C34" s="2561"/>
      <c r="D34" s="2561"/>
      <c r="E34" s="3488"/>
      <c r="F34" s="3488"/>
      <c r="G34" s="3488"/>
    </row>
    <row r="35" spans="1:7" hidden="1">
      <c r="A35" s="2564">
        <v>2</v>
      </c>
      <c r="B35" s="2561" t="s">
        <v>2535</v>
      </c>
      <c r="C35" s="2561"/>
      <c r="D35" s="2561"/>
      <c r="E35" s="3488"/>
      <c r="F35" s="3488"/>
      <c r="G35" s="3488"/>
    </row>
    <row r="36" spans="1:7" hidden="1">
      <c r="A36" s="2564">
        <v>3</v>
      </c>
      <c r="B36" s="2561" t="s">
        <v>2536</v>
      </c>
      <c r="C36" s="2561"/>
      <c r="D36" s="2561"/>
      <c r="E36" s="3488"/>
      <c r="F36" s="3488"/>
      <c r="G36" s="3488"/>
    </row>
    <row r="37" spans="1:7" hidden="1">
      <c r="A37" s="2564">
        <v>4</v>
      </c>
      <c r="B37" s="2561" t="s">
        <v>2537</v>
      </c>
      <c r="C37" s="2561"/>
      <c r="D37" s="2561"/>
      <c r="E37" s="3488"/>
      <c r="F37" s="3488"/>
      <c r="G37" s="3488"/>
    </row>
    <row r="38" spans="1:7" hidden="1">
      <c r="A38" s="3489" t="s">
        <v>2538</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166445.44999999998</v>
      </c>
      <c r="E10" s="752">
        <f>'数据-取费表'!B31</f>
        <v>100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0</v>
      </c>
      <c r="D12" s="761">
        <f>'数据-汇总表'!E5</f>
        <v>0</v>
      </c>
      <c r="E12" s="760">
        <f>'数据-取费表'!B27</f>
        <v>150</v>
      </c>
      <c r="F12" s="758"/>
      <c r="G12" s="762"/>
    </row>
    <row r="13" spans="1:25" s="2188" customFormat="1" ht="13.5" customHeight="1">
      <c r="A13" s="2505" t="s">
        <v>2452</v>
      </c>
      <c r="B13" s="759" t="s">
        <v>613</v>
      </c>
      <c r="C13" s="760">
        <f>ROUND(D13*E13/10000,0)</f>
        <v>2497</v>
      </c>
      <c r="D13" s="761">
        <f>'数据-汇总表'!E6</f>
        <v>166445.44999999998</v>
      </c>
      <c r="E13" s="760">
        <f>'数据-取费表'!B28</f>
        <v>150</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0.12</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0.82499999999999996</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c r="E1" s="2655"/>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t="e">
        <f>ROUND(B3*D3/10000,0)</f>
        <v>#DIV/0!</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4" t="s">
        <v>523</v>
      </c>
      <c r="D4" s="3375"/>
      <c r="E4" s="3412" t="s">
        <v>524</v>
      </c>
      <c r="F4" s="3413"/>
      <c r="G4" s="3374" t="s">
        <v>525</v>
      </c>
      <c r="H4" s="3375"/>
      <c r="I4" s="3374" t="s">
        <v>526</v>
      </c>
      <c r="J4" s="3375"/>
      <c r="K4" s="856" t="s">
        <v>527</v>
      </c>
      <c r="L4" s="2138"/>
      <c r="M4" s="2139"/>
      <c r="N4" s="2139"/>
      <c r="O4" s="2139"/>
      <c r="P4" s="3376" t="s">
        <v>528</v>
      </c>
      <c r="Q4" s="3377"/>
      <c r="R4" s="3382" t="s">
        <v>524</v>
      </c>
      <c r="S4" s="3383"/>
      <c r="T4" s="3382" t="s">
        <v>525</v>
      </c>
      <c r="U4" s="3383"/>
      <c r="V4" s="3369" t="s">
        <v>526</v>
      </c>
      <c r="W4" s="3369"/>
      <c r="X4" s="1571"/>
      <c r="Y4" s="3382" t="s">
        <v>528</v>
      </c>
      <c r="Z4" s="3383"/>
      <c r="AA4" s="3371" t="s">
        <v>524</v>
      </c>
      <c r="AB4" s="3371" t="s">
        <v>525</v>
      </c>
      <c r="AC4" s="3371" t="s">
        <v>526</v>
      </c>
    </row>
    <row r="5" spans="1:29" ht="15">
      <c r="A5" s="518"/>
      <c r="B5" s="519"/>
      <c r="C5" s="3392" t="s">
        <v>2939</v>
      </c>
      <c r="D5" s="3391"/>
      <c r="E5" s="3429" t="s">
        <v>2940</v>
      </c>
      <c r="F5" s="3421"/>
      <c r="G5" s="3392" t="s">
        <v>2941</v>
      </c>
      <c r="H5" s="3391"/>
      <c r="I5" s="3392" t="s">
        <v>2942</v>
      </c>
      <c r="J5" s="3391"/>
      <c r="K5" s="857"/>
      <c r="L5" s="2138"/>
      <c r="M5" s="2139"/>
      <c r="N5" s="2139"/>
      <c r="O5" s="2139"/>
      <c r="P5" s="3378"/>
      <c r="Q5" s="3379"/>
      <c r="R5" s="3384"/>
      <c r="S5" s="3385"/>
      <c r="T5" s="3384"/>
      <c r="U5" s="3385"/>
      <c r="V5" s="3369"/>
      <c r="W5" s="3369"/>
      <c r="X5" s="1571"/>
      <c r="Y5" s="3384"/>
      <c r="Z5" s="3385"/>
      <c r="AA5" s="3372"/>
      <c r="AB5" s="3372"/>
      <c r="AC5" s="3372"/>
    </row>
    <row r="6" spans="1:29" ht="15.75" thickBot="1">
      <c r="A6" s="520"/>
      <c r="B6" s="521"/>
      <c r="C6" s="3417" t="s">
        <v>2943</v>
      </c>
      <c r="D6" s="3389"/>
      <c r="E6" s="3428" t="s">
        <v>2943</v>
      </c>
      <c r="F6" s="3419"/>
      <c r="G6" s="3417" t="s">
        <v>2943</v>
      </c>
      <c r="H6" s="3389"/>
      <c r="I6" s="3417" t="s">
        <v>2943</v>
      </c>
      <c r="J6" s="3389"/>
      <c r="K6" s="857" t="s">
        <v>529</v>
      </c>
      <c r="L6" s="2138"/>
      <c r="M6" s="2139"/>
      <c r="N6" s="2139"/>
      <c r="O6" s="2139"/>
      <c r="P6" s="3380"/>
      <c r="Q6" s="3381"/>
      <c r="R6" s="3384"/>
      <c r="S6" s="3385"/>
      <c r="T6" s="3386"/>
      <c r="U6" s="3387"/>
      <c r="V6" s="3369"/>
      <c r="W6" s="3369"/>
      <c r="X6" s="1571"/>
      <c r="Y6" s="3386"/>
      <c r="Z6" s="3387"/>
      <c r="AA6" s="3373"/>
      <c r="AB6" s="3373"/>
      <c r="AC6" s="3373"/>
    </row>
    <row r="7" spans="1:29" s="1223" customFormat="1" ht="15.75" thickBot="1">
      <c r="A7" s="2943"/>
      <c r="B7" s="2950" t="s">
        <v>530</v>
      </c>
      <c r="C7" s="522">
        <f>'数据-取费表'!B2</f>
        <v>43020</v>
      </c>
      <c r="D7" s="523">
        <v>100</v>
      </c>
      <c r="E7" s="524"/>
      <c r="F7" s="525">
        <f>SUMIF(58:58,YEAR(E7)&amp;"-"&amp;MONTH(E7),59:59)</f>
        <v>0</v>
      </c>
      <c r="G7" s="526"/>
      <c r="H7" s="523">
        <f>SUMIF(58:58,YEAR(G7)&amp;"-"&amp;MONTH(G7),59:59)</f>
        <v>0</v>
      </c>
      <c r="I7" s="526"/>
      <c r="J7" s="523">
        <f>SUMIF(58:58,YEAR(I7)&amp;"-"&amp;MONTH(I7),59:59)</f>
        <v>0</v>
      </c>
      <c r="K7" s="858"/>
      <c r="L7" s="2140"/>
      <c r="M7" s="2141"/>
      <c r="N7" s="2141"/>
      <c r="O7" s="2141"/>
      <c r="P7" s="3401" t="s">
        <v>531</v>
      </c>
      <c r="Q7" s="3403"/>
      <c r="R7" s="1572" t="s">
        <v>13</v>
      </c>
      <c r="S7" s="1573">
        <f t="shared" ref="S7:S15" si="0">F7</f>
        <v>0</v>
      </c>
      <c r="T7" s="1572" t="s">
        <v>13</v>
      </c>
      <c r="U7" s="1573">
        <f t="shared" ref="U7:U15" si="1">H7</f>
        <v>0</v>
      </c>
      <c r="V7" s="1572" t="s">
        <v>13</v>
      </c>
      <c r="W7" s="1573">
        <f t="shared" ref="W7:W15" si="2">J7</f>
        <v>0</v>
      </c>
      <c r="X7" s="1574"/>
      <c r="Y7" s="3401" t="s">
        <v>531</v>
      </c>
      <c r="Z7" s="3402"/>
      <c r="AA7" s="1575" t="e">
        <f>D7/F7</f>
        <v>#DIV/0!</v>
      </c>
      <c r="AB7" s="1575" t="e">
        <f>D7/H7</f>
        <v>#DIV/0!</v>
      </c>
      <c r="AC7" s="1575" t="e">
        <f>D7/J7</f>
        <v>#DIV/0!</v>
      </c>
    </row>
    <row r="8" spans="1:29" s="1223" customFormat="1" ht="15.75" thickBot="1">
      <c r="A8" s="2944"/>
      <c r="B8" s="2951" t="s">
        <v>532</v>
      </c>
      <c r="C8" s="528" t="s">
        <v>577</v>
      </c>
      <c r="D8" s="523">
        <v>100</v>
      </c>
      <c r="E8" s="859"/>
      <c r="F8" s="525">
        <f>SUMIF(61:61,E8,62:62)-SUMIF(61:61,C8,62:62)+100</f>
        <v>0</v>
      </c>
      <c r="G8" s="528"/>
      <c r="H8" s="523">
        <f>SUMIF(61:61,G8,62:62)-SUMIF(61:61,C8,62:62)+100</f>
        <v>0</v>
      </c>
      <c r="I8" s="859"/>
      <c r="J8" s="523">
        <f>SUMIF(61:61,I8,62:62)-SUMIF(61:61,C8,62:62)+100</f>
        <v>0</v>
      </c>
      <c r="K8" s="858"/>
      <c r="L8" s="2140"/>
      <c r="M8" s="2141"/>
      <c r="N8" s="2141"/>
      <c r="O8" s="2141"/>
      <c r="P8" s="3401" t="s">
        <v>534</v>
      </c>
      <c r="Q8" s="3402"/>
      <c r="R8" s="1572" t="s">
        <v>13</v>
      </c>
      <c r="S8" s="1573">
        <f t="shared" si="0"/>
        <v>0</v>
      </c>
      <c r="T8" s="1572" t="s">
        <v>13</v>
      </c>
      <c r="U8" s="1573">
        <f t="shared" si="1"/>
        <v>0</v>
      </c>
      <c r="V8" s="1572" t="s">
        <v>13</v>
      </c>
      <c r="W8" s="1573">
        <f t="shared" si="2"/>
        <v>0</v>
      </c>
      <c r="X8" s="1574"/>
      <c r="Y8" s="3401" t="s">
        <v>534</v>
      </c>
      <c r="Z8" s="3402"/>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1"/>
      <c r="F9" s="862">
        <f>SUMIF(63:63,E9,64:64)-SUMIF(63:63,C9,64:64)+100</f>
        <v>100</v>
      </c>
      <c r="G9" s="863"/>
      <c r="H9" s="254">
        <f>SUMIF(63:63,G9,64:64)-SUMIF(63:63,C9,64:64)+100</f>
        <v>100</v>
      </c>
      <c r="I9" s="863"/>
      <c r="J9" s="254">
        <f>SUMIF(63:63,I9,64:64)-SUMIF(63:63,C9,64:64)+100</f>
        <v>100</v>
      </c>
      <c r="K9" s="858"/>
      <c r="L9" s="2140"/>
      <c r="M9" s="2141"/>
      <c r="N9" s="2141"/>
      <c r="O9" s="2142"/>
      <c r="P9" s="3368"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5"/>
      <c r="F10" s="866">
        <f>SUMIF(65:65,E10,66:66)-SUMIF(65:65,C10,66:66)+100</f>
        <v>100</v>
      </c>
      <c r="G10" s="864"/>
      <c r="H10" s="255">
        <f>SUMIF(65:65,G10,66:66)-SUMIF(65:65,C10,66:66)+100</f>
        <v>100</v>
      </c>
      <c r="I10" s="864"/>
      <c r="J10" s="255">
        <f>SUMIF(65:65,I10,66:66)-SUMIF(65:65,C10,66:66)+100</f>
        <v>100</v>
      </c>
      <c r="K10" s="867"/>
      <c r="L10" s="2143"/>
      <c r="M10" s="2183"/>
      <c r="N10" s="2183"/>
      <c r="O10" s="2144"/>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47"/>
      <c r="B11" s="2951" t="s">
        <v>2767</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5"/>
      <c r="M11" s="2139"/>
      <c r="N11" s="2139"/>
      <c r="O11" s="2146"/>
      <c r="P11" s="3368"/>
      <c r="Q11" s="1154" t="str">
        <f t="shared" si="6"/>
        <v>容积率</v>
      </c>
      <c r="R11" s="1572" t="s">
        <v>11</v>
      </c>
      <c r="S11" s="1573" t="e">
        <f t="shared" si="0"/>
        <v>#N/A</v>
      </c>
      <c r="T11" s="1572" t="s">
        <v>11</v>
      </c>
      <c r="U11" s="1573" t="e">
        <f t="shared" si="1"/>
        <v>#N/A</v>
      </c>
      <c r="V11" s="1572" t="s">
        <v>11</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68"/>
      <c r="Q12" s="1154">
        <f t="shared" si="6"/>
        <v>111</v>
      </c>
      <c r="R12" s="1572" t="s">
        <v>11</v>
      </c>
      <c r="S12" s="1573">
        <f t="shared" si="0"/>
        <v>100</v>
      </c>
      <c r="T12" s="1572" t="s">
        <v>11</v>
      </c>
      <c r="U12" s="1573">
        <f t="shared" si="1"/>
        <v>100</v>
      </c>
      <c r="V12" s="1572" t="s">
        <v>11</v>
      </c>
      <c r="W12" s="1573">
        <f t="shared" si="2"/>
        <v>100</v>
      </c>
      <c r="X12" s="1574"/>
      <c r="Y12" s="3310"/>
      <c r="Z12" s="1153">
        <f t="shared" si="7"/>
        <v>111</v>
      </c>
      <c r="AA12" s="1575">
        <f>D12/F12</f>
        <v>1</v>
      </c>
      <c r="AB12" s="1575">
        <f>D12/H12</f>
        <v>1</v>
      </c>
      <c r="AC12" s="1575">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68"/>
      <c r="Q13" s="1154">
        <f t="shared" si="6"/>
        <v>111</v>
      </c>
      <c r="R13" s="1572" t="s">
        <v>11</v>
      </c>
      <c r="S13" s="1573">
        <f t="shared" si="0"/>
        <v>100</v>
      </c>
      <c r="T13" s="1572" t="s">
        <v>11</v>
      </c>
      <c r="U13" s="1573">
        <f t="shared" si="1"/>
        <v>100</v>
      </c>
      <c r="V13" s="1572" t="s">
        <v>11</v>
      </c>
      <c r="W13" s="1573">
        <f t="shared" si="2"/>
        <v>100</v>
      </c>
      <c r="X13" s="1574"/>
      <c r="Y13" s="3310"/>
      <c r="Z13" s="1153">
        <f t="shared" si="7"/>
        <v>111</v>
      </c>
      <c r="AA13" s="1575">
        <f t="shared" si="3"/>
        <v>1</v>
      </c>
      <c r="AB13" s="1575">
        <f t="shared" si="4"/>
        <v>1</v>
      </c>
      <c r="AC13" s="1575">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68"/>
      <c r="Q14" s="1154">
        <f t="shared" si="6"/>
        <v>111</v>
      </c>
      <c r="R14" s="1572" t="s">
        <v>11</v>
      </c>
      <c r="S14" s="1573">
        <f t="shared" si="0"/>
        <v>100</v>
      </c>
      <c r="T14" s="1572" t="s">
        <v>11</v>
      </c>
      <c r="U14" s="1573">
        <f t="shared" si="1"/>
        <v>100</v>
      </c>
      <c r="V14" s="1572" t="s">
        <v>11</v>
      </c>
      <c r="W14" s="1573">
        <f t="shared" si="2"/>
        <v>100</v>
      </c>
      <c r="X14" s="1574"/>
      <c r="Y14" s="3310"/>
      <c r="Z14" s="1153">
        <f t="shared" si="7"/>
        <v>111</v>
      </c>
      <c r="AA14" s="1575">
        <f t="shared" si="3"/>
        <v>1</v>
      </c>
      <c r="AB14" s="1575">
        <f t="shared" si="4"/>
        <v>1</v>
      </c>
      <c r="AC14" s="1575">
        <f t="shared" si="5"/>
        <v>1</v>
      </c>
    </row>
    <row r="15" spans="1:29" ht="99.75">
      <c r="A15" s="2941"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7"/>
      <c r="M15" s="2139"/>
      <c r="N15" s="2139"/>
      <c r="O15" s="2146"/>
      <c r="P15" s="3404" t="s">
        <v>541</v>
      </c>
      <c r="Q15" s="1576" t="str">
        <f t="shared" si="6"/>
        <v>居住社区成熟度</v>
      </c>
      <c r="R15" s="1577" t="s">
        <v>11</v>
      </c>
      <c r="S15" s="1578">
        <f t="shared" si="0"/>
        <v>100</v>
      </c>
      <c r="T15" s="1577" t="s">
        <v>11</v>
      </c>
      <c r="U15" s="1578">
        <f t="shared" si="1"/>
        <v>100</v>
      </c>
      <c r="V15" s="1577" t="s">
        <v>11</v>
      </c>
      <c r="W15" s="1578">
        <f t="shared" si="2"/>
        <v>100</v>
      </c>
      <c r="X15" s="1571"/>
      <c r="Y15" s="3404"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7"/>
      <c r="M16" s="2139"/>
      <c r="N16" s="2139"/>
      <c r="O16" s="2146"/>
      <c r="P16" s="3405"/>
      <c r="Q16" s="1576"/>
      <c r="R16" s="1577"/>
      <c r="S16" s="1578"/>
      <c r="T16" s="1577"/>
      <c r="U16" s="1578"/>
      <c r="V16" s="1577"/>
      <c r="W16" s="1578"/>
      <c r="X16" s="1571"/>
      <c r="Y16" s="3405"/>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7"/>
      <c r="M17" s="2139"/>
      <c r="N17" s="2139"/>
      <c r="O17" s="2146"/>
      <c r="P17" s="3405"/>
      <c r="Q17" s="1576" t="str">
        <f>B17</f>
        <v>交通便捷度</v>
      </c>
      <c r="R17" s="1577" t="s">
        <v>11</v>
      </c>
      <c r="S17" s="1578">
        <f>F17</f>
        <v>100</v>
      </c>
      <c r="T17" s="1577" t="s">
        <v>11</v>
      </c>
      <c r="U17" s="1578">
        <f>H17</f>
        <v>100</v>
      </c>
      <c r="V17" s="1577" t="s">
        <v>11</v>
      </c>
      <c r="W17" s="1578">
        <f>J17</f>
        <v>100</v>
      </c>
      <c r="X17" s="1571"/>
      <c r="Y17" s="340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7"/>
      <c r="M18" s="2139"/>
      <c r="N18" s="2139"/>
      <c r="O18" s="2146"/>
      <c r="P18" s="3405"/>
      <c r="Q18" s="1576"/>
      <c r="R18" s="1577"/>
      <c r="S18" s="1578"/>
      <c r="T18" s="1577"/>
      <c r="U18" s="1578"/>
      <c r="V18" s="1577"/>
      <c r="W18" s="1578"/>
      <c r="X18" s="1571"/>
      <c r="Y18" s="3405"/>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7"/>
      <c r="M19" s="2139"/>
      <c r="N19" s="2139"/>
      <c r="O19" s="2146"/>
      <c r="P19" s="3405"/>
      <c r="Q19" s="1576" t="str">
        <f>B19</f>
        <v>公共配套设施</v>
      </c>
      <c r="R19" s="1577" t="s">
        <v>11</v>
      </c>
      <c r="S19" s="1578">
        <f>F19</f>
        <v>100</v>
      </c>
      <c r="T19" s="1577" t="s">
        <v>11</v>
      </c>
      <c r="U19" s="1578">
        <f>H19</f>
        <v>100</v>
      </c>
      <c r="V19" s="1577" t="s">
        <v>11</v>
      </c>
      <c r="W19" s="1578">
        <f>J19</f>
        <v>100</v>
      </c>
      <c r="X19" s="1571"/>
      <c r="Y19" s="3405"/>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7"/>
      <c r="M20" s="2139"/>
      <c r="N20" s="2139"/>
      <c r="O20" s="2146"/>
      <c r="P20" s="3405"/>
      <c r="Q20" s="1576"/>
      <c r="R20" s="1577"/>
      <c r="S20" s="1578"/>
      <c r="T20" s="1577"/>
      <c r="U20" s="1578"/>
      <c r="V20" s="1577"/>
      <c r="W20" s="1578"/>
      <c r="X20" s="1571"/>
      <c r="Y20" s="3405"/>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7"/>
      <c r="M21" s="2139"/>
      <c r="N21" s="2139"/>
      <c r="O21" s="2146"/>
      <c r="P21" s="3405"/>
      <c r="Q21" s="2608" t="str">
        <f>B21</f>
        <v>基础设施水平</v>
      </c>
      <c r="R21" s="1577" t="s">
        <v>11</v>
      </c>
      <c r="S21" s="1578">
        <f>F21</f>
        <v>100</v>
      </c>
      <c r="T21" s="1577" t="s">
        <v>11</v>
      </c>
      <c r="U21" s="1578">
        <f>H21</f>
        <v>100</v>
      </c>
      <c r="V21" s="1577" t="s">
        <v>11</v>
      </c>
      <c r="W21" s="1578">
        <f>J21</f>
        <v>100</v>
      </c>
      <c r="X21" s="2610"/>
      <c r="Y21" s="3405"/>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405"/>
      <c r="Q22" s="2608"/>
      <c r="R22" s="1577"/>
      <c r="S22" s="1578"/>
      <c r="T22" s="1577"/>
      <c r="U22" s="1578"/>
      <c r="V22" s="1577"/>
      <c r="W22" s="1578"/>
      <c r="X22" s="2610"/>
      <c r="Y22" s="3405"/>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7"/>
      <c r="M23" s="2139"/>
      <c r="N23" s="2139"/>
      <c r="O23" s="2146"/>
      <c r="P23" s="3405"/>
      <c r="Q23" s="1576" t="str">
        <f>B23</f>
        <v>自然及人文环境</v>
      </c>
      <c r="R23" s="1577" t="s">
        <v>11</v>
      </c>
      <c r="S23" s="1578">
        <f>F23</f>
        <v>100</v>
      </c>
      <c r="T23" s="1577" t="s">
        <v>11</v>
      </c>
      <c r="U23" s="1578">
        <f>H23</f>
        <v>100</v>
      </c>
      <c r="V23" s="1577" t="s">
        <v>11</v>
      </c>
      <c r="W23" s="1578">
        <f>J23</f>
        <v>100</v>
      </c>
      <c r="X23" s="1571"/>
      <c r="Y23" s="3405"/>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7"/>
      <c r="M24" s="2139"/>
      <c r="N24" s="2139"/>
      <c r="O24" s="2146"/>
      <c r="P24" s="3405"/>
      <c r="Q24" s="1576"/>
      <c r="R24" s="1577"/>
      <c r="S24" s="1578"/>
      <c r="T24" s="1577"/>
      <c r="U24" s="1578"/>
      <c r="V24" s="1577"/>
      <c r="W24" s="1578"/>
      <c r="X24" s="1571"/>
      <c r="Y24" s="3405"/>
      <c r="Z24" s="1579"/>
      <c r="AA24" s="1580">
        <v>1</v>
      </c>
      <c r="AB24" s="1580">
        <v>1</v>
      </c>
      <c r="AC24" s="1580">
        <v>1</v>
      </c>
    </row>
    <row r="25" spans="1:29" ht="15">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05"/>
      <c r="Q25" s="1576" t="str">
        <f t="shared" ref="Q25:Q46" si="11">B25</f>
        <v>楼层-1</v>
      </c>
      <c r="R25" s="1577" t="s">
        <v>11</v>
      </c>
      <c r="S25" s="1578">
        <f>F25</f>
        <v>100</v>
      </c>
      <c r="T25" s="1577" t="s">
        <v>11</v>
      </c>
      <c r="U25" s="1578">
        <f>H25</f>
        <v>100</v>
      </c>
      <c r="V25" s="1577" t="s">
        <v>11</v>
      </c>
      <c r="W25" s="1578">
        <f>J25</f>
        <v>100</v>
      </c>
      <c r="X25" s="1571"/>
      <c r="Y25" s="3405"/>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05"/>
      <c r="Q26" s="1576" t="str">
        <f t="shared" si="11"/>
        <v>朝向</v>
      </c>
      <c r="R26" s="1577" t="s">
        <v>11</v>
      </c>
      <c r="S26" s="1578">
        <f>F26</f>
        <v>100</v>
      </c>
      <c r="T26" s="1577" t="s">
        <v>11</v>
      </c>
      <c r="U26" s="1578">
        <f>H26</f>
        <v>100</v>
      </c>
      <c r="V26" s="1577" t="s">
        <v>11</v>
      </c>
      <c r="W26" s="1578">
        <f>J26</f>
        <v>100</v>
      </c>
      <c r="X26" s="1571"/>
      <c r="Y26" s="3405"/>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40"/>
      <c r="M27" s="2141"/>
      <c r="N27" s="2141"/>
      <c r="O27" s="2142"/>
      <c r="P27" s="3405"/>
      <c r="Q27" s="1154" t="str">
        <f t="shared" si="11"/>
        <v>道路级别</v>
      </c>
      <c r="R27" s="1572" t="s">
        <v>11</v>
      </c>
      <c r="S27" s="1573">
        <f>F27</f>
        <v>100</v>
      </c>
      <c r="T27" s="1572" t="s">
        <v>11</v>
      </c>
      <c r="U27" s="1573">
        <f>H27</f>
        <v>100</v>
      </c>
      <c r="V27" s="1572" t="s">
        <v>11</v>
      </c>
      <c r="W27" s="1573">
        <f>J27</f>
        <v>100</v>
      </c>
      <c r="X27" s="1574"/>
      <c r="Y27" s="3405"/>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05"/>
      <c r="Q28" s="1576">
        <f t="shared" si="11"/>
        <v>111</v>
      </c>
      <c r="R28" s="1577" t="s">
        <v>11</v>
      </c>
      <c r="S28" s="1578">
        <f t="shared" ref="S28:S46" si="12">F28</f>
        <v>100</v>
      </c>
      <c r="T28" s="1577" t="s">
        <v>11</v>
      </c>
      <c r="U28" s="1578">
        <f t="shared" ref="U28:U46" si="13">H28</f>
        <v>100</v>
      </c>
      <c r="V28" s="1577" t="s">
        <v>11</v>
      </c>
      <c r="W28" s="1578">
        <f t="shared" ref="W28:W46" si="14">J28</f>
        <v>100</v>
      </c>
      <c r="X28" s="1571"/>
      <c r="Y28" s="3405"/>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05"/>
      <c r="Q29" s="1576">
        <f t="shared" si="11"/>
        <v>111</v>
      </c>
      <c r="R29" s="1577" t="s">
        <v>11</v>
      </c>
      <c r="S29" s="1578">
        <f t="shared" si="12"/>
        <v>100</v>
      </c>
      <c r="T29" s="1577" t="s">
        <v>11</v>
      </c>
      <c r="U29" s="1578">
        <f t="shared" si="13"/>
        <v>100</v>
      </c>
      <c r="V29" s="1577" t="s">
        <v>11</v>
      </c>
      <c r="W29" s="1578">
        <f t="shared" si="14"/>
        <v>100</v>
      </c>
      <c r="X29" s="1571"/>
      <c r="Y29" s="3405"/>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05"/>
      <c r="Q30" s="1576">
        <f t="shared" si="11"/>
        <v>111</v>
      </c>
      <c r="R30" s="1577" t="s">
        <v>11</v>
      </c>
      <c r="S30" s="1578">
        <f t="shared" si="12"/>
        <v>100</v>
      </c>
      <c r="T30" s="1577" t="s">
        <v>11</v>
      </c>
      <c r="U30" s="1578">
        <f t="shared" si="13"/>
        <v>100</v>
      </c>
      <c r="V30" s="1577" t="s">
        <v>11</v>
      </c>
      <c r="W30" s="1578">
        <f t="shared" si="14"/>
        <v>100</v>
      </c>
      <c r="X30" s="1571"/>
      <c r="Y30" s="3405"/>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05"/>
      <c r="Q31" s="1576">
        <f t="shared" si="11"/>
        <v>111</v>
      </c>
      <c r="R31" s="1577" t="s">
        <v>11</v>
      </c>
      <c r="S31" s="1578">
        <f t="shared" si="12"/>
        <v>100</v>
      </c>
      <c r="T31" s="1577" t="s">
        <v>11</v>
      </c>
      <c r="U31" s="1578">
        <f t="shared" si="13"/>
        <v>100</v>
      </c>
      <c r="V31" s="1577" t="s">
        <v>11</v>
      </c>
      <c r="W31" s="1578">
        <f t="shared" si="14"/>
        <v>100</v>
      </c>
      <c r="X31" s="1571"/>
      <c r="Y31" s="3405"/>
      <c r="Z31" s="1579">
        <f t="shared" si="15"/>
        <v>111</v>
      </c>
      <c r="AA31" s="1580">
        <f t="shared" si="3"/>
        <v>1</v>
      </c>
      <c r="AB31" s="1580">
        <f t="shared" si="4"/>
        <v>1</v>
      </c>
      <c r="AC31" s="1580">
        <f t="shared" si="5"/>
        <v>1</v>
      </c>
    </row>
    <row r="32" spans="1:29" ht="15">
      <c r="A32" s="2938" t="s">
        <v>2764</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7"/>
      <c r="M32" s="2139"/>
      <c r="N32" s="2139"/>
      <c r="O32" s="2146"/>
      <c r="P32" s="3406" t="s">
        <v>551</v>
      </c>
      <c r="Q32" s="1576" t="str">
        <f t="shared" si="11"/>
        <v>建筑类型</v>
      </c>
      <c r="R32" s="1577" t="s">
        <v>11</v>
      </c>
      <c r="S32" s="1578">
        <f t="shared" si="12"/>
        <v>100</v>
      </c>
      <c r="T32" s="1577" t="s">
        <v>11</v>
      </c>
      <c r="U32" s="1578">
        <f t="shared" si="13"/>
        <v>100</v>
      </c>
      <c r="V32" s="1577" t="s">
        <v>11</v>
      </c>
      <c r="W32" s="1578">
        <f t="shared" si="14"/>
        <v>100</v>
      </c>
      <c r="X32" s="1571"/>
      <c r="Y32" s="3407"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5"/>
      <c r="M33" s="2176"/>
      <c r="N33" s="2176"/>
      <c r="O33" s="2148"/>
      <c r="P33" s="3407"/>
      <c r="Q33" s="1609" t="str">
        <f t="shared" si="11"/>
        <v>项目建筑规模</v>
      </c>
      <c r="R33" s="1581" t="s">
        <v>11</v>
      </c>
      <c r="S33" s="1582" t="e">
        <f t="shared" si="12"/>
        <v>#N/A</v>
      </c>
      <c r="T33" s="1581" t="s">
        <v>11</v>
      </c>
      <c r="U33" s="1582" t="e">
        <f t="shared" si="13"/>
        <v>#N/A</v>
      </c>
      <c r="V33" s="1581" t="s">
        <v>11</v>
      </c>
      <c r="W33" s="1582" t="e">
        <f t="shared" si="14"/>
        <v>#N/A</v>
      </c>
      <c r="X33" s="1583"/>
      <c r="Y33" s="3407"/>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7"/>
      <c r="M34" s="2139"/>
      <c r="N34" s="2139"/>
      <c r="O34" s="2146"/>
      <c r="P34" s="3407"/>
      <c r="Q34" s="1576" t="str">
        <f t="shared" si="11"/>
        <v>建筑结构</v>
      </c>
      <c r="R34" s="1577" t="s">
        <v>11</v>
      </c>
      <c r="S34" s="1578">
        <f t="shared" si="12"/>
        <v>100</v>
      </c>
      <c r="T34" s="1577" t="s">
        <v>11</v>
      </c>
      <c r="U34" s="1578">
        <f t="shared" si="13"/>
        <v>100</v>
      </c>
      <c r="V34" s="1577" t="s">
        <v>11</v>
      </c>
      <c r="W34" s="1578">
        <f t="shared" si="14"/>
        <v>100</v>
      </c>
      <c r="X34" s="1571"/>
      <c r="Y34" s="3407"/>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7"/>
      <c r="M35" s="2139"/>
      <c r="N35" s="2139"/>
      <c r="O35" s="2146"/>
      <c r="P35" s="3407"/>
      <c r="Q35" s="1576" t="str">
        <f t="shared" si="11"/>
        <v>建筑品质</v>
      </c>
      <c r="R35" s="1577" t="s">
        <v>11</v>
      </c>
      <c r="S35" s="1578">
        <f t="shared" si="12"/>
        <v>100</v>
      </c>
      <c r="T35" s="1577" t="s">
        <v>11</v>
      </c>
      <c r="U35" s="1578">
        <f t="shared" si="13"/>
        <v>100</v>
      </c>
      <c r="V35" s="1577" t="s">
        <v>11</v>
      </c>
      <c r="W35" s="1578">
        <f t="shared" si="14"/>
        <v>100</v>
      </c>
      <c r="X35" s="1571"/>
      <c r="Y35" s="3407"/>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7"/>
      <c r="M36" s="2139"/>
      <c r="N36" s="2139"/>
      <c r="O36" s="2146"/>
      <c r="P36" s="3407"/>
      <c r="Q36" s="1576" t="str">
        <f t="shared" si="11"/>
        <v>公共部分装修</v>
      </c>
      <c r="R36" s="1577" t="s">
        <v>11</v>
      </c>
      <c r="S36" s="1578">
        <f t="shared" si="12"/>
        <v>100</v>
      </c>
      <c r="T36" s="1577" t="s">
        <v>11</v>
      </c>
      <c r="U36" s="1578">
        <f t="shared" si="13"/>
        <v>100</v>
      </c>
      <c r="V36" s="1577" t="s">
        <v>11</v>
      </c>
      <c r="W36" s="1578">
        <f t="shared" si="14"/>
        <v>100</v>
      </c>
      <c r="X36" s="1571"/>
      <c r="Y36" s="3407"/>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0"/>
      <c r="M37" s="2141"/>
      <c r="N37" s="2141"/>
      <c r="O37" s="2142"/>
      <c r="P37" s="3407"/>
      <c r="Q37" s="1154" t="str">
        <f t="shared" si="11"/>
        <v>成新度</v>
      </c>
      <c r="R37" s="1572" t="s">
        <v>11</v>
      </c>
      <c r="S37" s="1573" t="e">
        <f t="shared" si="12"/>
        <v>#N/A</v>
      </c>
      <c r="T37" s="1572" t="s">
        <v>11</v>
      </c>
      <c r="U37" s="1573" t="e">
        <f t="shared" si="13"/>
        <v>#N/A</v>
      </c>
      <c r="V37" s="1572" t="s">
        <v>11</v>
      </c>
      <c r="W37" s="1573" t="e">
        <f t="shared" si="14"/>
        <v>#N/A</v>
      </c>
      <c r="X37" s="1574"/>
      <c r="Y37" s="3407"/>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407" t="s">
        <v>551</v>
      </c>
      <c r="Q38" s="1576" t="str">
        <f t="shared" si="11"/>
        <v>物业管理</v>
      </c>
      <c r="R38" s="1577" t="s">
        <v>11</v>
      </c>
      <c r="S38" s="1578">
        <f t="shared" si="12"/>
        <v>100</v>
      </c>
      <c r="T38" s="1577" t="s">
        <v>11</v>
      </c>
      <c r="U38" s="1578">
        <f t="shared" si="13"/>
        <v>100</v>
      </c>
      <c r="V38" s="1577" t="s">
        <v>11</v>
      </c>
      <c r="W38" s="1578">
        <f t="shared" si="14"/>
        <v>100</v>
      </c>
      <c r="X38" s="1571"/>
      <c r="Y38" s="3407" t="s">
        <v>551</v>
      </c>
      <c r="Z38" s="1579" t="str">
        <f t="shared" si="15"/>
        <v>物业管理</v>
      </c>
      <c r="AA38" s="1580">
        <f t="shared" si="3"/>
        <v>1</v>
      </c>
      <c r="AB38" s="1580">
        <f t="shared" si="4"/>
        <v>1</v>
      </c>
      <c r="AC38" s="1580">
        <f t="shared" si="5"/>
        <v>1</v>
      </c>
    </row>
    <row r="39" spans="1:29" ht="15">
      <c r="A39" s="597"/>
      <c r="B39" s="1900"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7"/>
      <c r="M39" s="2139"/>
      <c r="N39" s="2139"/>
      <c r="O39" s="2146"/>
      <c r="P39" s="3407"/>
      <c r="Q39" s="1576" t="str">
        <f t="shared" si="11"/>
        <v>市政基础设施</v>
      </c>
      <c r="R39" s="1577" t="s">
        <v>11</v>
      </c>
      <c r="S39" s="1578">
        <f t="shared" si="12"/>
        <v>100</v>
      </c>
      <c r="T39" s="1577" t="s">
        <v>11</v>
      </c>
      <c r="U39" s="1578">
        <f t="shared" si="13"/>
        <v>100</v>
      </c>
      <c r="V39" s="1577" t="s">
        <v>11</v>
      </c>
      <c r="W39" s="1578">
        <f t="shared" si="14"/>
        <v>100</v>
      </c>
      <c r="X39" s="1571"/>
      <c r="Y39" s="3407"/>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407"/>
      <c r="Q40" s="1576" t="str">
        <f t="shared" si="11"/>
        <v>房型</v>
      </c>
      <c r="R40" s="1577" t="s">
        <v>11</v>
      </c>
      <c r="S40" s="1578">
        <f t="shared" si="12"/>
        <v>100</v>
      </c>
      <c r="T40" s="1577" t="s">
        <v>11</v>
      </c>
      <c r="U40" s="1578">
        <f t="shared" si="13"/>
        <v>100</v>
      </c>
      <c r="V40" s="1577" t="s">
        <v>11</v>
      </c>
      <c r="W40" s="1578">
        <f t="shared" si="14"/>
        <v>100</v>
      </c>
      <c r="X40" s="1571"/>
      <c r="Y40" s="3407"/>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407"/>
      <c r="Q41" s="1609" t="str">
        <f t="shared" si="11"/>
        <v>单套/主力户型建筑面积</v>
      </c>
      <c r="R41" s="1581" t="s">
        <v>11</v>
      </c>
      <c r="S41" s="1582">
        <f t="shared" si="12"/>
        <v>100</v>
      </c>
      <c r="T41" s="1581" t="s">
        <v>11</v>
      </c>
      <c r="U41" s="1582">
        <f t="shared" si="13"/>
        <v>100</v>
      </c>
      <c r="V41" s="1581" t="s">
        <v>11</v>
      </c>
      <c r="W41" s="1582">
        <f t="shared" si="14"/>
        <v>100</v>
      </c>
      <c r="X41" s="1583"/>
      <c r="Y41" s="3407"/>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7"/>
      <c r="M42" s="2139"/>
      <c r="N42" s="2139"/>
      <c r="O42" s="2146"/>
      <c r="P42" s="3407"/>
      <c r="Q42" s="1576" t="str">
        <f t="shared" si="11"/>
        <v>内部装修</v>
      </c>
      <c r="R42" s="1577" t="s">
        <v>11</v>
      </c>
      <c r="S42" s="1578">
        <f t="shared" si="12"/>
        <v>100</v>
      </c>
      <c r="T42" s="1577" t="s">
        <v>11</v>
      </c>
      <c r="U42" s="1578">
        <f t="shared" si="13"/>
        <v>100</v>
      </c>
      <c r="V42" s="1577" t="s">
        <v>11</v>
      </c>
      <c r="W42" s="1578">
        <f t="shared" si="14"/>
        <v>100</v>
      </c>
      <c r="X42" s="1571"/>
      <c r="Y42" s="3407"/>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407"/>
      <c r="Q43" s="1576" t="str">
        <f t="shared" si="11"/>
        <v>内部装修维护情况</v>
      </c>
      <c r="R43" s="1577" t="s">
        <v>11</v>
      </c>
      <c r="S43" s="1578">
        <f t="shared" si="12"/>
        <v>100</v>
      </c>
      <c r="T43" s="1577" t="s">
        <v>11</v>
      </c>
      <c r="U43" s="1578">
        <f t="shared" si="13"/>
        <v>100</v>
      </c>
      <c r="V43" s="1577" t="s">
        <v>11</v>
      </c>
      <c r="W43" s="1578">
        <f t="shared" si="14"/>
        <v>100</v>
      </c>
      <c r="X43" s="1571"/>
      <c r="Y43" s="3407"/>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407"/>
      <c r="Q44" s="1154">
        <f t="shared" si="11"/>
        <v>111</v>
      </c>
      <c r="R44" s="1572" t="s">
        <v>11</v>
      </c>
      <c r="S44" s="1573">
        <f t="shared" si="12"/>
        <v>100</v>
      </c>
      <c r="T44" s="1572" t="s">
        <v>11</v>
      </c>
      <c r="U44" s="1573">
        <f t="shared" si="13"/>
        <v>100</v>
      </c>
      <c r="V44" s="1572" t="s">
        <v>11</v>
      </c>
      <c r="W44" s="1573">
        <f t="shared" si="14"/>
        <v>100</v>
      </c>
      <c r="X44" s="1574"/>
      <c r="Y44" s="3407"/>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407"/>
      <c r="Q45" s="1576">
        <f t="shared" si="11"/>
        <v>111</v>
      </c>
      <c r="R45" s="1577" t="s">
        <v>11</v>
      </c>
      <c r="S45" s="1578">
        <f t="shared" si="12"/>
        <v>100</v>
      </c>
      <c r="T45" s="1577" t="s">
        <v>11</v>
      </c>
      <c r="U45" s="1578">
        <f t="shared" si="13"/>
        <v>100</v>
      </c>
      <c r="V45" s="1577" t="s">
        <v>11</v>
      </c>
      <c r="W45" s="1578">
        <f t="shared" si="14"/>
        <v>100</v>
      </c>
      <c r="X45" s="1571"/>
      <c r="Y45" s="3407"/>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11"/>
      <c r="Q46" s="1576">
        <f t="shared" si="11"/>
        <v>111</v>
      </c>
      <c r="R46" s="1577" t="s">
        <v>10</v>
      </c>
      <c r="S46" s="1578">
        <f t="shared" si="12"/>
        <v>100</v>
      </c>
      <c r="T46" s="1577" t="s">
        <v>10</v>
      </c>
      <c r="U46" s="1578">
        <f t="shared" si="13"/>
        <v>100</v>
      </c>
      <c r="V46" s="1577" t="s">
        <v>10</v>
      </c>
      <c r="W46" s="1578">
        <f t="shared" si="14"/>
        <v>100</v>
      </c>
      <c r="X46" s="1571"/>
      <c r="Y46" s="3411"/>
      <c r="Z46" s="1579">
        <f t="shared" si="15"/>
        <v>111</v>
      </c>
      <c r="AA46" s="1580">
        <f t="shared" si="3"/>
        <v>1</v>
      </c>
      <c r="AB46" s="1580">
        <f t="shared" si="4"/>
        <v>1</v>
      </c>
      <c r="AC46" s="1580">
        <f t="shared" si="5"/>
        <v>1</v>
      </c>
    </row>
    <row r="47" spans="1:29" ht="15">
      <c r="A47" s="610" t="s">
        <v>737</v>
      </c>
      <c r="B47" s="890"/>
      <c r="C47" s="2656" t="s">
        <v>9</v>
      </c>
      <c r="D47" s="2657"/>
      <c r="E47" s="2658"/>
      <c r="F47" s="2659"/>
      <c r="G47" s="2660"/>
      <c r="H47" s="2661"/>
      <c r="I47" s="2658"/>
      <c r="J47" s="2661"/>
      <c r="K47" s="1610"/>
      <c r="L47" s="2149"/>
      <c r="M47" s="2150"/>
      <c r="N47" s="2139"/>
      <c r="O47" s="2150"/>
      <c r="P47" s="3368" t="str">
        <f>A47</f>
        <v>成交单价（元/平方米）</v>
      </c>
      <c r="Q47" s="3368"/>
      <c r="R47" s="3408">
        <f>E47</f>
        <v>0</v>
      </c>
      <c r="S47" s="3408"/>
      <c r="T47" s="3408">
        <f>G47</f>
        <v>0</v>
      </c>
      <c r="U47" s="3408"/>
      <c r="V47" s="3408">
        <f>I47</f>
        <v>0</v>
      </c>
      <c r="W47" s="3408"/>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1"/>
      <c r="L48" s="2149"/>
      <c r="M48" s="2150"/>
      <c r="N48" s="2150"/>
      <c r="O48" s="2150"/>
      <c r="P48" s="3368" t="str">
        <f>A48</f>
        <v>比较价格（元/平方米）</v>
      </c>
      <c r="Q48" s="3368"/>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2"/>
      <c r="L49" s="2149"/>
      <c r="M49" s="2150"/>
      <c r="N49" s="2150"/>
      <c r="O49" s="2150"/>
      <c r="P49" s="3365" t="str">
        <f>A49</f>
        <v>估价对象XX用房的比较价格（楼面单价，元/平方米）</v>
      </c>
      <c r="Q49" s="3366"/>
      <c r="R49" s="3410" t="e">
        <f>IF(F1="售价",ROUND(AVERAGE(R48:V48),0),ROUND(AVERAGE(R48:V48),1))</f>
        <v>#DIV/0!</v>
      </c>
      <c r="S49" s="3410"/>
      <c r="T49" s="3410"/>
      <c r="U49" s="3410"/>
      <c r="V49" s="3410"/>
      <c r="W49" s="3410"/>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4" t="s">
        <v>523</v>
      </c>
      <c r="D4" s="3375"/>
      <c r="E4" s="3412" t="s">
        <v>524</v>
      </c>
      <c r="F4" s="3413"/>
      <c r="G4" s="3374" t="s">
        <v>525</v>
      </c>
      <c r="H4" s="3375"/>
      <c r="I4" s="3374" t="s">
        <v>526</v>
      </c>
      <c r="J4" s="3375"/>
      <c r="K4" s="517" t="s">
        <v>527</v>
      </c>
      <c r="L4" s="2138"/>
      <c r="M4" s="2139"/>
      <c r="N4" s="2139"/>
      <c r="O4" s="2139"/>
      <c r="P4" s="3376" t="s">
        <v>528</v>
      </c>
      <c r="Q4" s="3377"/>
      <c r="R4" s="3382" t="s">
        <v>524</v>
      </c>
      <c r="S4" s="3383"/>
      <c r="T4" s="3382" t="s">
        <v>525</v>
      </c>
      <c r="U4" s="3383"/>
      <c r="V4" s="3369" t="s">
        <v>526</v>
      </c>
      <c r="W4" s="3369"/>
      <c r="X4" s="1571"/>
      <c r="Y4" s="3382" t="s">
        <v>528</v>
      </c>
      <c r="Z4" s="3383"/>
      <c r="AA4" s="3371" t="s">
        <v>524</v>
      </c>
      <c r="AB4" s="3369" t="s">
        <v>525</v>
      </c>
      <c r="AC4" s="3371" t="s">
        <v>526</v>
      </c>
    </row>
    <row r="5" spans="1:29" ht="15">
      <c r="A5" s="518"/>
      <c r="B5" s="519"/>
      <c r="C5" s="3392" t="s">
        <v>2939</v>
      </c>
      <c r="D5" s="3391"/>
      <c r="E5" s="3429" t="s">
        <v>2940</v>
      </c>
      <c r="F5" s="3421"/>
      <c r="G5" s="3392" t="s">
        <v>2941</v>
      </c>
      <c r="H5" s="3391"/>
      <c r="I5" s="3392" t="s">
        <v>2942</v>
      </c>
      <c r="J5" s="3391"/>
      <c r="K5" s="517"/>
      <c r="L5" s="2138"/>
      <c r="M5" s="2139"/>
      <c r="N5" s="2139"/>
      <c r="O5" s="2139"/>
      <c r="P5" s="3378"/>
      <c r="Q5" s="3379"/>
      <c r="R5" s="3384"/>
      <c r="S5" s="3385"/>
      <c r="T5" s="3384"/>
      <c r="U5" s="3385"/>
      <c r="V5" s="3369"/>
      <c r="W5" s="3369"/>
      <c r="X5" s="1571"/>
      <c r="Y5" s="3384"/>
      <c r="Z5" s="3385"/>
      <c r="AA5" s="3372"/>
      <c r="AB5" s="3369"/>
      <c r="AC5" s="3372"/>
    </row>
    <row r="6" spans="1:29" ht="15.75" thickBot="1">
      <c r="A6" s="520"/>
      <c r="B6" s="521"/>
      <c r="C6" s="3417" t="s">
        <v>2943</v>
      </c>
      <c r="D6" s="3389"/>
      <c r="E6" s="3428" t="s">
        <v>2943</v>
      </c>
      <c r="F6" s="3419"/>
      <c r="G6" s="3417" t="s">
        <v>2943</v>
      </c>
      <c r="H6" s="3389"/>
      <c r="I6" s="3417" t="s">
        <v>2943</v>
      </c>
      <c r="J6" s="3389"/>
      <c r="K6" s="517" t="s">
        <v>529</v>
      </c>
      <c r="L6" s="2138"/>
      <c r="M6" s="2139"/>
      <c r="N6" s="2139"/>
      <c r="O6" s="2139"/>
      <c r="P6" s="3380"/>
      <c r="Q6" s="3381"/>
      <c r="R6" s="3384"/>
      <c r="S6" s="3385"/>
      <c r="T6" s="3386"/>
      <c r="U6" s="3387"/>
      <c r="V6" s="3369"/>
      <c r="W6" s="3369"/>
      <c r="X6" s="1571"/>
      <c r="Y6" s="3386"/>
      <c r="Z6" s="3387"/>
      <c r="AA6" s="3373"/>
      <c r="AB6" s="3369"/>
      <c r="AC6" s="3373"/>
    </row>
    <row r="7" spans="1:29" s="1223" customFormat="1" ht="15.75" thickBot="1">
      <c r="A7" s="2943"/>
      <c r="B7" s="2950" t="s">
        <v>530</v>
      </c>
      <c r="C7" s="522">
        <f>'数据-取费表'!B2</f>
        <v>43020</v>
      </c>
      <c r="D7" s="523">
        <v>100</v>
      </c>
      <c r="E7" s="524"/>
      <c r="F7" s="525">
        <f>SUMIF(58:58,YEAR(E7)&amp;"-"&amp;MONTH(E7),59:59)</f>
        <v>0</v>
      </c>
      <c r="G7" s="524"/>
      <c r="H7" s="523">
        <f>SUMIF(58:58,YEAR(G7)&amp;"-"&amp;MONTH(G7),59:59)</f>
        <v>0</v>
      </c>
      <c r="I7" s="524"/>
      <c r="J7" s="523">
        <f>SUMIF(58:58,YEAR(I7)&amp;"-"&amp;MONTH(I7),59:59)</f>
        <v>0</v>
      </c>
      <c r="K7" s="527"/>
      <c r="L7" s="2140"/>
      <c r="M7" s="2141"/>
      <c r="N7" s="2141"/>
      <c r="O7" s="2141"/>
      <c r="P7" s="3401" t="s">
        <v>531</v>
      </c>
      <c r="Q7" s="3403"/>
      <c r="R7" s="1572" t="s">
        <v>8</v>
      </c>
      <c r="S7" s="1573">
        <f t="shared" ref="S7:S15" si="0">F7</f>
        <v>0</v>
      </c>
      <c r="T7" s="1572" t="s">
        <v>8</v>
      </c>
      <c r="U7" s="1573">
        <f t="shared" ref="U7:U15" si="1">H7</f>
        <v>0</v>
      </c>
      <c r="V7" s="1572" t="s">
        <v>8</v>
      </c>
      <c r="W7" s="1573">
        <f t="shared" ref="W7:W15" si="2">J7</f>
        <v>0</v>
      </c>
      <c r="X7" s="1574"/>
      <c r="Y7" s="3401" t="s">
        <v>531</v>
      </c>
      <c r="Z7" s="3402"/>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401" t="s">
        <v>534</v>
      </c>
      <c r="Q8" s="3402"/>
      <c r="R8" s="1572" t="s">
        <v>8</v>
      </c>
      <c r="S8" s="1573">
        <f t="shared" si="0"/>
        <v>0</v>
      </c>
      <c r="T8" s="1572" t="s">
        <v>8</v>
      </c>
      <c r="U8" s="1573">
        <f t="shared" si="1"/>
        <v>0</v>
      </c>
      <c r="V8" s="1572" t="s">
        <v>8</v>
      </c>
      <c r="W8" s="1573">
        <f t="shared" si="2"/>
        <v>0</v>
      </c>
      <c r="X8" s="1574"/>
      <c r="Y8" s="3401" t="s">
        <v>534</v>
      </c>
      <c r="Z8" s="3402"/>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68"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68"/>
      <c r="Q11" s="1154" t="str">
        <f t="shared" si="6"/>
        <v>容积率</v>
      </c>
      <c r="R11" s="1572" t="s">
        <v>8</v>
      </c>
      <c r="S11" s="1573" t="e">
        <f t="shared" si="0"/>
        <v>#N/A</v>
      </c>
      <c r="T11" s="1572" t="s">
        <v>8</v>
      </c>
      <c r="U11" s="1573" t="e">
        <f t="shared" si="1"/>
        <v>#N/A</v>
      </c>
      <c r="V11" s="1572" t="s">
        <v>8</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68"/>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68"/>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68"/>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71.25">
      <c r="A15" s="2941"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404" t="s">
        <v>541</v>
      </c>
      <c r="Q15" s="1576" t="str">
        <f t="shared" si="6"/>
        <v>商业繁华度</v>
      </c>
      <c r="R15" s="1577" t="s">
        <v>8</v>
      </c>
      <c r="S15" s="1578">
        <f t="shared" si="0"/>
        <v>100</v>
      </c>
      <c r="T15" s="1577" t="s">
        <v>8</v>
      </c>
      <c r="U15" s="1578">
        <f t="shared" si="1"/>
        <v>100</v>
      </c>
      <c r="V15" s="1577" t="s">
        <v>8</v>
      </c>
      <c r="W15" s="1578">
        <f t="shared" si="2"/>
        <v>100</v>
      </c>
      <c r="X15" s="1571"/>
      <c r="Y15" s="3404"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5"/>
      <c r="Q16" s="1576"/>
      <c r="R16" s="1577"/>
      <c r="S16" s="1578"/>
      <c r="T16" s="1577"/>
      <c r="U16" s="1578"/>
      <c r="V16" s="1577"/>
      <c r="W16" s="1578"/>
      <c r="X16" s="1571"/>
      <c r="Y16" s="3405"/>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405"/>
      <c r="Q17" s="1576" t="str">
        <f>B17</f>
        <v>交通便捷度</v>
      </c>
      <c r="R17" s="1577" t="s">
        <v>8</v>
      </c>
      <c r="S17" s="1578">
        <f>F17</f>
        <v>100</v>
      </c>
      <c r="T17" s="1577" t="s">
        <v>8</v>
      </c>
      <c r="U17" s="1578">
        <f>H17</f>
        <v>100</v>
      </c>
      <c r="V17" s="1577" t="s">
        <v>8</v>
      </c>
      <c r="W17" s="1578">
        <f>J17</f>
        <v>100</v>
      </c>
      <c r="X17" s="1571"/>
      <c r="Y17" s="340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5"/>
      <c r="Q18" s="1576"/>
      <c r="R18" s="1577"/>
      <c r="S18" s="1578"/>
      <c r="T18" s="1577"/>
      <c r="U18" s="1578"/>
      <c r="V18" s="1577"/>
      <c r="W18" s="1578"/>
      <c r="X18" s="1571"/>
      <c r="Y18" s="3405"/>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405"/>
      <c r="Q19" s="1576" t="str">
        <f>B19</f>
        <v>公共配套设施</v>
      </c>
      <c r="R19" s="1577" t="s">
        <v>8</v>
      </c>
      <c r="S19" s="1578">
        <f>F19</f>
        <v>100</v>
      </c>
      <c r="T19" s="1577" t="s">
        <v>8</v>
      </c>
      <c r="U19" s="1578">
        <f>H19</f>
        <v>100</v>
      </c>
      <c r="V19" s="1577" t="s">
        <v>8</v>
      </c>
      <c r="W19" s="1578">
        <f>J19</f>
        <v>100</v>
      </c>
      <c r="X19" s="1571"/>
      <c r="Y19" s="3405"/>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405"/>
      <c r="Q20" s="1576"/>
      <c r="R20" s="1577"/>
      <c r="S20" s="1578"/>
      <c r="T20" s="1577"/>
      <c r="U20" s="1578"/>
      <c r="V20" s="1577"/>
      <c r="W20" s="1578"/>
      <c r="X20" s="1571"/>
      <c r="Y20" s="3405"/>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405"/>
      <c r="Q21" s="2608" t="str">
        <f>B21</f>
        <v>基础设施水平</v>
      </c>
      <c r="R21" s="1577" t="s">
        <v>8</v>
      </c>
      <c r="S21" s="1578">
        <f>F21</f>
        <v>100</v>
      </c>
      <c r="T21" s="1577" t="s">
        <v>8</v>
      </c>
      <c r="U21" s="1578">
        <f>H21</f>
        <v>100</v>
      </c>
      <c r="V21" s="1577" t="s">
        <v>8</v>
      </c>
      <c r="W21" s="1578">
        <f>J21</f>
        <v>100</v>
      </c>
      <c r="X21" s="2610"/>
      <c r="Y21" s="3405"/>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405"/>
      <c r="Q22" s="2608"/>
      <c r="R22" s="1577"/>
      <c r="S22" s="1578"/>
      <c r="T22" s="1577"/>
      <c r="U22" s="1578"/>
      <c r="V22" s="1577"/>
      <c r="W22" s="1578"/>
      <c r="X22" s="2610"/>
      <c r="Y22" s="3405"/>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405"/>
      <c r="Q23" s="1576" t="str">
        <f>B23</f>
        <v>自然及人文环境</v>
      </c>
      <c r="R23" s="1577" t="s">
        <v>8</v>
      </c>
      <c r="S23" s="1578">
        <f>F23</f>
        <v>100</v>
      </c>
      <c r="T23" s="1577" t="s">
        <v>8</v>
      </c>
      <c r="U23" s="1578">
        <f>H23</f>
        <v>100</v>
      </c>
      <c r="V23" s="1577" t="s">
        <v>8</v>
      </c>
      <c r="W23" s="1578">
        <f>J23</f>
        <v>100</v>
      </c>
      <c r="X23" s="1571"/>
      <c r="Y23" s="3405"/>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405"/>
      <c r="Q24" s="1576"/>
      <c r="R24" s="1577"/>
      <c r="S24" s="1578"/>
      <c r="T24" s="1577"/>
      <c r="U24" s="1578"/>
      <c r="V24" s="1577"/>
      <c r="W24" s="1578"/>
      <c r="X24" s="1571"/>
      <c r="Y24" s="3405"/>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405"/>
      <c r="Q25" s="1576" t="str">
        <f t="shared" ref="Q25:Q46" si="11">B25</f>
        <v>临街状况</v>
      </c>
      <c r="R25" s="1577" t="s">
        <v>8</v>
      </c>
      <c r="S25" s="1578">
        <f>F25</f>
        <v>100</v>
      </c>
      <c r="T25" s="1577" t="s">
        <v>8</v>
      </c>
      <c r="U25" s="1578">
        <f>H25</f>
        <v>100</v>
      </c>
      <c r="V25" s="1577" t="s">
        <v>8</v>
      </c>
      <c r="W25" s="1578">
        <f>J25</f>
        <v>100</v>
      </c>
      <c r="X25" s="1571"/>
      <c r="Y25" s="3405"/>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405"/>
      <c r="Q26" s="1576" t="str">
        <f t="shared" si="11"/>
        <v>平面位置/可视性</v>
      </c>
      <c r="R26" s="1577" t="s">
        <v>8</v>
      </c>
      <c r="S26" s="1578">
        <f>F26</f>
        <v>100</v>
      </c>
      <c r="T26" s="1577" t="s">
        <v>8</v>
      </c>
      <c r="U26" s="1578">
        <f>H26</f>
        <v>100</v>
      </c>
      <c r="V26" s="1577" t="s">
        <v>8</v>
      </c>
      <c r="W26" s="1578">
        <f>J26</f>
        <v>100</v>
      </c>
      <c r="X26" s="1571"/>
      <c r="Y26" s="3405"/>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405"/>
      <c r="Q27" s="1154" t="str">
        <f t="shared" si="11"/>
        <v>人流量</v>
      </c>
      <c r="R27" s="1572" t="s">
        <v>8</v>
      </c>
      <c r="S27" s="1573">
        <f>F27</f>
        <v>100</v>
      </c>
      <c r="T27" s="1572" t="s">
        <v>8</v>
      </c>
      <c r="U27" s="1573">
        <f>H27</f>
        <v>100</v>
      </c>
      <c r="V27" s="1572" t="s">
        <v>8</v>
      </c>
      <c r="W27" s="1573">
        <f>J27</f>
        <v>100</v>
      </c>
      <c r="X27" s="1574"/>
      <c r="Y27" s="3405"/>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405"/>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5"/>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405"/>
      <c r="Q29" s="1576">
        <f t="shared" si="11"/>
        <v>111</v>
      </c>
      <c r="R29" s="1577" t="s">
        <v>8</v>
      </c>
      <c r="S29" s="1578">
        <f t="shared" si="12"/>
        <v>100</v>
      </c>
      <c r="T29" s="1577" t="s">
        <v>8</v>
      </c>
      <c r="U29" s="1578">
        <f t="shared" si="13"/>
        <v>100</v>
      </c>
      <c r="V29" s="1577" t="s">
        <v>8</v>
      </c>
      <c r="W29" s="1578">
        <f t="shared" si="14"/>
        <v>100</v>
      </c>
      <c r="X29" s="1571"/>
      <c r="Y29" s="3405"/>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405"/>
      <c r="Q30" s="1576">
        <f t="shared" si="11"/>
        <v>111</v>
      </c>
      <c r="R30" s="1577" t="s">
        <v>8</v>
      </c>
      <c r="S30" s="1578">
        <f t="shared" si="12"/>
        <v>100</v>
      </c>
      <c r="T30" s="1577" t="s">
        <v>8</v>
      </c>
      <c r="U30" s="1578">
        <f t="shared" si="13"/>
        <v>100</v>
      </c>
      <c r="V30" s="1577" t="s">
        <v>8</v>
      </c>
      <c r="W30" s="1578">
        <f t="shared" si="14"/>
        <v>100</v>
      </c>
      <c r="X30" s="1571"/>
      <c r="Y30" s="3405"/>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405"/>
      <c r="Q31" s="1576">
        <f t="shared" si="11"/>
        <v>111</v>
      </c>
      <c r="R31" s="1577" t="s">
        <v>8</v>
      </c>
      <c r="S31" s="1578">
        <f t="shared" si="12"/>
        <v>100</v>
      </c>
      <c r="T31" s="1577" t="s">
        <v>8</v>
      </c>
      <c r="U31" s="1578">
        <f t="shared" si="13"/>
        <v>100</v>
      </c>
      <c r="V31" s="1577" t="s">
        <v>8</v>
      </c>
      <c r="W31" s="1578">
        <f t="shared" si="14"/>
        <v>100</v>
      </c>
      <c r="X31" s="1571"/>
      <c r="Y31" s="3405"/>
      <c r="Z31" s="1579">
        <f t="shared" si="15"/>
        <v>111</v>
      </c>
      <c r="AA31" s="1580">
        <f t="shared" si="3"/>
        <v>1</v>
      </c>
      <c r="AB31" s="1580">
        <f t="shared" si="4"/>
        <v>1</v>
      </c>
      <c r="AC31" s="1580">
        <f t="shared" si="5"/>
        <v>1</v>
      </c>
    </row>
    <row r="32" spans="1:29" ht="15">
      <c r="A32" s="2938"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406" t="s">
        <v>551</v>
      </c>
      <c r="Q32" s="1576" t="str">
        <f t="shared" si="11"/>
        <v>商业类型</v>
      </c>
      <c r="R32" s="1577" t="s">
        <v>8</v>
      </c>
      <c r="S32" s="1578">
        <f t="shared" si="12"/>
        <v>100</v>
      </c>
      <c r="T32" s="1577" t="s">
        <v>8</v>
      </c>
      <c r="U32" s="1578">
        <f t="shared" si="13"/>
        <v>100</v>
      </c>
      <c r="V32" s="1577" t="s">
        <v>8</v>
      </c>
      <c r="W32" s="1578">
        <f t="shared" si="14"/>
        <v>100</v>
      </c>
      <c r="X32" s="1571"/>
      <c r="Y32" s="3407"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407"/>
      <c r="Q33" s="1609" t="str">
        <f t="shared" si="11"/>
        <v>项目建筑规模</v>
      </c>
      <c r="R33" s="1581" t="s">
        <v>8</v>
      </c>
      <c r="S33" s="1582" t="e">
        <f t="shared" si="12"/>
        <v>#N/A</v>
      </c>
      <c r="T33" s="1581" t="s">
        <v>8</v>
      </c>
      <c r="U33" s="1582" t="e">
        <f t="shared" si="13"/>
        <v>#N/A</v>
      </c>
      <c r="V33" s="1581" t="s">
        <v>8</v>
      </c>
      <c r="W33" s="1582" t="e">
        <f t="shared" si="14"/>
        <v>#N/A</v>
      </c>
      <c r="X33" s="1583"/>
      <c r="Y33" s="3407"/>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407"/>
      <c r="Q34" s="1576" t="str">
        <f t="shared" si="11"/>
        <v>建筑结构</v>
      </c>
      <c r="R34" s="1577" t="s">
        <v>8</v>
      </c>
      <c r="S34" s="1578">
        <f t="shared" si="12"/>
        <v>100</v>
      </c>
      <c r="T34" s="1577" t="s">
        <v>8</v>
      </c>
      <c r="U34" s="1578">
        <f t="shared" si="13"/>
        <v>100</v>
      </c>
      <c r="V34" s="1577" t="s">
        <v>8</v>
      </c>
      <c r="W34" s="1578">
        <f t="shared" si="14"/>
        <v>100</v>
      </c>
      <c r="X34" s="1571"/>
      <c r="Y34" s="3407"/>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407"/>
      <c r="Q35" s="1576" t="str">
        <f t="shared" si="11"/>
        <v>公共部分装修</v>
      </c>
      <c r="R35" s="1577" t="s">
        <v>8</v>
      </c>
      <c r="S35" s="1578">
        <f t="shared" si="12"/>
        <v>100</v>
      </c>
      <c r="T35" s="1577" t="s">
        <v>8</v>
      </c>
      <c r="U35" s="1578">
        <f t="shared" si="13"/>
        <v>100</v>
      </c>
      <c r="V35" s="1577" t="s">
        <v>8</v>
      </c>
      <c r="W35" s="1578">
        <f t="shared" si="14"/>
        <v>100</v>
      </c>
      <c r="X35" s="1571"/>
      <c r="Y35" s="3407"/>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407"/>
      <c r="Q36" s="1576" t="str">
        <f t="shared" si="11"/>
        <v>成新度</v>
      </c>
      <c r="R36" s="1577" t="s">
        <v>8</v>
      </c>
      <c r="S36" s="1578" t="e">
        <f t="shared" si="12"/>
        <v>#N/A</v>
      </c>
      <c r="T36" s="1577" t="s">
        <v>8</v>
      </c>
      <c r="U36" s="1578" t="e">
        <f t="shared" si="13"/>
        <v>#N/A</v>
      </c>
      <c r="V36" s="1577" t="s">
        <v>8</v>
      </c>
      <c r="W36" s="1578" t="e">
        <f t="shared" si="14"/>
        <v>#N/A</v>
      </c>
      <c r="X36" s="1571"/>
      <c r="Y36" s="3407"/>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407"/>
      <c r="Q37" s="1154" t="str">
        <f t="shared" si="11"/>
        <v>市政基础设施</v>
      </c>
      <c r="R37" s="1572" t="s">
        <v>8</v>
      </c>
      <c r="S37" s="1573">
        <f t="shared" si="12"/>
        <v>100</v>
      </c>
      <c r="T37" s="1572" t="s">
        <v>8</v>
      </c>
      <c r="U37" s="1573">
        <f t="shared" si="13"/>
        <v>100</v>
      </c>
      <c r="V37" s="1572" t="s">
        <v>8</v>
      </c>
      <c r="W37" s="1573">
        <f t="shared" si="14"/>
        <v>100</v>
      </c>
      <c r="X37" s="1574"/>
      <c r="Y37" s="3407"/>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407" t="s">
        <v>767</v>
      </c>
      <c r="Q38" s="1576" t="str">
        <f t="shared" si="11"/>
        <v>业态</v>
      </c>
      <c r="R38" s="1577" t="s">
        <v>8</v>
      </c>
      <c r="S38" s="1578">
        <f t="shared" si="12"/>
        <v>100</v>
      </c>
      <c r="T38" s="1577" t="s">
        <v>8</v>
      </c>
      <c r="U38" s="1578">
        <f t="shared" si="13"/>
        <v>100</v>
      </c>
      <c r="V38" s="1577" t="s">
        <v>8</v>
      </c>
      <c r="W38" s="1578">
        <f t="shared" si="14"/>
        <v>100</v>
      </c>
      <c r="X38" s="1571"/>
      <c r="Y38" s="3407"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07"/>
      <c r="Q39" s="1576" t="str">
        <f t="shared" si="11"/>
        <v>层高</v>
      </c>
      <c r="R39" s="1577" t="s">
        <v>8</v>
      </c>
      <c r="S39" s="1578">
        <f t="shared" si="12"/>
        <v>100</v>
      </c>
      <c r="T39" s="1577" t="s">
        <v>8</v>
      </c>
      <c r="U39" s="1578">
        <f t="shared" si="13"/>
        <v>100</v>
      </c>
      <c r="V39" s="1577" t="s">
        <v>8</v>
      </c>
      <c r="W39" s="1578">
        <f t="shared" si="14"/>
        <v>100</v>
      </c>
      <c r="X39" s="1571"/>
      <c r="Y39" s="3407"/>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407"/>
      <c r="Q40" s="1576" t="str">
        <f t="shared" si="11"/>
        <v>单套建筑面积</v>
      </c>
      <c r="R40" s="1577" t="s">
        <v>8</v>
      </c>
      <c r="S40" s="1578">
        <f t="shared" si="12"/>
        <v>100</v>
      </c>
      <c r="T40" s="1577" t="s">
        <v>8</v>
      </c>
      <c r="U40" s="1578">
        <f t="shared" si="13"/>
        <v>100</v>
      </c>
      <c r="V40" s="1577" t="s">
        <v>8</v>
      </c>
      <c r="W40" s="1578">
        <f t="shared" si="14"/>
        <v>100</v>
      </c>
      <c r="X40" s="1571"/>
      <c r="Y40" s="3407"/>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407"/>
      <c r="Q41" s="1609" t="str">
        <f t="shared" si="11"/>
        <v>进深比</v>
      </c>
      <c r="R41" s="1581" t="s">
        <v>8</v>
      </c>
      <c r="S41" s="1582">
        <f t="shared" si="12"/>
        <v>100</v>
      </c>
      <c r="T41" s="1581" t="s">
        <v>8</v>
      </c>
      <c r="U41" s="1582">
        <f t="shared" si="13"/>
        <v>100</v>
      </c>
      <c r="V41" s="1581" t="s">
        <v>8</v>
      </c>
      <c r="W41" s="1582">
        <f t="shared" si="14"/>
        <v>100</v>
      </c>
      <c r="X41" s="1583"/>
      <c r="Y41" s="3407"/>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407"/>
      <c r="Q42" s="1576" t="str">
        <f t="shared" si="11"/>
        <v>内部装修</v>
      </c>
      <c r="R42" s="1577" t="s">
        <v>8</v>
      </c>
      <c r="S42" s="1578">
        <f t="shared" si="12"/>
        <v>100</v>
      </c>
      <c r="T42" s="1577" t="s">
        <v>8</v>
      </c>
      <c r="U42" s="1578">
        <f t="shared" si="13"/>
        <v>100</v>
      </c>
      <c r="V42" s="1577" t="s">
        <v>8</v>
      </c>
      <c r="W42" s="1578">
        <f t="shared" si="14"/>
        <v>100</v>
      </c>
      <c r="X42" s="1571"/>
      <c r="Y42" s="3407"/>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407"/>
      <c r="Q43" s="1576" t="str">
        <f t="shared" si="11"/>
        <v>内部装修维护情况</v>
      </c>
      <c r="R43" s="1577" t="s">
        <v>8</v>
      </c>
      <c r="S43" s="1578">
        <f t="shared" si="12"/>
        <v>100</v>
      </c>
      <c r="T43" s="1577" t="s">
        <v>8</v>
      </c>
      <c r="U43" s="1578">
        <f t="shared" si="13"/>
        <v>100</v>
      </c>
      <c r="V43" s="1577" t="s">
        <v>8</v>
      </c>
      <c r="W43" s="1578">
        <f t="shared" si="14"/>
        <v>100</v>
      </c>
      <c r="X43" s="1571"/>
      <c r="Y43" s="3407"/>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407"/>
      <c r="Q44" s="1154">
        <f t="shared" si="11"/>
        <v>111</v>
      </c>
      <c r="R44" s="1572" t="s">
        <v>8</v>
      </c>
      <c r="S44" s="1573">
        <f t="shared" si="12"/>
        <v>100</v>
      </c>
      <c r="T44" s="1572" t="s">
        <v>8</v>
      </c>
      <c r="U44" s="1573">
        <f t="shared" si="13"/>
        <v>100</v>
      </c>
      <c r="V44" s="1572" t="s">
        <v>8</v>
      </c>
      <c r="W44" s="1573">
        <f t="shared" si="14"/>
        <v>100</v>
      </c>
      <c r="X44" s="1574"/>
      <c r="Y44" s="3407"/>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407"/>
      <c r="Q45" s="1576">
        <f t="shared" si="11"/>
        <v>111</v>
      </c>
      <c r="R45" s="1577" t="s">
        <v>8</v>
      </c>
      <c r="S45" s="1578">
        <f t="shared" si="12"/>
        <v>100</v>
      </c>
      <c r="T45" s="1577" t="s">
        <v>8</v>
      </c>
      <c r="U45" s="1578">
        <f t="shared" si="13"/>
        <v>100</v>
      </c>
      <c r="V45" s="1577" t="s">
        <v>8</v>
      </c>
      <c r="W45" s="1578">
        <f t="shared" si="14"/>
        <v>100</v>
      </c>
      <c r="X45" s="1571"/>
      <c r="Y45" s="3407"/>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11"/>
      <c r="Q46" s="1576">
        <f t="shared" si="11"/>
        <v>111</v>
      </c>
      <c r="R46" s="1577" t="s">
        <v>8</v>
      </c>
      <c r="S46" s="1578">
        <f t="shared" si="12"/>
        <v>100</v>
      </c>
      <c r="T46" s="1577" t="s">
        <v>8</v>
      </c>
      <c r="U46" s="1578">
        <f t="shared" si="13"/>
        <v>100</v>
      </c>
      <c r="V46" s="1577" t="s">
        <v>8</v>
      </c>
      <c r="W46" s="1578">
        <f t="shared" si="14"/>
        <v>100</v>
      </c>
      <c r="X46" s="1571"/>
      <c r="Y46" s="3411"/>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68" t="str">
        <f>A47</f>
        <v>成交单价（元/平方米）</v>
      </c>
      <c r="Q47" s="3368"/>
      <c r="R47" s="3408">
        <f>E47</f>
        <v>0</v>
      </c>
      <c r="S47" s="3408"/>
      <c r="T47" s="3408">
        <f>G47</f>
        <v>0</v>
      </c>
      <c r="U47" s="3408"/>
      <c r="V47" s="3408">
        <f>I47</f>
        <v>0</v>
      </c>
      <c r="W47" s="3408"/>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6"/>
      <c r="L48" s="2149"/>
      <c r="M48" s="2150"/>
      <c r="N48" s="2139"/>
      <c r="O48" s="2150"/>
      <c r="P48" s="3368" t="str">
        <f>A48</f>
        <v>比较价格（元/平方米）</v>
      </c>
      <c r="Q48" s="3368"/>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7"/>
      <c r="L49" s="2149"/>
      <c r="M49" s="2150"/>
      <c r="N49" s="2139"/>
      <c r="O49" s="2150"/>
      <c r="P49" s="3365" t="str">
        <f>A49</f>
        <v>估价对象XX用房的比较价格（楼面单价，元/平方米）</v>
      </c>
      <c r="Q49" s="3366"/>
      <c r="R49" s="3410" t="e">
        <f>IF(F1="售价",ROUND(AVERAGE(R48:V48),0),ROUND(AVERAGE(R48:V48),1))</f>
        <v>#DIV/0!</v>
      </c>
      <c r="S49" s="3410"/>
      <c r="T49" s="3410"/>
      <c r="U49" s="3410"/>
      <c r="V49" s="3410"/>
      <c r="W49" s="3410"/>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4" t="s">
        <v>523</v>
      </c>
      <c r="D4" s="3375"/>
      <c r="E4" s="3412" t="s">
        <v>524</v>
      </c>
      <c r="F4" s="3413"/>
      <c r="G4" s="3374" t="s">
        <v>525</v>
      </c>
      <c r="H4" s="3375"/>
      <c r="I4" s="3374" t="s">
        <v>526</v>
      </c>
      <c r="J4" s="3375"/>
      <c r="K4" s="517" t="s">
        <v>527</v>
      </c>
      <c r="L4" s="2138"/>
      <c r="M4" s="2139"/>
      <c r="N4" s="2139"/>
      <c r="O4" s="2139"/>
      <c r="P4" s="3376" t="s">
        <v>528</v>
      </c>
      <c r="Q4" s="3377"/>
      <c r="R4" s="3382" t="s">
        <v>524</v>
      </c>
      <c r="S4" s="3383"/>
      <c r="T4" s="3382" t="s">
        <v>525</v>
      </c>
      <c r="U4" s="3383"/>
      <c r="V4" s="3369" t="s">
        <v>526</v>
      </c>
      <c r="W4" s="3369"/>
      <c r="X4" s="1571"/>
      <c r="Y4" s="3382" t="s">
        <v>528</v>
      </c>
      <c r="Z4" s="3383"/>
      <c r="AA4" s="3371" t="s">
        <v>524</v>
      </c>
      <c r="AB4" s="3372" t="s">
        <v>525</v>
      </c>
      <c r="AC4" s="3371" t="s">
        <v>526</v>
      </c>
    </row>
    <row r="5" spans="1:29" ht="15">
      <c r="A5" s="518"/>
      <c r="B5" s="519"/>
      <c r="C5" s="3392" t="s">
        <v>2939</v>
      </c>
      <c r="D5" s="3391"/>
      <c r="E5" s="3429" t="s">
        <v>2940</v>
      </c>
      <c r="F5" s="3421"/>
      <c r="G5" s="3392" t="s">
        <v>2941</v>
      </c>
      <c r="H5" s="3391"/>
      <c r="I5" s="3392" t="s">
        <v>2942</v>
      </c>
      <c r="J5" s="3391"/>
      <c r="K5" s="517"/>
      <c r="L5" s="2138"/>
      <c r="M5" s="2139"/>
      <c r="N5" s="2139"/>
      <c r="O5" s="2139"/>
      <c r="P5" s="3378"/>
      <c r="Q5" s="3379"/>
      <c r="R5" s="3384"/>
      <c r="S5" s="3385"/>
      <c r="T5" s="3384"/>
      <c r="U5" s="3385"/>
      <c r="V5" s="3369"/>
      <c r="W5" s="3369"/>
      <c r="X5" s="1571"/>
      <c r="Y5" s="3384"/>
      <c r="Z5" s="3385"/>
      <c r="AA5" s="3372"/>
      <c r="AB5" s="3372"/>
      <c r="AC5" s="3372"/>
    </row>
    <row r="6" spans="1:29" ht="15.75" thickBot="1">
      <c r="A6" s="520"/>
      <c r="B6" s="521"/>
      <c r="C6" s="3417" t="s">
        <v>2943</v>
      </c>
      <c r="D6" s="3389"/>
      <c r="E6" s="3428" t="s">
        <v>2943</v>
      </c>
      <c r="F6" s="3419"/>
      <c r="G6" s="3417" t="s">
        <v>2943</v>
      </c>
      <c r="H6" s="3389"/>
      <c r="I6" s="3417" t="s">
        <v>2943</v>
      </c>
      <c r="J6" s="3389"/>
      <c r="K6" s="517" t="s">
        <v>529</v>
      </c>
      <c r="L6" s="2138"/>
      <c r="M6" s="2139"/>
      <c r="N6" s="2139"/>
      <c r="O6" s="2139"/>
      <c r="P6" s="3380"/>
      <c r="Q6" s="3381"/>
      <c r="R6" s="3384"/>
      <c r="S6" s="3385"/>
      <c r="T6" s="3386"/>
      <c r="U6" s="3387"/>
      <c r="V6" s="3369"/>
      <c r="W6" s="3369"/>
      <c r="X6" s="1571"/>
      <c r="Y6" s="3386"/>
      <c r="Z6" s="3387"/>
      <c r="AA6" s="3373"/>
      <c r="AB6" s="3373"/>
      <c r="AC6" s="3373"/>
    </row>
    <row r="7" spans="1:29" s="1223" customFormat="1" ht="15.75" thickBot="1">
      <c r="A7" s="2943"/>
      <c r="B7" s="2950" t="s">
        <v>530</v>
      </c>
      <c r="C7" s="522">
        <f>'数据-取费表'!B2</f>
        <v>43020</v>
      </c>
      <c r="D7" s="523">
        <v>100</v>
      </c>
      <c r="E7" s="524"/>
      <c r="F7" s="525">
        <f>SUMIF(52:52,YEAR(E7)&amp;"-"&amp;MONTH(E7),53:53)</f>
        <v>0</v>
      </c>
      <c r="G7" s="524"/>
      <c r="H7" s="523">
        <f>SUMIF(52:52,YEAR(G7)&amp;"-"&amp;MONTH(G7),53:53)</f>
        <v>0</v>
      </c>
      <c r="I7" s="524"/>
      <c r="J7" s="523">
        <f>SUMIF(52:52,YEAR(I7)&amp;"-"&amp;MONTH(I7),53:53)</f>
        <v>0</v>
      </c>
      <c r="K7" s="527"/>
      <c r="L7" s="2140"/>
      <c r="M7" s="2141"/>
      <c r="N7" s="2141"/>
      <c r="O7" s="2141"/>
      <c r="P7" s="3401" t="s">
        <v>531</v>
      </c>
      <c r="Q7" s="3403"/>
      <c r="R7" s="1572" t="s">
        <v>8</v>
      </c>
      <c r="S7" s="1573">
        <f t="shared" ref="S7:S15" si="0">F7</f>
        <v>0</v>
      </c>
      <c r="T7" s="1572" t="s">
        <v>8</v>
      </c>
      <c r="U7" s="1573">
        <f t="shared" ref="U7:U15" si="1">H7</f>
        <v>0</v>
      </c>
      <c r="V7" s="1572" t="s">
        <v>8</v>
      </c>
      <c r="W7" s="1573">
        <f t="shared" ref="W7:W15" si="2">J7</f>
        <v>0</v>
      </c>
      <c r="X7" s="1574"/>
      <c r="Y7" s="3401" t="s">
        <v>531</v>
      </c>
      <c r="Z7" s="3402"/>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401" t="s">
        <v>534</v>
      </c>
      <c r="Q8" s="3402"/>
      <c r="R8" s="1572" t="s">
        <v>8</v>
      </c>
      <c r="S8" s="1573">
        <f t="shared" si="0"/>
        <v>0</v>
      </c>
      <c r="T8" s="1572" t="s">
        <v>8</v>
      </c>
      <c r="U8" s="1573">
        <f t="shared" si="1"/>
        <v>0</v>
      </c>
      <c r="V8" s="1572" t="s">
        <v>8</v>
      </c>
      <c r="W8" s="1573">
        <f t="shared" si="2"/>
        <v>0</v>
      </c>
      <c r="X8" s="1574"/>
      <c r="Y8" s="3401" t="s">
        <v>534</v>
      </c>
      <c r="Z8" s="3402"/>
      <c r="AA8" s="1575" t="e">
        <f t="shared" ref="AA8:AA40" si="3">D8/F8</f>
        <v>#DIV/0!</v>
      </c>
      <c r="AB8" s="1575" t="e">
        <f t="shared" ref="AB8:AB40" si="4">D8/H8</f>
        <v>#DIV/0!</v>
      </c>
      <c r="AC8" s="1575" t="e">
        <f t="shared" ref="AC8:AC40" si="5">D8/J8</f>
        <v>#DIV/0!</v>
      </c>
    </row>
    <row r="9" spans="1:29" s="1223" customFormat="1" ht="15">
      <c r="A9" s="2945"/>
      <c r="B9" s="2952" t="s">
        <v>2765</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68"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68"/>
      <c r="Q11" s="1154" t="str">
        <f t="shared" si="6"/>
        <v>容积率</v>
      </c>
      <c r="R11" s="1572" t="s">
        <v>8</v>
      </c>
      <c r="S11" s="1573" t="e">
        <f t="shared" si="0"/>
        <v>#N/A</v>
      </c>
      <c r="T11" s="1572" t="s">
        <v>8</v>
      </c>
      <c r="U11" s="1573" t="e">
        <f t="shared" si="1"/>
        <v>#N/A</v>
      </c>
      <c r="V11" s="1572" t="s">
        <v>8</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68"/>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68"/>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68"/>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57">
      <c r="A15" s="2941"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404" t="s">
        <v>541</v>
      </c>
      <c r="Q15" s="1576" t="str">
        <f t="shared" si="6"/>
        <v>产业集聚程度</v>
      </c>
      <c r="R15" s="1577" t="s">
        <v>8</v>
      </c>
      <c r="S15" s="1578">
        <f t="shared" si="0"/>
        <v>100</v>
      </c>
      <c r="T15" s="1577" t="s">
        <v>8</v>
      </c>
      <c r="U15" s="1578">
        <f t="shared" si="1"/>
        <v>100</v>
      </c>
      <c r="V15" s="1577" t="s">
        <v>8</v>
      </c>
      <c r="W15" s="1578">
        <f t="shared" si="2"/>
        <v>100</v>
      </c>
      <c r="X15" s="1571"/>
      <c r="Y15" s="3404"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5"/>
      <c r="Q16" s="1576"/>
      <c r="R16" s="1577"/>
      <c r="S16" s="1578"/>
      <c r="T16" s="1577"/>
      <c r="U16" s="1578"/>
      <c r="V16" s="1577"/>
      <c r="W16" s="1578"/>
      <c r="X16" s="1571"/>
      <c r="Y16" s="3405"/>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405"/>
      <c r="Q17" s="1576" t="str">
        <f>B17</f>
        <v>交通便捷度</v>
      </c>
      <c r="R17" s="1577" t="s">
        <v>8</v>
      </c>
      <c r="S17" s="1578">
        <f>F17</f>
        <v>100</v>
      </c>
      <c r="T17" s="1577" t="s">
        <v>8</v>
      </c>
      <c r="U17" s="1578">
        <f>H17</f>
        <v>100</v>
      </c>
      <c r="V17" s="1577" t="s">
        <v>8</v>
      </c>
      <c r="W17" s="1578">
        <f>J17</f>
        <v>100</v>
      </c>
      <c r="X17" s="1571"/>
      <c r="Y17" s="3405"/>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5"/>
      <c r="Q18" s="1576"/>
      <c r="R18" s="1577"/>
      <c r="S18" s="1578"/>
      <c r="T18" s="1577"/>
      <c r="U18" s="1578"/>
      <c r="V18" s="1577"/>
      <c r="W18" s="1578"/>
      <c r="X18" s="1571"/>
      <c r="Y18" s="3405"/>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405"/>
      <c r="Q19" s="1576" t="str">
        <f>B19</f>
        <v>公共配套设施</v>
      </c>
      <c r="R19" s="1577" t="s">
        <v>8</v>
      </c>
      <c r="S19" s="1578">
        <f>F19</f>
        <v>100</v>
      </c>
      <c r="T19" s="1577" t="s">
        <v>8</v>
      </c>
      <c r="U19" s="1578">
        <f>H19</f>
        <v>100</v>
      </c>
      <c r="V19" s="1577" t="s">
        <v>8</v>
      </c>
      <c r="W19" s="1578">
        <f>J19</f>
        <v>100</v>
      </c>
      <c r="X19" s="1571"/>
      <c r="Y19" s="3405"/>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405"/>
      <c r="Q20" s="1576"/>
      <c r="R20" s="1577"/>
      <c r="S20" s="1578"/>
      <c r="T20" s="1577"/>
      <c r="U20" s="1578"/>
      <c r="V20" s="1577"/>
      <c r="W20" s="1578"/>
      <c r="X20" s="1571"/>
      <c r="Y20" s="3405"/>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405"/>
      <c r="Q21" s="2608" t="str">
        <f>B21</f>
        <v>基础设施水平</v>
      </c>
      <c r="R21" s="1577" t="s">
        <v>8</v>
      </c>
      <c r="S21" s="1578">
        <f>F21</f>
        <v>100</v>
      </c>
      <c r="T21" s="1577" t="s">
        <v>8</v>
      </c>
      <c r="U21" s="1578">
        <f>H21</f>
        <v>100</v>
      </c>
      <c r="V21" s="1577" t="s">
        <v>8</v>
      </c>
      <c r="W21" s="1578">
        <f>J21</f>
        <v>100</v>
      </c>
      <c r="X21" s="2610"/>
      <c r="Y21" s="3405"/>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405"/>
      <c r="Q22" s="2608"/>
      <c r="R22" s="1577"/>
      <c r="S22" s="1578"/>
      <c r="T22" s="1577"/>
      <c r="U22" s="1578"/>
      <c r="V22" s="1577"/>
      <c r="W22" s="1578"/>
      <c r="X22" s="2610"/>
      <c r="Y22" s="3405"/>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405"/>
      <c r="Q23" s="1576" t="str">
        <f>B23</f>
        <v>环境质量</v>
      </c>
      <c r="R23" s="1577" t="s">
        <v>8</v>
      </c>
      <c r="S23" s="1578">
        <f>F23</f>
        <v>100</v>
      </c>
      <c r="T23" s="1577" t="s">
        <v>8</v>
      </c>
      <c r="U23" s="1578">
        <f>H23</f>
        <v>100</v>
      </c>
      <c r="V23" s="1577" t="s">
        <v>8</v>
      </c>
      <c r="W23" s="1578">
        <f>J23</f>
        <v>100</v>
      </c>
      <c r="X23" s="1571"/>
      <c r="Y23" s="3405"/>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405"/>
      <c r="Q24" s="1576"/>
      <c r="R24" s="1577"/>
      <c r="S24" s="1578"/>
      <c r="T24" s="1577"/>
      <c r="U24" s="1578"/>
      <c r="V24" s="1577"/>
      <c r="W24" s="1578"/>
      <c r="X24" s="1571"/>
      <c r="Y24" s="3405"/>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405"/>
      <c r="Q25" s="1576">
        <f>B25</f>
        <v>111</v>
      </c>
      <c r="R25" s="1577" t="s">
        <v>8</v>
      </c>
      <c r="S25" s="1578">
        <f>F25</f>
        <v>100</v>
      </c>
      <c r="T25" s="1577" t="s">
        <v>8</v>
      </c>
      <c r="U25" s="1578">
        <f>H25</f>
        <v>100</v>
      </c>
      <c r="V25" s="1577" t="s">
        <v>8</v>
      </c>
      <c r="W25" s="1578">
        <f>J25</f>
        <v>100</v>
      </c>
      <c r="X25" s="1571"/>
      <c r="Y25" s="3405"/>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405"/>
      <c r="Q26" s="1576">
        <f t="shared" ref="Q26:Q40" si="11">B26</f>
        <v>111</v>
      </c>
      <c r="R26" s="1577" t="s">
        <v>8</v>
      </c>
      <c r="S26" s="1578">
        <f>F26</f>
        <v>100</v>
      </c>
      <c r="T26" s="1577" t="s">
        <v>8</v>
      </c>
      <c r="U26" s="1578">
        <f>H26</f>
        <v>100</v>
      </c>
      <c r="V26" s="1577" t="s">
        <v>8</v>
      </c>
      <c r="W26" s="1578">
        <f>J26</f>
        <v>100</v>
      </c>
      <c r="X26" s="1571"/>
      <c r="Y26" s="3405"/>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405"/>
      <c r="Q27" s="1154">
        <f t="shared" si="11"/>
        <v>111</v>
      </c>
      <c r="R27" s="1572" t="s">
        <v>8</v>
      </c>
      <c r="S27" s="1573">
        <f>F27</f>
        <v>100</v>
      </c>
      <c r="T27" s="1572" t="s">
        <v>8</v>
      </c>
      <c r="U27" s="1573">
        <f>H27</f>
        <v>100</v>
      </c>
      <c r="V27" s="1572" t="s">
        <v>8</v>
      </c>
      <c r="W27" s="1573">
        <f>J27</f>
        <v>100</v>
      </c>
      <c r="X27" s="1574"/>
      <c r="Y27" s="3405"/>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405"/>
      <c r="Q28" s="1576">
        <f t="shared" si="11"/>
        <v>111</v>
      </c>
      <c r="R28" s="1577" t="s">
        <v>8</v>
      </c>
      <c r="S28" s="1578">
        <f t="shared" ref="S28:S40" si="12">F28</f>
        <v>100</v>
      </c>
      <c r="T28" s="1577" t="s">
        <v>8</v>
      </c>
      <c r="U28" s="1578">
        <f t="shared" ref="U28:U40" si="13">H28</f>
        <v>100</v>
      </c>
      <c r="V28" s="1577" t="s">
        <v>8</v>
      </c>
      <c r="W28" s="1578">
        <f t="shared" ref="W28:W40" si="14">J28</f>
        <v>100</v>
      </c>
      <c r="X28" s="1571"/>
      <c r="Y28" s="3405"/>
      <c r="Z28" s="1579">
        <f t="shared" ref="Z28:Z40" si="15">Q28</f>
        <v>111</v>
      </c>
      <c r="AA28" s="1580">
        <f t="shared" si="3"/>
        <v>1</v>
      </c>
      <c r="AB28" s="1580">
        <f t="shared" si="4"/>
        <v>1</v>
      </c>
      <c r="AC28" s="1580">
        <f t="shared" si="5"/>
        <v>1</v>
      </c>
    </row>
    <row r="29" spans="1:29" ht="15">
      <c r="A29" s="2938"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406" t="s">
        <v>551</v>
      </c>
      <c r="Q29" s="1576" t="str">
        <f t="shared" si="11"/>
        <v>建筑类型</v>
      </c>
      <c r="R29" s="1577" t="s">
        <v>8</v>
      </c>
      <c r="S29" s="1578">
        <f t="shared" si="12"/>
        <v>100</v>
      </c>
      <c r="T29" s="1577" t="s">
        <v>8</v>
      </c>
      <c r="U29" s="1578">
        <f t="shared" si="13"/>
        <v>100</v>
      </c>
      <c r="V29" s="1577" t="s">
        <v>8</v>
      </c>
      <c r="W29" s="1578">
        <f t="shared" si="14"/>
        <v>100</v>
      </c>
      <c r="X29" s="1571"/>
      <c r="Y29" s="3407"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407"/>
      <c r="Q30" s="1609" t="str">
        <f t="shared" si="11"/>
        <v>项目建筑规模</v>
      </c>
      <c r="R30" s="1581" t="s">
        <v>8</v>
      </c>
      <c r="S30" s="1582" t="e">
        <f t="shared" si="12"/>
        <v>#N/A</v>
      </c>
      <c r="T30" s="1581" t="s">
        <v>8</v>
      </c>
      <c r="U30" s="1582" t="e">
        <f t="shared" si="13"/>
        <v>#N/A</v>
      </c>
      <c r="V30" s="1581" t="s">
        <v>8</v>
      </c>
      <c r="W30" s="1582" t="e">
        <f t="shared" si="14"/>
        <v>#N/A</v>
      </c>
      <c r="X30" s="1583"/>
      <c r="Y30" s="3407"/>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407"/>
      <c r="Q31" s="1576" t="str">
        <f t="shared" si="11"/>
        <v>建筑结构</v>
      </c>
      <c r="R31" s="1577" t="s">
        <v>8</v>
      </c>
      <c r="S31" s="1578">
        <f t="shared" si="12"/>
        <v>100</v>
      </c>
      <c r="T31" s="1577" t="s">
        <v>8</v>
      </c>
      <c r="U31" s="1578">
        <f t="shared" si="13"/>
        <v>100</v>
      </c>
      <c r="V31" s="1577" t="s">
        <v>8</v>
      </c>
      <c r="W31" s="1578">
        <f t="shared" si="14"/>
        <v>100</v>
      </c>
      <c r="X31" s="1571"/>
      <c r="Y31" s="3407"/>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407"/>
      <c r="Q32" s="1576" t="str">
        <f t="shared" si="11"/>
        <v>公共部分装修</v>
      </c>
      <c r="R32" s="1577" t="s">
        <v>8</v>
      </c>
      <c r="S32" s="1578">
        <f t="shared" si="12"/>
        <v>100</v>
      </c>
      <c r="T32" s="1577" t="s">
        <v>8</v>
      </c>
      <c r="U32" s="1578">
        <f t="shared" si="13"/>
        <v>100</v>
      </c>
      <c r="V32" s="1577" t="s">
        <v>8</v>
      </c>
      <c r="W32" s="1578">
        <f t="shared" si="14"/>
        <v>100</v>
      </c>
      <c r="X32" s="1571"/>
      <c r="Y32" s="3407"/>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407"/>
      <c r="Q33" s="1576" t="str">
        <f t="shared" si="11"/>
        <v>成新度</v>
      </c>
      <c r="R33" s="1577" t="s">
        <v>8</v>
      </c>
      <c r="S33" s="1578" t="e">
        <f t="shared" si="12"/>
        <v>#N/A</v>
      </c>
      <c r="T33" s="1577" t="s">
        <v>8</v>
      </c>
      <c r="U33" s="1578" t="e">
        <f t="shared" si="13"/>
        <v>#N/A</v>
      </c>
      <c r="V33" s="1577" t="s">
        <v>8</v>
      </c>
      <c r="W33" s="1578" t="e">
        <f t="shared" si="14"/>
        <v>#N/A</v>
      </c>
      <c r="X33" s="1571"/>
      <c r="Y33" s="3407"/>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407"/>
      <c r="Q34" s="1154" t="str">
        <f t="shared" si="11"/>
        <v>物业管理</v>
      </c>
      <c r="R34" s="1572" t="s">
        <v>8</v>
      </c>
      <c r="S34" s="1573">
        <f t="shared" si="12"/>
        <v>100</v>
      </c>
      <c r="T34" s="1572" t="s">
        <v>8</v>
      </c>
      <c r="U34" s="1573">
        <f t="shared" si="13"/>
        <v>100</v>
      </c>
      <c r="V34" s="1572" t="s">
        <v>8</v>
      </c>
      <c r="W34" s="1573">
        <f t="shared" si="14"/>
        <v>100</v>
      </c>
      <c r="X34" s="1574"/>
      <c r="Y34" s="3407"/>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407" t="s">
        <v>551</v>
      </c>
      <c r="Q35" s="1576" t="str">
        <f t="shared" si="11"/>
        <v>市政基础设施</v>
      </c>
      <c r="R35" s="1577" t="s">
        <v>8</v>
      </c>
      <c r="S35" s="1578">
        <f t="shared" si="12"/>
        <v>100</v>
      </c>
      <c r="T35" s="1577" t="s">
        <v>8</v>
      </c>
      <c r="U35" s="1578">
        <f t="shared" si="13"/>
        <v>100</v>
      </c>
      <c r="V35" s="1577" t="s">
        <v>8</v>
      </c>
      <c r="W35" s="1578">
        <f t="shared" si="14"/>
        <v>100</v>
      </c>
      <c r="X35" s="1571"/>
      <c r="Y35" s="3407"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407"/>
      <c r="Q36" s="1576" t="str">
        <f t="shared" si="11"/>
        <v>内部装修</v>
      </c>
      <c r="R36" s="1577" t="s">
        <v>8</v>
      </c>
      <c r="S36" s="1578">
        <f t="shared" si="12"/>
        <v>100</v>
      </c>
      <c r="T36" s="1577" t="s">
        <v>8</v>
      </c>
      <c r="U36" s="1578">
        <f t="shared" si="13"/>
        <v>100</v>
      </c>
      <c r="V36" s="1577" t="s">
        <v>8</v>
      </c>
      <c r="W36" s="1578">
        <f t="shared" si="14"/>
        <v>100</v>
      </c>
      <c r="X36" s="1571"/>
      <c r="Y36" s="3407"/>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407"/>
      <c r="Q37" s="1576" t="str">
        <f t="shared" si="11"/>
        <v>内部装修状况</v>
      </c>
      <c r="R37" s="1577" t="s">
        <v>8</v>
      </c>
      <c r="S37" s="1578">
        <f t="shared" si="12"/>
        <v>100</v>
      </c>
      <c r="T37" s="1577" t="s">
        <v>8</v>
      </c>
      <c r="U37" s="1578">
        <f t="shared" si="13"/>
        <v>100</v>
      </c>
      <c r="V37" s="1577" t="s">
        <v>8</v>
      </c>
      <c r="W37" s="1578">
        <f t="shared" si="14"/>
        <v>100</v>
      </c>
      <c r="X37" s="1571"/>
      <c r="Y37" s="3407"/>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407"/>
      <c r="Q38" s="1609">
        <f t="shared" si="11"/>
        <v>111</v>
      </c>
      <c r="R38" s="1581" t="s">
        <v>8</v>
      </c>
      <c r="S38" s="1582">
        <f t="shared" si="12"/>
        <v>100</v>
      </c>
      <c r="T38" s="1581" t="s">
        <v>8</v>
      </c>
      <c r="U38" s="1582">
        <f t="shared" si="13"/>
        <v>100</v>
      </c>
      <c r="V38" s="1581" t="s">
        <v>8</v>
      </c>
      <c r="W38" s="1582">
        <f t="shared" si="14"/>
        <v>100</v>
      </c>
      <c r="X38" s="1583"/>
      <c r="Y38" s="3407"/>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407"/>
      <c r="Q39" s="1576">
        <f t="shared" si="11"/>
        <v>111</v>
      </c>
      <c r="R39" s="1577" t="s">
        <v>8</v>
      </c>
      <c r="S39" s="1578">
        <f t="shared" si="12"/>
        <v>100</v>
      </c>
      <c r="T39" s="1577" t="s">
        <v>8</v>
      </c>
      <c r="U39" s="1578">
        <f t="shared" si="13"/>
        <v>100</v>
      </c>
      <c r="V39" s="1577" t="s">
        <v>8</v>
      </c>
      <c r="W39" s="1578">
        <f t="shared" si="14"/>
        <v>100</v>
      </c>
      <c r="X39" s="1571"/>
      <c r="Y39" s="3407"/>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11"/>
      <c r="Q40" s="1576">
        <f t="shared" si="11"/>
        <v>111</v>
      </c>
      <c r="R40" s="1577" t="s">
        <v>8</v>
      </c>
      <c r="S40" s="1578">
        <f t="shared" si="12"/>
        <v>100</v>
      </c>
      <c r="T40" s="1577" t="s">
        <v>8</v>
      </c>
      <c r="U40" s="1578">
        <f t="shared" si="13"/>
        <v>100</v>
      </c>
      <c r="V40" s="1577" t="s">
        <v>8</v>
      </c>
      <c r="W40" s="1578">
        <f t="shared" si="14"/>
        <v>100</v>
      </c>
      <c r="X40" s="1571"/>
      <c r="Y40" s="3411"/>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68" t="str">
        <f>A41</f>
        <v>成交单价（元/平方米）</v>
      </c>
      <c r="Q41" s="3368"/>
      <c r="R41" s="3408">
        <f>E41</f>
        <v>0</v>
      </c>
      <c r="S41" s="3408"/>
      <c r="T41" s="3408">
        <f>G41</f>
        <v>0</v>
      </c>
      <c r="U41" s="3408"/>
      <c r="V41" s="3408">
        <f>I41</f>
        <v>0</v>
      </c>
      <c r="W41" s="3408"/>
      <c r="X41" s="1563"/>
      <c r="Y41" s="1585"/>
      <c r="Z41" s="1563"/>
      <c r="AA41" s="1563"/>
      <c r="AB41" s="1563"/>
      <c r="AC41" s="1563"/>
    </row>
    <row r="42" spans="1:29" ht="15.75" thickBot="1">
      <c r="A42" s="618" t="s">
        <v>2769</v>
      </c>
      <c r="B42" s="891"/>
      <c r="C42" s="2662" t="e">
        <f>R43</f>
        <v>#DIV/0!</v>
      </c>
      <c r="D42" s="2663"/>
      <c r="E42" s="2664" t="e">
        <f>R42</f>
        <v>#DIV/0!</v>
      </c>
      <c r="F42" s="2664"/>
      <c r="G42" s="2662" t="e">
        <f>T42</f>
        <v>#DIV/0!</v>
      </c>
      <c r="H42" s="2663"/>
      <c r="I42" s="2664" t="e">
        <f>V42</f>
        <v>#DIV/0!</v>
      </c>
      <c r="J42" s="2663"/>
      <c r="K42" s="1616"/>
      <c r="L42" s="2149"/>
      <c r="M42" s="2150"/>
      <c r="N42" s="2139"/>
      <c r="O42" s="2150"/>
      <c r="P42" s="3368" t="str">
        <f>A42</f>
        <v>比较价格（元/平方米）</v>
      </c>
      <c r="Q42" s="3368"/>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63"/>
      <c r="Y42" s="1563"/>
      <c r="Z42" s="1563"/>
      <c r="AA42" s="1563"/>
      <c r="AB42" s="1563"/>
      <c r="AC42" s="1563"/>
    </row>
    <row r="43" spans="1:29" ht="15.75" thickBot="1">
      <c r="A43" s="624" t="s">
        <v>2945</v>
      </c>
      <c r="B43" s="625"/>
      <c r="C43" s="2665" t="e">
        <f>R43</f>
        <v>#DIV/0!</v>
      </c>
      <c r="D43" s="2665"/>
      <c r="E43" s="2665"/>
      <c r="F43" s="2665"/>
      <c r="G43" s="2665"/>
      <c r="H43" s="2665"/>
      <c r="I43" s="2665"/>
      <c r="J43" s="2665"/>
      <c r="K43" s="1617"/>
      <c r="L43" s="2149"/>
      <c r="M43" s="2150"/>
      <c r="N43" s="2150"/>
      <c r="O43" s="2150"/>
      <c r="P43" s="3365" t="str">
        <f>A43</f>
        <v>估价对象XX用房的比较价格（楼面单价，元/平方米）</v>
      </c>
      <c r="Q43" s="3366"/>
      <c r="R43" s="3410" t="e">
        <f>IF(F1="售价",ROUND(AVERAGE(R42:V42),0),ROUND(AVERAGE(R42:V42),1))</f>
        <v>#DIV/0!</v>
      </c>
      <c r="S43" s="3410"/>
      <c r="T43" s="3410"/>
      <c r="U43" s="3410"/>
      <c r="V43" s="3410"/>
      <c r="W43" s="3410"/>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2017-10</v>
      </c>
      <c r="D52" s="2835">
        <f>EDATE(C52,-1)</f>
        <v>42979</v>
      </c>
      <c r="E52" s="2835">
        <f t="shared" ref="E52:O52" si="16">EDATE(D52,-1)</f>
        <v>42948</v>
      </c>
      <c r="F52" s="2835">
        <f t="shared" si="16"/>
        <v>42917</v>
      </c>
      <c r="G52" s="2835">
        <f t="shared" si="16"/>
        <v>42887</v>
      </c>
      <c r="H52" s="2835">
        <f t="shared" si="16"/>
        <v>42856</v>
      </c>
      <c r="I52" s="2835">
        <f t="shared" si="16"/>
        <v>42826</v>
      </c>
      <c r="J52" s="2835">
        <f t="shared" si="16"/>
        <v>42795</v>
      </c>
      <c r="K52" s="2835">
        <f t="shared" si="16"/>
        <v>42767</v>
      </c>
      <c r="L52" s="2835">
        <f t="shared" si="16"/>
        <v>42736</v>
      </c>
      <c r="M52" s="2835">
        <f t="shared" si="16"/>
        <v>42705</v>
      </c>
      <c r="N52" s="2835">
        <f t="shared" si="16"/>
        <v>42675</v>
      </c>
      <c r="O52" s="2835">
        <f t="shared" si="16"/>
        <v>42644</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4" t="s">
        <v>799</v>
      </c>
      <c r="D4" s="3375"/>
      <c r="E4" s="3374" t="s">
        <v>800</v>
      </c>
      <c r="F4" s="3375"/>
      <c r="G4" s="3374" t="s">
        <v>801</v>
      </c>
      <c r="H4" s="3375"/>
      <c r="I4" s="3374" t="s">
        <v>802</v>
      </c>
      <c r="J4" s="3375"/>
      <c r="K4" s="517" t="s">
        <v>803</v>
      </c>
      <c r="L4" s="2138"/>
      <c r="M4" s="2139"/>
      <c r="N4" s="2139"/>
      <c r="O4" s="2139"/>
      <c r="P4" s="3376" t="s">
        <v>804</v>
      </c>
      <c r="Q4" s="3377"/>
      <c r="R4" s="3382" t="s">
        <v>800</v>
      </c>
      <c r="S4" s="3383"/>
      <c r="T4" s="3382" t="s">
        <v>801</v>
      </c>
      <c r="U4" s="3383"/>
      <c r="V4" s="3369" t="s">
        <v>802</v>
      </c>
      <c r="W4" s="3369"/>
      <c r="X4" s="1571"/>
      <c r="Y4" s="3382" t="s">
        <v>804</v>
      </c>
      <c r="Z4" s="3383"/>
      <c r="AA4" s="3371" t="s">
        <v>800</v>
      </c>
      <c r="AB4" s="3372" t="s">
        <v>801</v>
      </c>
      <c r="AC4" s="3371" t="s">
        <v>802</v>
      </c>
    </row>
    <row r="5" spans="1:29" ht="15">
      <c r="A5" s="518"/>
      <c r="B5" s="519"/>
      <c r="C5" s="3392" t="s">
        <v>2939</v>
      </c>
      <c r="D5" s="3391"/>
      <c r="E5" s="3392" t="s">
        <v>2940</v>
      </c>
      <c r="F5" s="3391"/>
      <c r="G5" s="3392" t="s">
        <v>2941</v>
      </c>
      <c r="H5" s="3391"/>
      <c r="I5" s="3392" t="s">
        <v>2942</v>
      </c>
      <c r="J5" s="3391"/>
      <c r="K5" s="517"/>
      <c r="L5" s="2138"/>
      <c r="M5" s="2139"/>
      <c r="N5" s="2139"/>
      <c r="O5" s="2139"/>
      <c r="P5" s="3378"/>
      <c r="Q5" s="3379"/>
      <c r="R5" s="3384"/>
      <c r="S5" s="3385"/>
      <c r="T5" s="3384"/>
      <c r="U5" s="3385"/>
      <c r="V5" s="3369"/>
      <c r="W5" s="3369"/>
      <c r="X5" s="1571"/>
      <c r="Y5" s="3384"/>
      <c r="Z5" s="3385"/>
      <c r="AA5" s="3372"/>
      <c r="AB5" s="3372"/>
      <c r="AC5" s="3372"/>
    </row>
    <row r="6" spans="1:29" ht="15.75" thickBot="1">
      <c r="A6" s="520"/>
      <c r="B6" s="521"/>
      <c r="C6" s="3417" t="s">
        <v>2943</v>
      </c>
      <c r="D6" s="3389"/>
      <c r="E6" s="3393" t="s">
        <v>2943</v>
      </c>
      <c r="F6" s="3394"/>
      <c r="G6" s="3417" t="s">
        <v>2943</v>
      </c>
      <c r="H6" s="3389"/>
      <c r="I6" s="3417" t="s">
        <v>2943</v>
      </c>
      <c r="J6" s="3389"/>
      <c r="K6" s="517" t="s">
        <v>529</v>
      </c>
      <c r="L6" s="2138"/>
      <c r="M6" s="2139"/>
      <c r="N6" s="2139"/>
      <c r="O6" s="2139"/>
      <c r="P6" s="3380"/>
      <c r="Q6" s="3381"/>
      <c r="R6" s="3384"/>
      <c r="S6" s="3385"/>
      <c r="T6" s="3386"/>
      <c r="U6" s="3387"/>
      <c r="V6" s="3369"/>
      <c r="W6" s="3369"/>
      <c r="X6" s="1571"/>
      <c r="Y6" s="3386"/>
      <c r="Z6" s="3387"/>
      <c r="AA6" s="3373"/>
      <c r="AB6" s="3373"/>
      <c r="AC6" s="3373"/>
    </row>
    <row r="7" spans="1:29" s="1223" customFormat="1" ht="15.75" thickBot="1">
      <c r="A7" s="2943"/>
      <c r="B7" s="2950" t="s">
        <v>530</v>
      </c>
      <c r="C7" s="522">
        <f>'数据-取费表'!B2</f>
        <v>43020</v>
      </c>
      <c r="D7" s="523">
        <v>100</v>
      </c>
      <c r="E7" s="524"/>
      <c r="F7" s="525">
        <f>SUMIF(48:48,YEAR(E7)&amp;"-"&amp;MONTH(E7),49:49)</f>
        <v>0</v>
      </c>
      <c r="G7" s="526"/>
      <c r="H7" s="523">
        <f>SUMIF(48:48,YEAR(G7)&amp;"-"&amp;MONTH(G7),49:49)</f>
        <v>0</v>
      </c>
      <c r="I7" s="526"/>
      <c r="J7" s="523">
        <f>SUMIF(48:48,YEAR(I7)&amp;"-"&amp;MONTH(I7),49:49)</f>
        <v>0</v>
      </c>
      <c r="K7" s="527"/>
      <c r="L7" s="2140"/>
      <c r="M7" s="2141"/>
      <c r="N7" s="2141"/>
      <c r="O7" s="2141"/>
      <c r="P7" s="3401" t="s">
        <v>531</v>
      </c>
      <c r="Q7" s="3403"/>
      <c r="R7" s="1572" t="s">
        <v>8</v>
      </c>
      <c r="S7" s="1573">
        <f t="shared" ref="S7:S14" si="0">F7</f>
        <v>0</v>
      </c>
      <c r="T7" s="1572" t="s">
        <v>8</v>
      </c>
      <c r="U7" s="1573">
        <f t="shared" ref="U7:U14" si="1">H7</f>
        <v>0</v>
      </c>
      <c r="V7" s="1572" t="s">
        <v>8</v>
      </c>
      <c r="W7" s="1573">
        <f t="shared" ref="W7:W14" si="2">J7</f>
        <v>0</v>
      </c>
      <c r="X7" s="1574"/>
      <c r="Y7" s="3401" t="s">
        <v>531</v>
      </c>
      <c r="Z7" s="3402"/>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401" t="s">
        <v>534</v>
      </c>
      <c r="Q8" s="3402"/>
      <c r="R8" s="1572" t="s">
        <v>8</v>
      </c>
      <c r="S8" s="1573">
        <f t="shared" si="0"/>
        <v>0</v>
      </c>
      <c r="T8" s="1572" t="s">
        <v>8</v>
      </c>
      <c r="U8" s="1573">
        <f t="shared" si="1"/>
        <v>0</v>
      </c>
      <c r="V8" s="1572" t="s">
        <v>8</v>
      </c>
      <c r="W8" s="1573">
        <f t="shared" si="2"/>
        <v>0</v>
      </c>
      <c r="X8" s="1574"/>
      <c r="Y8" s="3401" t="s">
        <v>534</v>
      </c>
      <c r="Z8" s="3402"/>
      <c r="AA8" s="1575" t="e">
        <f t="shared" ref="AA8:AA36" si="3">D8/F8</f>
        <v>#DIV/0!</v>
      </c>
      <c r="AB8" s="1575" t="e">
        <f t="shared" ref="AB8:AB36" si="4">D8/H8</f>
        <v>#DIV/0!</v>
      </c>
      <c r="AC8" s="1575" t="e">
        <f t="shared" ref="AC8:AC36" si="5">D8/J8</f>
        <v>#DIV/0!</v>
      </c>
    </row>
    <row r="9" spans="1:29" s="1223" customFormat="1" ht="15">
      <c r="A9" s="2945"/>
      <c r="B9" s="2952" t="s">
        <v>2765</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68" t="s">
        <v>536</v>
      </c>
      <c r="Q9" s="1154" t="str">
        <f t="shared" ref="Q9:Q14" si="6">B9</f>
        <v>用途</v>
      </c>
      <c r="R9" s="1572" t="s">
        <v>8</v>
      </c>
      <c r="S9" s="1573">
        <f t="shared" si="0"/>
        <v>100</v>
      </c>
      <c r="T9" s="1572" t="s">
        <v>8</v>
      </c>
      <c r="U9" s="1573">
        <f t="shared" si="1"/>
        <v>100</v>
      </c>
      <c r="V9" s="1572" t="s">
        <v>8</v>
      </c>
      <c r="W9" s="1573">
        <f t="shared" si="2"/>
        <v>100</v>
      </c>
      <c r="X9" s="1574"/>
      <c r="Y9" s="331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68"/>
      <c r="Q11" s="1154">
        <f t="shared" si="6"/>
        <v>111</v>
      </c>
      <c r="R11" s="1572" t="s">
        <v>8</v>
      </c>
      <c r="S11" s="1573">
        <f t="shared" si="0"/>
        <v>100</v>
      </c>
      <c r="T11" s="1572" t="s">
        <v>8</v>
      </c>
      <c r="U11" s="1573">
        <f t="shared" si="1"/>
        <v>100</v>
      </c>
      <c r="V11" s="1572" t="s">
        <v>8</v>
      </c>
      <c r="W11" s="1573">
        <f t="shared" si="2"/>
        <v>100</v>
      </c>
      <c r="X11" s="1574"/>
      <c r="Y11" s="3310"/>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68"/>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68"/>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85.5">
      <c r="A14" s="2941"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404" t="s">
        <v>541</v>
      </c>
      <c r="Q14" s="1576" t="str">
        <f t="shared" si="6"/>
        <v>交通便捷度</v>
      </c>
      <c r="R14" s="1577" t="s">
        <v>8</v>
      </c>
      <c r="S14" s="1578">
        <f t="shared" si="0"/>
        <v>100</v>
      </c>
      <c r="T14" s="1577" t="s">
        <v>8</v>
      </c>
      <c r="U14" s="1578">
        <f t="shared" si="1"/>
        <v>100</v>
      </c>
      <c r="V14" s="1577" t="s">
        <v>8</v>
      </c>
      <c r="W14" s="1578">
        <f t="shared" si="2"/>
        <v>100</v>
      </c>
      <c r="X14" s="1571"/>
      <c r="Y14" s="3404"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405"/>
      <c r="Q15" s="1576"/>
      <c r="R15" s="1577"/>
      <c r="S15" s="1578"/>
      <c r="T15" s="1577"/>
      <c r="U15" s="1578"/>
      <c r="V15" s="1577"/>
      <c r="W15" s="1578"/>
      <c r="X15" s="1571"/>
      <c r="Y15" s="3405"/>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405"/>
      <c r="Q16" s="1576" t="str">
        <f>B16</f>
        <v>公共配套设施</v>
      </c>
      <c r="R16" s="1577" t="s">
        <v>8</v>
      </c>
      <c r="S16" s="1578">
        <f>F16</f>
        <v>100</v>
      </c>
      <c r="T16" s="1577" t="s">
        <v>8</v>
      </c>
      <c r="U16" s="1578">
        <f>H16</f>
        <v>100</v>
      </c>
      <c r="V16" s="1577" t="s">
        <v>8</v>
      </c>
      <c r="W16" s="1578">
        <f>J16</f>
        <v>100</v>
      </c>
      <c r="X16" s="1571"/>
      <c r="Y16" s="3405"/>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405"/>
      <c r="Q17" s="1576"/>
      <c r="R17" s="1577"/>
      <c r="S17" s="1578"/>
      <c r="T17" s="1577"/>
      <c r="U17" s="1578"/>
      <c r="V17" s="1577"/>
      <c r="W17" s="1578"/>
      <c r="X17" s="1571"/>
      <c r="Y17" s="3405"/>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405"/>
      <c r="Q18" s="2608" t="str">
        <f>B18</f>
        <v>基础设施水平</v>
      </c>
      <c r="R18" s="1577" t="s">
        <v>8</v>
      </c>
      <c r="S18" s="1578">
        <f>F18</f>
        <v>100</v>
      </c>
      <c r="T18" s="1577" t="s">
        <v>8</v>
      </c>
      <c r="U18" s="1578">
        <f>H18</f>
        <v>100</v>
      </c>
      <c r="V18" s="1577" t="s">
        <v>8</v>
      </c>
      <c r="W18" s="1578">
        <f>J18</f>
        <v>100</v>
      </c>
      <c r="X18" s="2610"/>
      <c r="Y18" s="3405"/>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405"/>
      <c r="Q19" s="2608"/>
      <c r="R19" s="1577"/>
      <c r="S19" s="1578"/>
      <c r="T19" s="1577"/>
      <c r="U19" s="1578"/>
      <c r="V19" s="1577"/>
      <c r="W19" s="1578"/>
      <c r="X19" s="2610"/>
      <c r="Y19" s="3405"/>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405"/>
      <c r="Q20" s="1576" t="str">
        <f>B20</f>
        <v>自然及人文环境</v>
      </c>
      <c r="R20" s="1577" t="s">
        <v>8</v>
      </c>
      <c r="S20" s="1578">
        <f>F20</f>
        <v>100</v>
      </c>
      <c r="T20" s="1577" t="s">
        <v>8</v>
      </c>
      <c r="U20" s="1578">
        <f>H20</f>
        <v>100</v>
      </c>
      <c r="V20" s="1577" t="s">
        <v>8</v>
      </c>
      <c r="W20" s="1578">
        <f>J20</f>
        <v>100</v>
      </c>
      <c r="X20" s="1571"/>
      <c r="Y20" s="3405"/>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405"/>
      <c r="Q21" s="1576"/>
      <c r="R21" s="1577"/>
      <c r="S21" s="1578"/>
      <c r="T21" s="1577"/>
      <c r="U21" s="1578"/>
      <c r="V21" s="1577"/>
      <c r="W21" s="1578"/>
      <c r="X21" s="1571"/>
      <c r="Y21" s="3405"/>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405"/>
      <c r="Q22" s="1576" t="str">
        <f>B22</f>
        <v>楼层</v>
      </c>
      <c r="R22" s="1577" t="s">
        <v>8</v>
      </c>
      <c r="S22" s="1578">
        <f>F22</f>
        <v>100</v>
      </c>
      <c r="T22" s="1577" t="s">
        <v>8</v>
      </c>
      <c r="U22" s="1578">
        <f>H22</f>
        <v>100</v>
      </c>
      <c r="V22" s="1577" t="s">
        <v>8</v>
      </c>
      <c r="W22" s="1578">
        <f>J22</f>
        <v>100</v>
      </c>
      <c r="X22" s="1571"/>
      <c r="Y22" s="3405"/>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405"/>
      <c r="Q23" s="1576">
        <f>B23</f>
        <v>111</v>
      </c>
      <c r="R23" s="1577" t="s">
        <v>8</v>
      </c>
      <c r="S23" s="1578">
        <f>F23</f>
        <v>100</v>
      </c>
      <c r="T23" s="1577" t="s">
        <v>8</v>
      </c>
      <c r="U23" s="1578">
        <f>H23</f>
        <v>100</v>
      </c>
      <c r="V23" s="1577" t="s">
        <v>8</v>
      </c>
      <c r="W23" s="1578">
        <f>J23</f>
        <v>100</v>
      </c>
      <c r="X23" s="1571"/>
      <c r="Y23" s="3405"/>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405"/>
      <c r="Q24" s="1576">
        <f t="shared" ref="Q24:Q36" si="11">B24</f>
        <v>111</v>
      </c>
      <c r="R24" s="1577" t="s">
        <v>8</v>
      </c>
      <c r="S24" s="1578">
        <f>F24</f>
        <v>100</v>
      </c>
      <c r="T24" s="1577" t="s">
        <v>8</v>
      </c>
      <c r="U24" s="1578">
        <f>H24</f>
        <v>100</v>
      </c>
      <c r="V24" s="1577" t="s">
        <v>8</v>
      </c>
      <c r="W24" s="1578">
        <f>J24</f>
        <v>100</v>
      </c>
      <c r="X24" s="1571"/>
      <c r="Y24" s="3405"/>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405"/>
      <c r="Q25" s="1154">
        <f t="shared" si="11"/>
        <v>111</v>
      </c>
      <c r="R25" s="1572" t="s">
        <v>8</v>
      </c>
      <c r="S25" s="1573">
        <f>F25</f>
        <v>100</v>
      </c>
      <c r="T25" s="1572" t="s">
        <v>8</v>
      </c>
      <c r="U25" s="1573">
        <f>H25</f>
        <v>100</v>
      </c>
      <c r="V25" s="1572" t="s">
        <v>8</v>
      </c>
      <c r="W25" s="1573">
        <f>J25</f>
        <v>100</v>
      </c>
      <c r="X25" s="1574"/>
      <c r="Y25" s="3405"/>
      <c r="Z25" s="1153">
        <f>Q25</f>
        <v>111</v>
      </c>
      <c r="AA25" s="1580">
        <f>D25/F25</f>
        <v>1</v>
      </c>
      <c r="AB25" s="1580">
        <f>D25/H25</f>
        <v>1</v>
      </c>
      <c r="AC25" s="1580">
        <f>D25/J25</f>
        <v>1</v>
      </c>
    </row>
    <row r="26" spans="1:29" ht="15">
      <c r="A26" s="2938"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406"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07"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407"/>
      <c r="Q27" s="1609" t="str">
        <f t="shared" si="11"/>
        <v>项目停车位配比</v>
      </c>
      <c r="R27" s="1581" t="s">
        <v>8</v>
      </c>
      <c r="S27" s="1582">
        <f t="shared" si="12"/>
        <v>100</v>
      </c>
      <c r="T27" s="1581" t="s">
        <v>8</v>
      </c>
      <c r="U27" s="1582">
        <f t="shared" si="13"/>
        <v>100</v>
      </c>
      <c r="V27" s="1581" t="s">
        <v>8</v>
      </c>
      <c r="W27" s="1582">
        <f t="shared" si="14"/>
        <v>100</v>
      </c>
      <c r="X27" s="1583"/>
      <c r="Y27" s="3407"/>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407"/>
      <c r="Q28" s="1576" t="str">
        <f t="shared" si="11"/>
        <v>公共部分装修</v>
      </c>
      <c r="R28" s="1577" t="s">
        <v>8</v>
      </c>
      <c r="S28" s="1578">
        <f t="shared" si="12"/>
        <v>100</v>
      </c>
      <c r="T28" s="1577" t="s">
        <v>8</v>
      </c>
      <c r="U28" s="1578">
        <f t="shared" si="13"/>
        <v>100</v>
      </c>
      <c r="V28" s="1577" t="s">
        <v>8</v>
      </c>
      <c r="W28" s="1578">
        <f t="shared" si="14"/>
        <v>100</v>
      </c>
      <c r="X28" s="1571"/>
      <c r="Y28" s="3407"/>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407"/>
      <c r="Q29" s="1576" t="str">
        <f t="shared" si="11"/>
        <v>成新率</v>
      </c>
      <c r="R29" s="1577" t="s">
        <v>8</v>
      </c>
      <c r="S29" s="1578" t="e">
        <f t="shared" si="12"/>
        <v>#N/A</v>
      </c>
      <c r="T29" s="1577" t="s">
        <v>8</v>
      </c>
      <c r="U29" s="1578" t="e">
        <f t="shared" si="13"/>
        <v>#N/A</v>
      </c>
      <c r="V29" s="1577" t="s">
        <v>8</v>
      </c>
      <c r="W29" s="1578" t="e">
        <f t="shared" si="14"/>
        <v>#N/A</v>
      </c>
      <c r="X29" s="1571"/>
      <c r="Y29" s="3407"/>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407"/>
      <c r="Q30" s="1576" t="str">
        <f t="shared" si="11"/>
        <v>物业等级</v>
      </c>
      <c r="R30" s="1577" t="s">
        <v>8</v>
      </c>
      <c r="S30" s="1578">
        <f t="shared" si="12"/>
        <v>100</v>
      </c>
      <c r="T30" s="1577" t="s">
        <v>8</v>
      </c>
      <c r="U30" s="1578">
        <f t="shared" si="13"/>
        <v>100</v>
      </c>
      <c r="V30" s="1577" t="s">
        <v>8</v>
      </c>
      <c r="W30" s="1578">
        <f t="shared" si="14"/>
        <v>100</v>
      </c>
      <c r="X30" s="1571"/>
      <c r="Y30" s="3407"/>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407"/>
      <c r="Q31" s="1154" t="str">
        <f t="shared" si="11"/>
        <v>停车位面积</v>
      </c>
      <c r="R31" s="1572" t="s">
        <v>8</v>
      </c>
      <c r="S31" s="1573" t="e">
        <f t="shared" si="12"/>
        <v>#N/A</v>
      </c>
      <c r="T31" s="1572" t="s">
        <v>8</v>
      </c>
      <c r="U31" s="1573" t="e">
        <f t="shared" si="13"/>
        <v>#N/A</v>
      </c>
      <c r="V31" s="1572" t="s">
        <v>8</v>
      </c>
      <c r="W31" s="1573" t="e">
        <f t="shared" si="14"/>
        <v>#N/A</v>
      </c>
      <c r="X31" s="1574"/>
      <c r="Y31" s="3407"/>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407" t="s">
        <v>551</v>
      </c>
      <c r="Q32" s="1576" t="str">
        <f t="shared" si="11"/>
        <v>车位类型</v>
      </c>
      <c r="R32" s="1577" t="s">
        <v>8</v>
      </c>
      <c r="S32" s="1578">
        <f t="shared" si="12"/>
        <v>100</v>
      </c>
      <c r="T32" s="1577" t="s">
        <v>8</v>
      </c>
      <c r="U32" s="1578">
        <f t="shared" si="13"/>
        <v>100</v>
      </c>
      <c r="V32" s="1577" t="s">
        <v>8</v>
      </c>
      <c r="W32" s="1578">
        <f t="shared" si="14"/>
        <v>100</v>
      </c>
      <c r="X32" s="1571"/>
      <c r="Y32" s="3407"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407"/>
      <c r="Q33" s="1576" t="str">
        <f t="shared" si="11"/>
        <v>是否直接入户</v>
      </c>
      <c r="R33" s="1577" t="s">
        <v>8</v>
      </c>
      <c r="S33" s="1578">
        <f t="shared" si="12"/>
        <v>100</v>
      </c>
      <c r="T33" s="1577" t="s">
        <v>8</v>
      </c>
      <c r="U33" s="1578">
        <f t="shared" si="13"/>
        <v>100</v>
      </c>
      <c r="V33" s="1577" t="s">
        <v>8</v>
      </c>
      <c r="W33" s="1578">
        <f t="shared" si="14"/>
        <v>100</v>
      </c>
      <c r="X33" s="1571"/>
      <c r="Y33" s="3407"/>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407"/>
      <c r="Q34" s="1576">
        <f t="shared" si="11"/>
        <v>111</v>
      </c>
      <c r="R34" s="1577" t="s">
        <v>8</v>
      </c>
      <c r="S34" s="1578">
        <f t="shared" si="12"/>
        <v>100</v>
      </c>
      <c r="T34" s="1577" t="s">
        <v>8</v>
      </c>
      <c r="U34" s="1578">
        <f t="shared" si="13"/>
        <v>100</v>
      </c>
      <c r="V34" s="1577" t="s">
        <v>8</v>
      </c>
      <c r="W34" s="1578">
        <f t="shared" si="14"/>
        <v>100</v>
      </c>
      <c r="X34" s="1571"/>
      <c r="Y34" s="3407"/>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407"/>
      <c r="Q35" s="1609">
        <f t="shared" si="11"/>
        <v>111</v>
      </c>
      <c r="R35" s="1581" t="s">
        <v>8</v>
      </c>
      <c r="S35" s="1582">
        <f t="shared" si="12"/>
        <v>100</v>
      </c>
      <c r="T35" s="1581" t="s">
        <v>8</v>
      </c>
      <c r="U35" s="1582">
        <f t="shared" si="13"/>
        <v>100</v>
      </c>
      <c r="V35" s="1581" t="s">
        <v>8</v>
      </c>
      <c r="W35" s="1582">
        <f t="shared" si="14"/>
        <v>100</v>
      </c>
      <c r="X35" s="1583"/>
      <c r="Y35" s="3407"/>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407"/>
      <c r="Q36" s="1576">
        <f t="shared" si="11"/>
        <v>111</v>
      </c>
      <c r="R36" s="1577" t="s">
        <v>8</v>
      </c>
      <c r="S36" s="1578">
        <f t="shared" si="12"/>
        <v>100</v>
      </c>
      <c r="T36" s="1577" t="s">
        <v>8</v>
      </c>
      <c r="U36" s="1578">
        <f t="shared" si="13"/>
        <v>100</v>
      </c>
      <c r="V36" s="1577" t="s">
        <v>8</v>
      </c>
      <c r="W36" s="1578">
        <f t="shared" si="14"/>
        <v>100</v>
      </c>
      <c r="X36" s="1571"/>
      <c r="Y36" s="3407"/>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68" t="str">
        <f>A37</f>
        <v>成交单价</v>
      </c>
      <c r="Q37" s="3368"/>
      <c r="R37" s="3408">
        <f>E37</f>
        <v>0</v>
      </c>
      <c r="S37" s="3408"/>
      <c r="T37" s="3408">
        <f>G37</f>
        <v>0</v>
      </c>
      <c r="U37" s="3408"/>
      <c r="V37" s="3408">
        <f>I37</f>
        <v>0</v>
      </c>
      <c r="W37" s="3408"/>
      <c r="X37" s="1563"/>
      <c r="Y37" s="1585"/>
      <c r="Z37" s="1563"/>
      <c r="AA37" s="1563"/>
      <c r="AB37" s="1563"/>
      <c r="AC37" s="1563"/>
    </row>
    <row r="38" spans="1:29" ht="15.75" thickBot="1">
      <c r="A38" s="618" t="s">
        <v>2769</v>
      </c>
      <c r="B38" s="891"/>
      <c r="C38" s="2662" t="e">
        <f>R39</f>
        <v>#DIV/0!</v>
      </c>
      <c r="D38" s="2663"/>
      <c r="E38" s="2664" t="e">
        <f>R38</f>
        <v>#DIV/0!</v>
      </c>
      <c r="F38" s="2664"/>
      <c r="G38" s="2662" t="e">
        <f>T38</f>
        <v>#DIV/0!</v>
      </c>
      <c r="H38" s="2663"/>
      <c r="I38" s="2664" t="e">
        <f>V38</f>
        <v>#DIV/0!</v>
      </c>
      <c r="J38" s="2663"/>
      <c r="K38" s="1616"/>
      <c r="L38" s="2149"/>
      <c r="M38" s="2150"/>
      <c r="N38" s="2150"/>
      <c r="O38" s="2150"/>
      <c r="P38" s="3368" t="str">
        <f>A38</f>
        <v>比较价格（元/平方米）</v>
      </c>
      <c r="Q38" s="3368"/>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63"/>
      <c r="Y38" s="1563"/>
      <c r="Z38" s="1563"/>
      <c r="AA38" s="1563"/>
      <c r="AB38" s="1563"/>
      <c r="AC38" s="1563"/>
    </row>
    <row r="39" spans="1:29" ht="15.75" thickBot="1">
      <c r="A39" s="624" t="s">
        <v>2945</v>
      </c>
      <c r="B39" s="625"/>
      <c r="C39" s="2665" t="e">
        <f>R39</f>
        <v>#DIV/0!</v>
      </c>
      <c r="D39" s="2665"/>
      <c r="E39" s="2665"/>
      <c r="F39" s="2665"/>
      <c r="G39" s="2665"/>
      <c r="H39" s="2665"/>
      <c r="I39" s="2665"/>
      <c r="J39" s="2665"/>
      <c r="K39" s="1617"/>
      <c r="L39" s="2149"/>
      <c r="M39" s="2150"/>
      <c r="N39" s="2150"/>
      <c r="O39" s="2150"/>
      <c r="P39" s="3365" t="str">
        <f>A39</f>
        <v>估价对象XX用房的比较价格（楼面单价，元/平方米）</v>
      </c>
      <c r="Q39" s="3366"/>
      <c r="R39" s="3410" t="e">
        <f>IF(F1="售价",ROUND(AVERAGE(R38:V38),0),ROUND(AVERAGE(R38:V38),1))</f>
        <v>#DIV/0!</v>
      </c>
      <c r="S39" s="3410"/>
      <c r="T39" s="3410"/>
      <c r="U39" s="3410"/>
      <c r="V39" s="3410"/>
      <c r="W39" s="3410"/>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2017-10</v>
      </c>
      <c r="D48" s="2835">
        <f>EDATE(C48,-1)</f>
        <v>42979</v>
      </c>
      <c r="E48" s="2835">
        <f t="shared" ref="E48:O48" si="16">EDATE(D48,-1)</f>
        <v>42948</v>
      </c>
      <c r="F48" s="2835">
        <f t="shared" si="16"/>
        <v>42917</v>
      </c>
      <c r="G48" s="2835">
        <f t="shared" si="16"/>
        <v>42887</v>
      </c>
      <c r="H48" s="2835">
        <f t="shared" si="16"/>
        <v>42856</v>
      </c>
      <c r="I48" s="2835">
        <f t="shared" si="16"/>
        <v>42826</v>
      </c>
      <c r="J48" s="2835">
        <f t="shared" si="16"/>
        <v>42795</v>
      </c>
      <c r="K48" s="2835">
        <f t="shared" si="16"/>
        <v>42767</v>
      </c>
      <c r="L48" s="2835">
        <f t="shared" si="16"/>
        <v>42736</v>
      </c>
      <c r="M48" s="2835">
        <f t="shared" si="16"/>
        <v>42705</v>
      </c>
      <c r="N48" s="2835">
        <f t="shared" si="16"/>
        <v>42675</v>
      </c>
      <c r="O48" s="2835">
        <f t="shared" si="16"/>
        <v>42644</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受贵公司委托，我公司对陕西省西安市西安浐灞生态区金茂四路以东、金桥二路以北出让国有建设用地使用权进行了预评估。</v>
      </c>
    </row>
    <row r="5" spans="1:4" ht="18.75">
      <c r="A5" s="1799" t="s">
        <v>1907</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西安市西安浐灞生态区金茂四路以东、金桥二路以北出让国有建设用地使用权。根据《国有土地使用证》[]，估价对象（分摊）出让国有建设用地使用权面积为33220.35平方米。根据《建设工程规划许可证》[]、《出让合同》[]，估价对象规划建筑面积为166445.45平方米。</v>
      </c>
    </row>
    <row r="7" spans="1:4" ht="93.75">
      <c r="A7" s="2904" t="s">
        <v>2757</v>
      </c>
    </row>
    <row r="8" spans="1:4" ht="18.75">
      <c r="A8" s="1799" t="s">
        <v>1908</v>
      </c>
    </row>
    <row r="9" spans="1:4" ht="75">
      <c r="A9" s="1801" t="str">
        <f>IF(项目基本情况!B8="抵押",IF(项目基本情况!B5=项目基本情况!B6,定义!C51,定义!B51),定义!D51)</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2017年10月12日（评估专业人员勘察现场之日）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根据《国有土地使用证》[]，估价对象（分摊）出让国有建设用地使用权面积为33220.35平方米。根据《建设工程规划许可证》[]、《出让合同》[]，估价对象规划建筑面积为166445.45平方米。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6" t="s">
        <v>2758</v>
      </c>
    </row>
    <row r="24" spans="1:1" ht="18.75">
      <c r="A24" s="1796" t="s">
        <v>2079</v>
      </c>
    </row>
    <row r="25" spans="1:1" ht="93.75">
      <c r="A25" s="1796" t="str">
        <f>定义!C53</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4" t="s">
        <v>799</v>
      </c>
      <c r="D4" s="3375"/>
      <c r="E4" s="3412" t="s">
        <v>800</v>
      </c>
      <c r="F4" s="3413"/>
      <c r="G4" s="3374" t="s">
        <v>801</v>
      </c>
      <c r="H4" s="3375"/>
      <c r="I4" s="3374" t="s">
        <v>802</v>
      </c>
      <c r="J4" s="3375"/>
      <c r="K4" s="517" t="s">
        <v>803</v>
      </c>
      <c r="L4" s="2138"/>
      <c r="M4" s="2139"/>
      <c r="N4" s="2139"/>
      <c r="O4" s="2139"/>
      <c r="P4" s="3376" t="s">
        <v>804</v>
      </c>
      <c r="Q4" s="3377"/>
      <c r="R4" s="3382" t="s">
        <v>800</v>
      </c>
      <c r="S4" s="3383"/>
      <c r="T4" s="3382" t="s">
        <v>801</v>
      </c>
      <c r="U4" s="3383"/>
      <c r="V4" s="3369" t="s">
        <v>802</v>
      </c>
      <c r="W4" s="3369"/>
      <c r="X4" s="1571"/>
      <c r="Y4" s="3382" t="s">
        <v>804</v>
      </c>
      <c r="Z4" s="3383"/>
      <c r="AA4" s="3371" t="s">
        <v>800</v>
      </c>
      <c r="AB4" s="3372" t="s">
        <v>801</v>
      </c>
      <c r="AC4" s="3371" t="s">
        <v>802</v>
      </c>
    </row>
    <row r="5" spans="1:29" ht="15">
      <c r="A5" s="518"/>
      <c r="B5" s="519"/>
      <c r="C5" s="3392" t="s">
        <v>2939</v>
      </c>
      <c r="D5" s="3391"/>
      <c r="E5" s="3429" t="s">
        <v>2940</v>
      </c>
      <c r="F5" s="3421"/>
      <c r="G5" s="3392" t="s">
        <v>2941</v>
      </c>
      <c r="H5" s="3391"/>
      <c r="I5" s="3392" t="s">
        <v>2942</v>
      </c>
      <c r="J5" s="3391"/>
      <c r="K5" s="517"/>
      <c r="L5" s="2138"/>
      <c r="M5" s="2139"/>
      <c r="N5" s="2139"/>
      <c r="O5" s="2139"/>
      <c r="P5" s="3378"/>
      <c r="Q5" s="3379"/>
      <c r="R5" s="3384"/>
      <c r="S5" s="3385"/>
      <c r="T5" s="3384"/>
      <c r="U5" s="3385"/>
      <c r="V5" s="3369"/>
      <c r="W5" s="3369"/>
      <c r="X5" s="1571"/>
      <c r="Y5" s="3384"/>
      <c r="Z5" s="3385"/>
      <c r="AA5" s="3372"/>
      <c r="AB5" s="3372"/>
      <c r="AC5" s="3372"/>
    </row>
    <row r="6" spans="1:29" ht="15.75" thickBot="1">
      <c r="A6" s="520"/>
      <c r="B6" s="521"/>
      <c r="C6" s="3417" t="s">
        <v>2943</v>
      </c>
      <c r="D6" s="3389"/>
      <c r="E6" s="3428" t="s">
        <v>2943</v>
      </c>
      <c r="F6" s="3419"/>
      <c r="G6" s="3417" t="s">
        <v>2943</v>
      </c>
      <c r="H6" s="3389"/>
      <c r="I6" s="3417" t="s">
        <v>2943</v>
      </c>
      <c r="J6" s="3389"/>
      <c r="K6" s="517" t="s">
        <v>529</v>
      </c>
      <c r="L6" s="2138"/>
      <c r="M6" s="2139"/>
      <c r="N6" s="2139"/>
      <c r="O6" s="2139"/>
      <c r="P6" s="3380"/>
      <c r="Q6" s="3381"/>
      <c r="R6" s="3384"/>
      <c r="S6" s="3385"/>
      <c r="T6" s="3386"/>
      <c r="U6" s="3387"/>
      <c r="V6" s="3369"/>
      <c r="W6" s="3369"/>
      <c r="X6" s="1571"/>
      <c r="Y6" s="3386"/>
      <c r="Z6" s="3387"/>
      <c r="AA6" s="3373"/>
      <c r="AB6" s="3373"/>
      <c r="AC6" s="3373"/>
    </row>
    <row r="7" spans="1:29" s="1223" customFormat="1" ht="15.75" thickBot="1">
      <c r="A7" s="2943"/>
      <c r="B7" s="2950" t="s">
        <v>530</v>
      </c>
      <c r="C7" s="522">
        <f>'数据-取费表'!B2</f>
        <v>43020</v>
      </c>
      <c r="D7" s="523">
        <v>100</v>
      </c>
      <c r="E7" s="524"/>
      <c r="F7" s="525">
        <f>SUMIF(46:46,YEAR(E7)&amp;"-"&amp;MONTH(E7),47:47)</f>
        <v>0</v>
      </c>
      <c r="G7" s="526"/>
      <c r="H7" s="523">
        <f>SUMIF(46:46,YEAR(G7)&amp;"-"&amp;MONTH(G7),47:47)</f>
        <v>0</v>
      </c>
      <c r="I7" s="526"/>
      <c r="J7" s="523">
        <f>SUMIF(46:46,YEAR(I7)&amp;"-"&amp;MONTH(I7),47:47)</f>
        <v>0</v>
      </c>
      <c r="K7" s="527"/>
      <c r="L7" s="2140"/>
      <c r="M7" s="2141"/>
      <c r="N7" s="2141"/>
      <c r="O7" s="2141"/>
      <c r="P7" s="3401" t="s">
        <v>531</v>
      </c>
      <c r="Q7" s="3403"/>
      <c r="R7" s="1572" t="s">
        <v>8</v>
      </c>
      <c r="S7" s="1573">
        <f t="shared" ref="S7:S14" si="0">F7</f>
        <v>0</v>
      </c>
      <c r="T7" s="1572" t="s">
        <v>8</v>
      </c>
      <c r="U7" s="1573">
        <f t="shared" ref="U7:U14" si="1">H7</f>
        <v>0</v>
      </c>
      <c r="V7" s="1572" t="s">
        <v>8</v>
      </c>
      <c r="W7" s="1573">
        <f t="shared" ref="W7:W14" si="2">J7</f>
        <v>0</v>
      </c>
      <c r="X7" s="1574"/>
      <c r="Y7" s="3401" t="s">
        <v>531</v>
      </c>
      <c r="Z7" s="3402"/>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401" t="s">
        <v>534</v>
      </c>
      <c r="Q8" s="3402"/>
      <c r="R8" s="1572" t="s">
        <v>8</v>
      </c>
      <c r="S8" s="1573">
        <f t="shared" si="0"/>
        <v>0</v>
      </c>
      <c r="T8" s="1572" t="s">
        <v>8</v>
      </c>
      <c r="U8" s="1573">
        <f t="shared" si="1"/>
        <v>0</v>
      </c>
      <c r="V8" s="1572" t="s">
        <v>8</v>
      </c>
      <c r="W8" s="1573">
        <f t="shared" si="2"/>
        <v>0</v>
      </c>
      <c r="X8" s="1574"/>
      <c r="Y8" s="3401" t="s">
        <v>534</v>
      </c>
      <c r="Z8" s="3402"/>
      <c r="AA8" s="1575" t="e">
        <f t="shared" ref="AA8:AA34" si="3">D8/F8</f>
        <v>#DIV/0!</v>
      </c>
      <c r="AB8" s="1575" t="e">
        <f t="shared" ref="AB8:AB34" si="4">D8/H8</f>
        <v>#DIV/0!</v>
      </c>
      <c r="AC8" s="1575" t="e">
        <f t="shared" ref="AC8:AC34" si="5">D8/J8</f>
        <v>#DIV/0!</v>
      </c>
    </row>
    <row r="9" spans="1:29" s="1223" customFormat="1" ht="15">
      <c r="A9" s="2945"/>
      <c r="B9" s="2952" t="s">
        <v>2765</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68" t="s">
        <v>536</v>
      </c>
      <c r="Q9" s="1154" t="str">
        <f t="shared" ref="Q9:Q14" si="6">B9</f>
        <v>用途</v>
      </c>
      <c r="R9" s="1572" t="s">
        <v>8</v>
      </c>
      <c r="S9" s="1573">
        <f t="shared" si="0"/>
        <v>100</v>
      </c>
      <c r="T9" s="1572" t="s">
        <v>8</v>
      </c>
      <c r="U9" s="1573">
        <f t="shared" si="1"/>
        <v>100</v>
      </c>
      <c r="V9" s="1572" t="s">
        <v>8</v>
      </c>
      <c r="W9" s="1573">
        <f t="shared" si="2"/>
        <v>100</v>
      </c>
      <c r="X9" s="1574"/>
      <c r="Y9" s="331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68"/>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68"/>
      <c r="Q11" s="1154">
        <f t="shared" si="6"/>
        <v>111</v>
      </c>
      <c r="R11" s="1572" t="s">
        <v>8</v>
      </c>
      <c r="S11" s="1573">
        <f t="shared" si="0"/>
        <v>100</v>
      </c>
      <c r="T11" s="1572" t="s">
        <v>8</v>
      </c>
      <c r="U11" s="1573">
        <f t="shared" si="1"/>
        <v>100</v>
      </c>
      <c r="V11" s="1572" t="s">
        <v>8</v>
      </c>
      <c r="W11" s="1573">
        <f t="shared" si="2"/>
        <v>100</v>
      </c>
      <c r="X11" s="1574"/>
      <c r="Y11" s="3310"/>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68"/>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68"/>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85.5">
      <c r="A14" s="2941"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404" t="s">
        <v>541</v>
      </c>
      <c r="Q14" s="1576" t="str">
        <f t="shared" si="6"/>
        <v>交通便捷度</v>
      </c>
      <c r="R14" s="1577" t="s">
        <v>8</v>
      </c>
      <c r="S14" s="1578">
        <f t="shared" si="0"/>
        <v>100</v>
      </c>
      <c r="T14" s="1577" t="s">
        <v>8</v>
      </c>
      <c r="U14" s="1578">
        <f t="shared" si="1"/>
        <v>100</v>
      </c>
      <c r="V14" s="1577" t="s">
        <v>8</v>
      </c>
      <c r="W14" s="1578">
        <f t="shared" si="2"/>
        <v>100</v>
      </c>
      <c r="X14" s="1571"/>
      <c r="Y14" s="3404"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405"/>
      <c r="Q15" s="1576"/>
      <c r="R15" s="1577"/>
      <c r="S15" s="1578"/>
      <c r="T15" s="1577"/>
      <c r="U15" s="1578"/>
      <c r="V15" s="1577"/>
      <c r="W15" s="1578"/>
      <c r="X15" s="1571"/>
      <c r="Y15" s="3405"/>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405"/>
      <c r="Q16" s="1576" t="str">
        <f>B16</f>
        <v>公共配套设施</v>
      </c>
      <c r="R16" s="1577" t="s">
        <v>8</v>
      </c>
      <c r="S16" s="1578">
        <f>F16</f>
        <v>100</v>
      </c>
      <c r="T16" s="1577" t="s">
        <v>8</v>
      </c>
      <c r="U16" s="1578">
        <f>H16</f>
        <v>100</v>
      </c>
      <c r="V16" s="1577" t="s">
        <v>8</v>
      </c>
      <c r="W16" s="1578">
        <f>J16</f>
        <v>100</v>
      </c>
      <c r="X16" s="1571"/>
      <c r="Y16" s="3405"/>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405"/>
      <c r="Q17" s="1576"/>
      <c r="R17" s="1577"/>
      <c r="S17" s="1578"/>
      <c r="T17" s="1577"/>
      <c r="U17" s="1578"/>
      <c r="V17" s="1577"/>
      <c r="W17" s="1578"/>
      <c r="X17" s="1571"/>
      <c r="Y17" s="3405"/>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405"/>
      <c r="Q18" s="2608" t="str">
        <f>B18</f>
        <v>基础设施水平</v>
      </c>
      <c r="R18" s="1577" t="s">
        <v>8</v>
      </c>
      <c r="S18" s="1578">
        <f>F18</f>
        <v>100</v>
      </c>
      <c r="T18" s="1577" t="s">
        <v>8</v>
      </c>
      <c r="U18" s="1578">
        <f>H18</f>
        <v>100</v>
      </c>
      <c r="V18" s="1577" t="s">
        <v>8</v>
      </c>
      <c r="W18" s="1578">
        <f>J18</f>
        <v>100</v>
      </c>
      <c r="X18" s="2610"/>
      <c r="Y18" s="3405"/>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405"/>
      <c r="Q19" s="2608"/>
      <c r="R19" s="1577"/>
      <c r="S19" s="1578"/>
      <c r="T19" s="1577"/>
      <c r="U19" s="1578"/>
      <c r="V19" s="1577"/>
      <c r="W19" s="1578"/>
      <c r="X19" s="2610"/>
      <c r="Y19" s="3405"/>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405"/>
      <c r="Q20" s="1576" t="str">
        <f>B20</f>
        <v>自然及人文环境</v>
      </c>
      <c r="R20" s="1577" t="s">
        <v>8</v>
      </c>
      <c r="S20" s="1578">
        <f>F20</f>
        <v>100</v>
      </c>
      <c r="T20" s="1577" t="s">
        <v>8</v>
      </c>
      <c r="U20" s="1578">
        <f>H20</f>
        <v>100</v>
      </c>
      <c r="V20" s="1577" t="s">
        <v>8</v>
      </c>
      <c r="W20" s="1578">
        <f>J20</f>
        <v>100</v>
      </c>
      <c r="X20" s="1571"/>
      <c r="Y20" s="3405"/>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405"/>
      <c r="Q21" s="1576"/>
      <c r="R21" s="1577"/>
      <c r="S21" s="1578"/>
      <c r="T21" s="1577"/>
      <c r="U21" s="1578"/>
      <c r="V21" s="1577"/>
      <c r="W21" s="1578"/>
      <c r="X21" s="1571"/>
      <c r="Y21" s="3405"/>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405"/>
      <c r="Q22" s="1576" t="str">
        <f>B22</f>
        <v>楼层</v>
      </c>
      <c r="R22" s="1577" t="s">
        <v>8</v>
      </c>
      <c r="S22" s="1578">
        <f>F22</f>
        <v>100</v>
      </c>
      <c r="T22" s="1577" t="s">
        <v>8</v>
      </c>
      <c r="U22" s="1578">
        <f>H22</f>
        <v>100</v>
      </c>
      <c r="V22" s="1577" t="s">
        <v>8</v>
      </c>
      <c r="W22" s="1578">
        <f>J22</f>
        <v>100</v>
      </c>
      <c r="X22" s="1571"/>
      <c r="Y22" s="3405"/>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405"/>
      <c r="Q23" s="1576">
        <f>B23</f>
        <v>111</v>
      </c>
      <c r="R23" s="1577" t="s">
        <v>8</v>
      </c>
      <c r="S23" s="1578">
        <f>F23</f>
        <v>100</v>
      </c>
      <c r="T23" s="1577" t="s">
        <v>8</v>
      </c>
      <c r="U23" s="1578">
        <f>H23</f>
        <v>100</v>
      </c>
      <c r="V23" s="1577" t="s">
        <v>8</v>
      </c>
      <c r="W23" s="1578">
        <f>J23</f>
        <v>100</v>
      </c>
      <c r="X23" s="1571"/>
      <c r="Y23" s="3405"/>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405"/>
      <c r="Q24" s="1576">
        <f t="shared" ref="Q24:Q34" si="11">B24</f>
        <v>111</v>
      </c>
      <c r="R24" s="1577" t="s">
        <v>8</v>
      </c>
      <c r="S24" s="1578">
        <f>F24</f>
        <v>100</v>
      </c>
      <c r="T24" s="1577" t="s">
        <v>8</v>
      </c>
      <c r="U24" s="1578">
        <f>H24</f>
        <v>100</v>
      </c>
      <c r="V24" s="1577" t="s">
        <v>8</v>
      </c>
      <c r="W24" s="1578">
        <f>J24</f>
        <v>100</v>
      </c>
      <c r="X24" s="1571"/>
      <c r="Y24" s="3405"/>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405"/>
      <c r="Q25" s="1154">
        <f t="shared" si="11"/>
        <v>111</v>
      </c>
      <c r="R25" s="1572" t="s">
        <v>8</v>
      </c>
      <c r="S25" s="1573">
        <f>F25</f>
        <v>100</v>
      </c>
      <c r="T25" s="1572" t="s">
        <v>8</v>
      </c>
      <c r="U25" s="1573">
        <f>H25</f>
        <v>100</v>
      </c>
      <c r="V25" s="1572" t="s">
        <v>8</v>
      </c>
      <c r="W25" s="1573">
        <f>J25</f>
        <v>100</v>
      </c>
      <c r="X25" s="1574"/>
      <c r="Y25" s="3405"/>
      <c r="Z25" s="1153">
        <f>Q25</f>
        <v>111</v>
      </c>
      <c r="AA25" s="1580">
        <f>D25/F25</f>
        <v>1</v>
      </c>
      <c r="AB25" s="1580">
        <f>D25/H25</f>
        <v>1</v>
      </c>
      <c r="AC25" s="1580">
        <f>D25/J25</f>
        <v>1</v>
      </c>
    </row>
    <row r="26" spans="1:29" ht="15">
      <c r="A26" s="2938"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406"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07"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407"/>
      <c r="Q27" s="1609" t="str">
        <f t="shared" si="11"/>
        <v>成新率</v>
      </c>
      <c r="R27" s="1581" t="s">
        <v>8</v>
      </c>
      <c r="S27" s="1582" t="e">
        <f t="shared" si="12"/>
        <v>#N/A</v>
      </c>
      <c r="T27" s="1581" t="s">
        <v>8</v>
      </c>
      <c r="U27" s="1582" t="e">
        <f t="shared" si="13"/>
        <v>#N/A</v>
      </c>
      <c r="V27" s="1581" t="s">
        <v>8</v>
      </c>
      <c r="W27" s="1582" t="e">
        <f t="shared" si="14"/>
        <v>#N/A</v>
      </c>
      <c r="X27" s="1583"/>
      <c r="Y27" s="3407"/>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407"/>
      <c r="Q28" s="1576" t="str">
        <f t="shared" si="11"/>
        <v>物业等级</v>
      </c>
      <c r="R28" s="1577" t="s">
        <v>8</v>
      </c>
      <c r="S28" s="1578">
        <f t="shared" si="12"/>
        <v>100</v>
      </c>
      <c r="T28" s="1577" t="s">
        <v>8</v>
      </c>
      <c r="U28" s="1578">
        <f t="shared" si="13"/>
        <v>100</v>
      </c>
      <c r="V28" s="1577" t="s">
        <v>8</v>
      </c>
      <c r="W28" s="1578">
        <f t="shared" si="14"/>
        <v>100</v>
      </c>
      <c r="X28" s="1571"/>
      <c r="Y28" s="3407"/>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407"/>
      <c r="Q29" s="1576" t="str">
        <f t="shared" si="11"/>
        <v>有无电梯</v>
      </c>
      <c r="R29" s="1577" t="s">
        <v>8</v>
      </c>
      <c r="S29" s="1578">
        <f t="shared" si="12"/>
        <v>100</v>
      </c>
      <c r="T29" s="1577" t="s">
        <v>8</v>
      </c>
      <c r="U29" s="1578">
        <f t="shared" si="13"/>
        <v>100</v>
      </c>
      <c r="V29" s="1577" t="s">
        <v>8</v>
      </c>
      <c r="W29" s="1578">
        <f t="shared" si="14"/>
        <v>100</v>
      </c>
      <c r="X29" s="1571"/>
      <c r="Y29" s="3407"/>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407"/>
      <c r="Q30" s="1576" t="str">
        <f t="shared" si="11"/>
        <v>建筑面积</v>
      </c>
      <c r="R30" s="1577" t="s">
        <v>8</v>
      </c>
      <c r="S30" s="1578" t="e">
        <f t="shared" si="12"/>
        <v>#N/A</v>
      </c>
      <c r="T30" s="1577" t="s">
        <v>8</v>
      </c>
      <c r="U30" s="1578" t="e">
        <f t="shared" si="13"/>
        <v>#N/A</v>
      </c>
      <c r="V30" s="1577" t="s">
        <v>8</v>
      </c>
      <c r="W30" s="1578" t="e">
        <f t="shared" si="14"/>
        <v>#N/A</v>
      </c>
      <c r="X30" s="1571"/>
      <c r="Y30" s="3407"/>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407"/>
      <c r="Q31" s="1154" t="str">
        <f t="shared" si="11"/>
        <v>是否封闭</v>
      </c>
      <c r="R31" s="1572" t="s">
        <v>8</v>
      </c>
      <c r="S31" s="1573">
        <f t="shared" si="12"/>
        <v>100</v>
      </c>
      <c r="T31" s="1572" t="s">
        <v>8</v>
      </c>
      <c r="U31" s="1573">
        <f t="shared" si="13"/>
        <v>100</v>
      </c>
      <c r="V31" s="1572" t="s">
        <v>8</v>
      </c>
      <c r="W31" s="1573">
        <f t="shared" si="14"/>
        <v>100</v>
      </c>
      <c r="X31" s="1574"/>
      <c r="Y31" s="3407"/>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407" t="s">
        <v>551</v>
      </c>
      <c r="Q32" s="1576">
        <f t="shared" si="11"/>
        <v>111</v>
      </c>
      <c r="R32" s="1577" t="s">
        <v>8</v>
      </c>
      <c r="S32" s="1578">
        <f t="shared" si="12"/>
        <v>100</v>
      </c>
      <c r="T32" s="1577" t="s">
        <v>8</v>
      </c>
      <c r="U32" s="1578">
        <f t="shared" si="13"/>
        <v>100</v>
      </c>
      <c r="V32" s="1577" t="s">
        <v>8</v>
      </c>
      <c r="W32" s="1578">
        <f t="shared" si="14"/>
        <v>100</v>
      </c>
      <c r="X32" s="1571"/>
      <c r="Y32" s="3407"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407"/>
      <c r="Q33" s="1576">
        <f t="shared" si="11"/>
        <v>111</v>
      </c>
      <c r="R33" s="1577" t="s">
        <v>8</v>
      </c>
      <c r="S33" s="1578">
        <f t="shared" si="12"/>
        <v>100</v>
      </c>
      <c r="T33" s="1577" t="s">
        <v>8</v>
      </c>
      <c r="U33" s="1578">
        <f t="shared" si="13"/>
        <v>100</v>
      </c>
      <c r="V33" s="1577" t="s">
        <v>8</v>
      </c>
      <c r="W33" s="1578">
        <f t="shared" si="14"/>
        <v>100</v>
      </c>
      <c r="X33" s="1571"/>
      <c r="Y33" s="3407"/>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407"/>
      <c r="Q34" s="1576">
        <f t="shared" si="11"/>
        <v>111</v>
      </c>
      <c r="R34" s="1577" t="s">
        <v>8</v>
      </c>
      <c r="S34" s="1578">
        <f t="shared" si="12"/>
        <v>100</v>
      </c>
      <c r="T34" s="1577" t="s">
        <v>8</v>
      </c>
      <c r="U34" s="1578">
        <f t="shared" si="13"/>
        <v>100</v>
      </c>
      <c r="V34" s="1577" t="s">
        <v>8</v>
      </c>
      <c r="W34" s="1578">
        <f t="shared" si="14"/>
        <v>100</v>
      </c>
      <c r="X34" s="1571"/>
      <c r="Y34" s="3407"/>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68" t="str">
        <f>A35</f>
        <v>成交单价（元/平方米）</v>
      </c>
      <c r="Q35" s="3368"/>
      <c r="R35" s="3408">
        <f>E35</f>
        <v>0</v>
      </c>
      <c r="S35" s="3408"/>
      <c r="T35" s="3408">
        <f>G35</f>
        <v>0</v>
      </c>
      <c r="U35" s="3408"/>
      <c r="V35" s="3408">
        <f>I35</f>
        <v>0</v>
      </c>
      <c r="W35" s="3408"/>
      <c r="X35" s="1563"/>
      <c r="Y35" s="1585"/>
      <c r="Z35" s="1563"/>
      <c r="AA35" s="1563"/>
      <c r="AB35" s="1563"/>
      <c r="AC35" s="1563"/>
    </row>
    <row r="36" spans="1:29" ht="15.75" thickBot="1">
      <c r="A36" s="618" t="s">
        <v>2769</v>
      </c>
      <c r="B36" s="891"/>
      <c r="C36" s="2662" t="e">
        <f>R37</f>
        <v>#DIV/0!</v>
      </c>
      <c r="D36" s="2663"/>
      <c r="E36" s="2664" t="e">
        <f>R36</f>
        <v>#DIV/0!</v>
      </c>
      <c r="F36" s="2664"/>
      <c r="G36" s="2662" t="e">
        <f>T36</f>
        <v>#DIV/0!</v>
      </c>
      <c r="H36" s="2663"/>
      <c r="I36" s="2664" t="e">
        <f>V36</f>
        <v>#DIV/0!</v>
      </c>
      <c r="J36" s="2663"/>
      <c r="K36" s="1616"/>
      <c r="L36" s="2149"/>
      <c r="M36" s="2150"/>
      <c r="N36" s="2139"/>
      <c r="O36" s="2150"/>
      <c r="P36" s="3368" t="str">
        <f>A36</f>
        <v>比较价格（元/平方米）</v>
      </c>
      <c r="Q36" s="3368"/>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63"/>
      <c r="Y36" s="1563"/>
      <c r="Z36" s="1563"/>
      <c r="AA36" s="1563"/>
      <c r="AB36" s="1563"/>
      <c r="AC36" s="1563"/>
    </row>
    <row r="37" spans="1:29" ht="15.75" thickBot="1">
      <c r="A37" s="624" t="s">
        <v>2945</v>
      </c>
      <c r="B37" s="625"/>
      <c r="C37" s="2665" t="e">
        <f>R37</f>
        <v>#DIV/0!</v>
      </c>
      <c r="D37" s="2665"/>
      <c r="E37" s="2665"/>
      <c r="F37" s="2665"/>
      <c r="G37" s="2665"/>
      <c r="H37" s="2665"/>
      <c r="I37" s="2665"/>
      <c r="J37" s="2665"/>
      <c r="K37" s="1617"/>
      <c r="L37" s="2149"/>
      <c r="M37" s="2150"/>
      <c r="N37" s="2150"/>
      <c r="O37" s="2150"/>
      <c r="P37" s="3365" t="str">
        <f>A37</f>
        <v>估价对象XX用房的比较价格（楼面单价，元/平方米）</v>
      </c>
      <c r="Q37" s="3366"/>
      <c r="R37" s="3410" t="e">
        <f>IF(F1="售价",ROUND(AVERAGE(R36:V36),0),ROUND(AVERAGE(R36:V36),1))</f>
        <v>#DIV/0!</v>
      </c>
      <c r="S37" s="3410"/>
      <c r="T37" s="3410"/>
      <c r="U37" s="3410"/>
      <c r="V37" s="3410"/>
      <c r="W37" s="3410"/>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2017-10</v>
      </c>
      <c r="D46" s="2835">
        <f>EDATE(C46,-1)</f>
        <v>42979</v>
      </c>
      <c r="E46" s="2835">
        <f t="shared" ref="E46:O46" si="16">EDATE(D46,-1)</f>
        <v>42948</v>
      </c>
      <c r="F46" s="2835">
        <f t="shared" si="16"/>
        <v>42917</v>
      </c>
      <c r="G46" s="2835">
        <f t="shared" si="16"/>
        <v>42887</v>
      </c>
      <c r="H46" s="2835">
        <f t="shared" si="16"/>
        <v>42856</v>
      </c>
      <c r="I46" s="2835">
        <f t="shared" si="16"/>
        <v>42826</v>
      </c>
      <c r="J46" s="2835">
        <f t="shared" si="16"/>
        <v>42795</v>
      </c>
      <c r="K46" s="2835">
        <f t="shared" si="16"/>
        <v>42767</v>
      </c>
      <c r="L46" s="2835">
        <f t="shared" si="16"/>
        <v>42736</v>
      </c>
      <c r="M46" s="2835">
        <f t="shared" si="16"/>
        <v>42705</v>
      </c>
      <c r="N46" s="2835">
        <f t="shared" si="16"/>
        <v>42675</v>
      </c>
      <c r="O46" s="2835">
        <f t="shared" si="16"/>
        <v>42644</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95" t="s">
        <v>2308</v>
      </c>
      <c r="D1" s="3496"/>
      <c r="E1" s="3496"/>
      <c r="F1" s="3496"/>
      <c r="G1" s="3496"/>
      <c r="H1" s="3496"/>
      <c r="I1" s="3496"/>
      <c r="J1" s="3496"/>
      <c r="K1" s="3496"/>
      <c r="L1" s="3496"/>
      <c r="M1" s="3496"/>
      <c r="N1" s="3496"/>
      <c r="O1" s="3496"/>
      <c r="P1" s="3496"/>
      <c r="Q1" s="3496"/>
      <c r="R1" s="3496"/>
      <c r="S1" s="3497"/>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1" t="s">
        <v>2938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3" t="s">
        <v>2937</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3" t="s">
        <v>2936</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2"/>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1" t="s">
        <v>2951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1" t="s">
        <v>2935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1" t="s">
        <v>2934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92" t="s">
        <v>20</v>
      </c>
      <c r="D22" s="3493"/>
      <c r="E22" s="3493"/>
      <c r="F22" s="3493"/>
      <c r="G22" s="3493"/>
      <c r="H22" s="3493"/>
      <c r="I22" s="3493"/>
      <c r="J22" s="3493"/>
      <c r="K22" s="3493"/>
      <c r="L22" s="3493"/>
      <c r="M22" s="3493"/>
      <c r="N22" s="3493"/>
      <c r="O22" s="3493"/>
      <c r="P22" s="3493"/>
      <c r="Q22" s="3494"/>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2797</v>
      </c>
      <c r="C1" s="3035">
        <f>项目基本情况!D3</f>
        <v>43020</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2828</v>
      </c>
      <c r="C2" s="3036">
        <f>'数据-取费表'!B22</f>
        <v>2</v>
      </c>
      <c r="D2" s="3031" t="s">
        <v>2798</v>
      </c>
      <c r="E2" s="3034">
        <f ca="1">INDIRECT("I"&amp;$I$1)/100</f>
        <v>4.7500000000000001E-2</v>
      </c>
      <c r="G2" s="2971"/>
      <c r="H2" s="2971"/>
      <c r="I2" s="2971" t="s">
        <v>2799</v>
      </c>
      <c r="K2" s="2971"/>
      <c r="L2" s="2971"/>
      <c r="M2" s="2971"/>
      <c r="N2" s="2971" t="s">
        <v>2800</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2830</v>
      </c>
      <c r="C3" s="3033">
        <f>'数据-取费表'!B19</f>
        <v>0</v>
      </c>
      <c r="D3" s="3031" t="s">
        <v>2798</v>
      </c>
      <c r="E3" s="3034">
        <f ca="1">INDIRECT("J"&amp;$J$1)/100</f>
        <v>0</v>
      </c>
      <c r="G3" s="2973" t="s">
        <v>2801</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2829</v>
      </c>
      <c r="C4" s="3034">
        <f ca="1">N4/100</f>
        <v>1.4999999999999999E-2</v>
      </c>
      <c r="G4" s="2979" t="s">
        <v>2802</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2803</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2804</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2805</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2806</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2807</v>
      </c>
      <c r="C10" s="2998"/>
      <c r="D10" s="2998"/>
      <c r="E10" s="2998"/>
      <c r="F10" s="2998"/>
      <c r="G10" s="2998"/>
      <c r="H10" s="2998"/>
      <c r="I10" s="2972"/>
      <c r="J10" s="2972"/>
      <c r="K10" s="2998"/>
      <c r="L10" s="2999" t="s">
        <v>2808</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2809</v>
      </c>
      <c r="C11" s="3003" t="s">
        <v>2810</v>
      </c>
      <c r="D11" s="3004" t="s">
        <v>2811</v>
      </c>
      <c r="E11" s="3005"/>
      <c r="F11" s="3004" t="s">
        <v>2812</v>
      </c>
      <c r="G11" s="3006"/>
      <c r="H11" s="3005"/>
      <c r="I11" s="3004" t="s">
        <v>2813</v>
      </c>
      <c r="J11" s="3005"/>
      <c r="K11" s="3001"/>
      <c r="L11" s="3002" t="s">
        <v>2809</v>
      </c>
      <c r="M11" s="3003" t="s">
        <v>2810</v>
      </c>
      <c r="N11" s="3002" t="s">
        <v>2814</v>
      </c>
      <c r="O11" s="3004" t="s">
        <v>2815</v>
      </c>
      <c r="P11" s="3006"/>
      <c r="Q11" s="3006"/>
      <c r="R11" s="3006"/>
      <c r="S11" s="3006"/>
      <c r="T11" s="3005"/>
      <c r="U11" s="3004" t="s">
        <v>2816</v>
      </c>
      <c r="V11" s="3006"/>
      <c r="W11" s="3005"/>
      <c r="X11" s="3002" t="s">
        <v>2817</v>
      </c>
      <c r="Y11" s="3002" t="s">
        <v>2818</v>
      </c>
      <c r="Z11" s="3002" t="s">
        <v>2819</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2820</v>
      </c>
      <c r="E12" s="3011" t="s">
        <v>2821</v>
      </c>
      <c r="F12" s="3011" t="s">
        <v>2822</v>
      </c>
      <c r="G12" s="3011" t="s">
        <v>2823</v>
      </c>
      <c r="H12" s="3011" t="s">
        <v>2805</v>
      </c>
      <c r="I12" s="3012" t="s">
        <v>2824</v>
      </c>
      <c r="J12" s="3012" t="s">
        <v>2824</v>
      </c>
      <c r="K12" s="3008"/>
      <c r="L12" s="3009"/>
      <c r="M12" s="3010"/>
      <c r="N12" s="3009"/>
      <c r="O12" s="3012" t="s">
        <v>2825</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2826</v>
      </c>
      <c r="C13" s="3016">
        <v>42301</v>
      </c>
      <c r="D13" s="3017">
        <v>4.3499999999999996</v>
      </c>
      <c r="E13" s="3017">
        <v>4.3499999999999996</v>
      </c>
      <c r="F13" s="3017">
        <v>4.75</v>
      </c>
      <c r="G13" s="3017">
        <v>4.75</v>
      </c>
      <c r="H13" s="3017">
        <v>4.9000000000000004</v>
      </c>
      <c r="I13" s="3017">
        <v>2.75</v>
      </c>
      <c r="J13" s="3017">
        <v>3.25</v>
      </c>
      <c r="K13" s="3014"/>
      <c r="L13" s="3015" t="s">
        <v>2826</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2827</v>
      </c>
      <c r="Y42" s="3021" t="s">
        <v>2827</v>
      </c>
      <c r="Z42" s="3021" t="s">
        <v>2827</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2827</v>
      </c>
      <c r="Y43" s="3021" t="s">
        <v>2827</v>
      </c>
      <c r="Z43" s="3021" t="s">
        <v>2827</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2827</v>
      </c>
      <c r="Y44" s="3021" t="s">
        <v>2827</v>
      </c>
      <c r="Z44" s="3021" t="s">
        <v>2827</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2827</v>
      </c>
      <c r="Y45" s="3021" t="s">
        <v>2827</v>
      </c>
      <c r="Z45" s="3021" t="s">
        <v>2827</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2827</v>
      </c>
      <c r="Y46" s="3021" t="s">
        <v>2827</v>
      </c>
      <c r="Z46" s="3021" t="s">
        <v>2827</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2827</v>
      </c>
      <c r="Y47" s="3021" t="s">
        <v>2827</v>
      </c>
      <c r="Z47" s="3021" t="s">
        <v>2827</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2827</v>
      </c>
      <c r="Y48" s="3021" t="s">
        <v>2827</v>
      </c>
      <c r="Z48" s="3021" t="s">
        <v>2827</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2827</v>
      </c>
      <c r="Y49" s="3021" t="s">
        <v>2827</v>
      </c>
      <c r="Z49" s="3021" t="s">
        <v>2827</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2827</v>
      </c>
      <c r="Y50" s="3021" t="s">
        <v>2827</v>
      </c>
      <c r="Z50" s="3021" t="s">
        <v>2827</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2827</v>
      </c>
      <c r="V51" s="3021" t="s">
        <v>2827</v>
      </c>
      <c r="W51" s="3021" t="s">
        <v>2827</v>
      </c>
      <c r="X51" s="3021" t="s">
        <v>2827</v>
      </c>
      <c r="Y51" s="3021" t="s">
        <v>2827</v>
      </c>
      <c r="Z51" s="3021" t="s">
        <v>2827</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2827</v>
      </c>
      <c r="J55" s="3021" t="s">
        <v>2827</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2042</v>
      </c>
      <c r="B1" s="3201"/>
      <c r="C1" s="3201"/>
      <c r="D1" s="3201"/>
      <c r="E1" s="3201"/>
      <c r="F1" s="3201"/>
      <c r="G1" s="3201"/>
      <c r="H1" s="3201"/>
      <c r="I1" s="3201"/>
      <c r="J1" s="3201"/>
      <c r="K1" s="3201"/>
      <c r="L1" s="3201"/>
      <c r="M1" s="3201"/>
      <c r="N1" s="3201"/>
      <c r="O1" s="3201"/>
      <c r="P1" s="3201"/>
      <c r="Q1" s="3201"/>
      <c r="R1" s="3201"/>
    </row>
    <row r="2" spans="1:18">
      <c r="A2" s="1812" t="s">
        <v>2044</v>
      </c>
      <c r="B2" s="1812"/>
      <c r="C2" s="1812"/>
      <c r="D2" s="1812"/>
      <c r="E2" s="1812"/>
      <c r="F2" s="1812"/>
      <c r="G2" s="1812"/>
      <c r="H2" s="1812"/>
      <c r="I2" s="1813"/>
      <c r="J2" s="1813"/>
      <c r="K2" s="1814" t="str">
        <f>"估价期日："&amp;TEXT(项目基本情况!D3,"yyyy年m月d日;;")</f>
        <v>估价期日：2017年10月12日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2" t="s">
        <v>2033</v>
      </c>
      <c r="B3" s="3202" t="s">
        <v>2740</v>
      </c>
      <c r="C3" s="3203" t="s">
        <v>2034</v>
      </c>
      <c r="D3" s="3202" t="s">
        <v>2744</v>
      </c>
      <c r="E3" s="3197" t="s">
        <v>2035</v>
      </c>
      <c r="F3" s="3197"/>
      <c r="G3" s="3197"/>
      <c r="H3" s="3197" t="s">
        <v>2036</v>
      </c>
      <c r="I3" s="3197"/>
      <c r="J3" s="3197"/>
      <c r="K3" s="3203" t="s">
        <v>2037</v>
      </c>
      <c r="L3" s="3203" t="s">
        <v>2038</v>
      </c>
      <c r="M3" s="3202" t="s">
        <v>2741</v>
      </c>
      <c r="N3" s="3204" t="str">
        <f>"（分摊）"&amp;项目基本情况!B16&amp;"国有建设用地使用权面积/㎡"</f>
        <v>（分摊）出让国有建设用地使用权面积/㎡</v>
      </c>
      <c r="O3" s="3202" t="s">
        <v>2067</v>
      </c>
      <c r="P3" s="3203" t="s">
        <v>2047</v>
      </c>
      <c r="Q3" s="3203" t="s">
        <v>2068</v>
      </c>
      <c r="R3" s="3203" t="s">
        <v>2039</v>
      </c>
    </row>
    <row r="4" spans="1:18" ht="36.75" customHeight="1">
      <c r="A4" s="3202"/>
      <c r="B4" s="3202"/>
      <c r="C4" s="3203"/>
      <c r="D4" s="3202"/>
      <c r="E4" s="2679" t="s">
        <v>2046</v>
      </c>
      <c r="F4" s="2679" t="s">
        <v>2753</v>
      </c>
      <c r="G4" s="2679" t="s">
        <v>2040</v>
      </c>
      <c r="H4" s="2679" t="s">
        <v>2041</v>
      </c>
      <c r="I4" s="2679" t="s">
        <v>2754</v>
      </c>
      <c r="J4" s="2679" t="s">
        <v>2040</v>
      </c>
      <c r="K4" s="3203"/>
      <c r="L4" s="3203"/>
      <c r="M4" s="3202"/>
      <c r="N4" s="3204"/>
      <c r="O4" s="3202"/>
      <c r="P4" s="3203"/>
      <c r="Q4" s="3203"/>
      <c r="R4" s="3203"/>
    </row>
    <row r="5" spans="1:18" ht="135" customHeight="1">
      <c r="A5" s="1948" t="s">
        <v>2664</v>
      </c>
      <c r="B5" s="2898" t="s">
        <v>2662</v>
      </c>
      <c r="C5" s="2678">
        <v>22</v>
      </c>
      <c r="D5" s="2677" t="s">
        <v>2663</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红线外七通、宗地红线内场地平整</v>
      </c>
      <c r="M5" s="1815">
        <f>IF(项目基本情况!B16="出让",项目基本情况!D20,"——")</f>
        <v>0</v>
      </c>
      <c r="N5" s="1815">
        <f>项目基本情况!C22</f>
        <v>33220.35</v>
      </c>
      <c r="O5" s="1815">
        <f>项目基本情况!C21</f>
        <v>166445.44999999998</v>
      </c>
      <c r="P5" s="1815">
        <f ca="1">结果表!E42</f>
        <v>5681</v>
      </c>
      <c r="Q5" s="1815">
        <f ca="1">结果表!D42</f>
        <v>1134</v>
      </c>
      <c r="R5" s="1816">
        <f ca="1">结果表!C42</f>
        <v>18874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7">
        <f ca="1">结果表!O39</f>
        <v>18874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7"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6" t="s">
        <v>2069</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2070</v>
      </c>
      <c r="B5" s="3205"/>
      <c r="C5" s="3205"/>
      <c r="D5" s="3205"/>
    </row>
    <row r="6" spans="1:4">
      <c r="A6" s="3206" t="s">
        <v>2048</v>
      </c>
      <c r="B6" s="3206"/>
      <c r="C6" s="3206"/>
      <c r="D6" s="3206"/>
    </row>
    <row r="7" spans="1:4" ht="33" customHeight="1">
      <c r="A7" s="3206" t="s">
        <v>2582</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2072</v>
      </c>
      <c r="B12" s="3205"/>
      <c r="C12" s="3205"/>
      <c r="D12" s="3205"/>
    </row>
    <row r="13" spans="1:4">
      <c r="A13" s="3209" t="s">
        <v>2755</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2711</v>
      </c>
      <c r="B17" s="3206"/>
      <c r="C17" s="3206"/>
      <c r="D17" s="3206"/>
    </row>
    <row r="18" spans="1:4">
      <c r="A18" s="3206" t="s">
        <v>2703</v>
      </c>
      <c r="B18" s="3206"/>
      <c r="C18" s="3206"/>
      <c r="D18" s="3206"/>
    </row>
    <row r="19" spans="1:4">
      <c r="A19" s="2899" t="s">
        <v>2704</v>
      </c>
      <c r="B19" s="2899" t="s">
        <v>2705</v>
      </c>
      <c r="C19" s="2899" t="s">
        <v>2706</v>
      </c>
      <c r="D19" s="2899" t="s">
        <v>2707</v>
      </c>
    </row>
    <row r="20" spans="1:4">
      <c r="A20" s="2899" t="str">
        <f>项目基本情况!B4</f>
        <v>土地估价师</v>
      </c>
      <c r="B20" s="2899">
        <f>项目基本情况!C4</f>
        <v>0</v>
      </c>
      <c r="C20" s="2901"/>
      <c r="D20" s="1805" t="s">
        <v>2712</v>
      </c>
    </row>
    <row r="21" spans="1:4">
      <c r="A21" s="2899" t="str">
        <f>项目基本情况!D4</f>
        <v>土地估价师</v>
      </c>
      <c r="B21" s="2899">
        <f>项目基本情况!E4</f>
        <v>0</v>
      </c>
      <c r="C21" s="2901"/>
      <c r="D21" s="1805" t="s">
        <v>2713</v>
      </c>
    </row>
    <row r="23" spans="1:4">
      <c r="A23" s="3206" t="s">
        <v>2708</v>
      </c>
      <c r="B23" s="3206"/>
      <c r="C23" s="3206"/>
      <c r="D23" s="3206"/>
    </row>
    <row r="24" spans="1:4">
      <c r="A24" s="2899" t="s">
        <v>2704</v>
      </c>
      <c r="B24" s="2899" t="s">
        <v>2709</v>
      </c>
      <c r="C24" s="2899" t="s">
        <v>2706</v>
      </c>
      <c r="D24" s="2899" t="s">
        <v>2707</v>
      </c>
    </row>
    <row r="25" spans="1:4">
      <c r="A25" s="2902" t="s">
        <v>2710</v>
      </c>
      <c r="B25" s="2899" t="s">
        <v>953</v>
      </c>
      <c r="C25" s="2901"/>
      <c r="D25" s="1805" t="s">
        <v>2713</v>
      </c>
    </row>
    <row r="29" spans="1:4">
      <c r="D29" s="2900" t="s">
        <v>2043</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17" t="s">
        <v>53</v>
      </c>
      <c r="B15" s="3218" t="s">
        <v>847</v>
      </c>
      <c r="C15" s="3214"/>
    </row>
    <row r="16" spans="1:7" ht="14.25">
      <c r="A16" s="3217"/>
      <c r="B16" s="3215" t="s">
        <v>54</v>
      </c>
      <c r="C16" s="1175" t="s">
        <v>53</v>
      </c>
    </row>
    <row r="17" spans="1:3" ht="14.25">
      <c r="A17" s="3217"/>
      <c r="B17" s="3215"/>
      <c r="C17" s="1175" t="s">
        <v>55</v>
      </c>
    </row>
    <row r="18" spans="1:3" ht="14.25">
      <c r="A18" s="3217"/>
      <c r="B18" s="3215"/>
      <c r="C18" s="1175" t="s">
        <v>56</v>
      </c>
    </row>
    <row r="19" spans="1:3" ht="14.25">
      <c r="A19" s="3217"/>
      <c r="B19" s="3213" t="s">
        <v>57</v>
      </c>
      <c r="C19" s="3214"/>
    </row>
    <row r="20" spans="1:3" ht="14.25">
      <c r="A20" s="1176" t="s">
        <v>58</v>
      </c>
      <c r="B20" s="1177"/>
      <c r="C20" s="1178"/>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9" t="s">
        <v>838</v>
      </c>
    </row>
    <row r="25" spans="1:3" ht="14.25">
      <c r="A25" s="3216"/>
      <c r="B25" s="3220"/>
      <c r="C25" s="1179" t="s">
        <v>839</v>
      </c>
    </row>
    <row r="26" spans="1:3" ht="14.25">
      <c r="A26" s="3216"/>
      <c r="B26" s="3220"/>
      <c r="C26" s="1179" t="s">
        <v>840</v>
      </c>
    </row>
    <row r="27" spans="1:3" ht="14.25">
      <c r="A27" s="3216"/>
      <c r="B27" s="3220"/>
      <c r="C27" s="1179" t="s">
        <v>841</v>
      </c>
    </row>
    <row r="28" spans="1:3" ht="14.25">
      <c r="A28" s="3216"/>
      <c r="B28" s="3220"/>
      <c r="C28" s="1179" t="s">
        <v>842</v>
      </c>
    </row>
    <row r="29" spans="1:3" ht="14.25">
      <c r="A29" s="3216"/>
      <c r="B29" s="3220"/>
      <c r="C29" s="1179" t="s">
        <v>843</v>
      </c>
    </row>
    <row r="30" spans="1:3" ht="14.25">
      <c r="A30" s="3216"/>
      <c r="B30" s="3220"/>
      <c r="C30" s="1179" t="s">
        <v>844</v>
      </c>
    </row>
    <row r="31" spans="1:3" ht="14.25">
      <c r="A31" s="3216"/>
      <c r="B31" s="3220"/>
      <c r="C31" s="1179" t="s">
        <v>845</v>
      </c>
    </row>
    <row r="32" spans="1:3" ht="14.25">
      <c r="A32" s="3216"/>
      <c r="B32" s="3220"/>
      <c r="C32" s="1179" t="s">
        <v>1648</v>
      </c>
    </row>
    <row r="33" spans="1:3" ht="14.25">
      <c r="A33" s="3216"/>
      <c r="B33" s="3210" t="s">
        <v>1654</v>
      </c>
      <c r="C33" s="1179" t="s">
        <v>1649</v>
      </c>
    </row>
    <row r="34" spans="1:3" ht="14.25">
      <c r="A34" s="3216"/>
      <c r="B34" s="3211"/>
      <c r="C34" s="1184" t="s">
        <v>1650</v>
      </c>
    </row>
    <row r="35" spans="1:3" ht="14.25">
      <c r="A35" s="3216"/>
      <c r="B35" s="3211"/>
      <c r="C35" s="1185" t="s">
        <v>1651</v>
      </c>
    </row>
    <row r="36" spans="1:3" ht="14.25">
      <c r="A36" s="3216"/>
      <c r="B36" s="3211"/>
      <c r="C36" s="1185" t="s">
        <v>1652</v>
      </c>
    </row>
    <row r="37" spans="1:3" ht="14.25">
      <c r="A37" s="3216"/>
      <c r="B37" s="3212"/>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43063</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7">
        <v>43849</v>
      </c>
      <c r="D4" s="2348" t="s">
        <v>1916</v>
      </c>
      <c r="E4" s="2348">
        <f ca="1">IF(F4&lt;B2,"已过期",96010014)</f>
        <v>96010014</v>
      </c>
      <c r="F4" s="3038">
        <v>47118</v>
      </c>
    </row>
    <row r="5" spans="1:6" ht="20.25" customHeight="1">
      <c r="A5" s="2348" t="s">
        <v>1917</v>
      </c>
      <c r="B5" s="2348">
        <f ca="1">IF(C5&lt;B2,"已过期",1119970074)</f>
        <v>1119970074</v>
      </c>
      <c r="C5" s="3037">
        <v>43849</v>
      </c>
      <c r="D5" s="2348" t="s">
        <v>1917</v>
      </c>
      <c r="E5" s="2348">
        <f ca="1">IF(F5&lt;B2,"已过期",2002110027)</f>
        <v>2002110027</v>
      </c>
      <c r="F5" s="3038">
        <v>46752</v>
      </c>
    </row>
    <row r="6" spans="1:6" ht="20.25" customHeight="1">
      <c r="A6" s="2348" t="s">
        <v>1918</v>
      </c>
      <c r="B6" s="2348">
        <f ca="1">IF(C6&lt;B2,"已过期",1119970111)</f>
        <v>1119970111</v>
      </c>
      <c r="C6" s="3037">
        <v>43849</v>
      </c>
      <c r="D6" s="2348" t="s">
        <v>1918</v>
      </c>
      <c r="E6" s="2348">
        <f ca="1">IF(F6&lt;B2,"已过期",94010078)</f>
        <v>94010078</v>
      </c>
      <c r="F6" s="3038">
        <v>46387</v>
      </c>
    </row>
    <row r="7" spans="1:6" ht="20.25" customHeight="1">
      <c r="A7" s="2348" t="s">
        <v>1919</v>
      </c>
      <c r="B7" s="2348">
        <f ca="1">IF(C7&lt;B2,"已过期",1120050019)</f>
        <v>1120050019</v>
      </c>
      <c r="C7" s="3037">
        <v>43359</v>
      </c>
      <c r="D7" s="2348" t="s">
        <v>1919</v>
      </c>
      <c r="E7" s="2348">
        <f ca="1">IF(F7&lt;B2,"已过期",2002110030)</f>
        <v>2002110030</v>
      </c>
      <c r="F7" s="3038">
        <v>46387</v>
      </c>
    </row>
    <row r="8" spans="1:6" ht="20.25" customHeight="1">
      <c r="A8" s="2348" t="s">
        <v>1920</v>
      </c>
      <c r="B8" s="2348">
        <f ca="1">IF(C8&lt;B2,"已过期",1120000080)</f>
        <v>1120000080</v>
      </c>
      <c r="C8" s="3037">
        <v>43849</v>
      </c>
      <c r="D8" s="2348" t="s">
        <v>1920</v>
      </c>
      <c r="E8" s="2348">
        <f ca="1">IF(F8&lt;B2,"已过期",2000110082)</f>
        <v>2000110082</v>
      </c>
      <c r="F8" s="3038">
        <v>46387</v>
      </c>
    </row>
    <row r="9" spans="1:6" ht="20.25" customHeight="1">
      <c r="A9" s="2348" t="s">
        <v>1921</v>
      </c>
      <c r="B9" s="2348">
        <f ca="1">IF(C9&lt;B2,"已过期",1419970001)</f>
        <v>1419970001</v>
      </c>
      <c r="C9" s="3037">
        <v>43867</v>
      </c>
      <c r="D9" s="2348" t="s">
        <v>1921</v>
      </c>
      <c r="E9" s="2348">
        <f ca="1">IF(F9&lt;B2,"已过期",2002110125)</f>
        <v>2002110125</v>
      </c>
      <c r="F9" s="3038">
        <v>47118</v>
      </c>
    </row>
    <row r="10" spans="1:6" ht="20.25" customHeight="1">
      <c r="A10" s="2348" t="s">
        <v>1922</v>
      </c>
      <c r="B10" s="2348">
        <f ca="1">IF(C10&lt;B2,"已过期",1120060040)</f>
        <v>1120060040</v>
      </c>
      <c r="C10" s="3037">
        <v>43483</v>
      </c>
      <c r="D10" s="2348" t="s">
        <v>1922</v>
      </c>
      <c r="E10" s="2348">
        <f ca="1">IF(F10&lt;B2,"已过期",2004110096)</f>
        <v>2004110096</v>
      </c>
      <c r="F10" s="3038">
        <v>47118</v>
      </c>
    </row>
    <row r="11" spans="1:6" ht="20.25" customHeight="1">
      <c r="A11" s="2348" t="s">
        <v>1923</v>
      </c>
      <c r="B11" s="2348">
        <f ca="1">IF(C11&lt;B2,"已过期",1120100036)</f>
        <v>1120100036</v>
      </c>
      <c r="C11" s="3037">
        <v>43622</v>
      </c>
      <c r="D11" s="2348" t="s">
        <v>1923</v>
      </c>
      <c r="E11" s="2348">
        <f ca="1">IF(F11&lt;B2,"已过期",2010110070)</f>
        <v>2010110070</v>
      </c>
      <c r="F11" s="3038">
        <v>47907</v>
      </c>
    </row>
    <row r="12" spans="1:6" ht="20.25" customHeight="1">
      <c r="A12" s="2348"/>
      <c r="B12" s="2348"/>
      <c r="C12" s="3037"/>
      <c r="D12" s="2348"/>
      <c r="E12" s="2348"/>
      <c r="F12" s="2348"/>
    </row>
    <row r="13" spans="1:6" ht="20.25" customHeight="1">
      <c r="A13" s="2348" t="s">
        <v>1924</v>
      </c>
      <c r="B13" s="2348">
        <f ca="1">IF(C13&lt;B2,"已过期",1120070131)</f>
        <v>1120070131</v>
      </c>
      <c r="C13" s="3037">
        <v>43814</v>
      </c>
      <c r="D13" s="2348" t="s">
        <v>1924</v>
      </c>
      <c r="E13" s="2348">
        <v>2014110011</v>
      </c>
      <c r="F13" s="3038">
        <v>49302</v>
      </c>
    </row>
    <row r="14" spans="1:6" ht="20.25" customHeight="1">
      <c r="A14" s="2348" t="s">
        <v>1925</v>
      </c>
      <c r="B14" s="2348">
        <f ca="1">IF(C14&lt;B2,"已过期",1120130020)</f>
        <v>1120130020</v>
      </c>
      <c r="C14" s="3037">
        <v>43622</v>
      </c>
      <c r="D14" s="2348"/>
      <c r="E14" s="2348"/>
      <c r="F14" s="2348"/>
    </row>
    <row r="15" spans="1:6" ht="20.25" customHeight="1">
      <c r="A15" s="2348" t="s">
        <v>2581</v>
      </c>
      <c r="B15" s="2348">
        <v>1120070085</v>
      </c>
      <c r="C15" s="3037">
        <v>43814</v>
      </c>
      <c r="D15" s="2348" t="s">
        <v>2581</v>
      </c>
      <c r="E15" s="2348">
        <v>2004110128</v>
      </c>
      <c r="F15" s="3038">
        <v>47118</v>
      </c>
    </row>
    <row r="16" spans="1:6" ht="20.25" customHeight="1">
      <c r="A16" s="2348" t="s">
        <v>1926</v>
      </c>
      <c r="B16" s="2348">
        <f ca="1">IF(C16&lt;B2,"已过期",1120140022)</f>
        <v>1120140022</v>
      </c>
      <c r="C16" s="3037">
        <v>44029</v>
      </c>
      <c r="D16" s="2348" t="s">
        <v>1926</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1927</v>
      </c>
      <c r="E21" s="2348">
        <f ca="1">IF(F21&lt;B2,"已过期",2011110090)</f>
        <v>2011110090</v>
      </c>
      <c r="F21" s="3038">
        <v>48302</v>
      </c>
    </row>
    <row r="22" spans="1:7" ht="20.25" customHeight="1">
      <c r="A22" s="2348" t="s">
        <v>1928</v>
      </c>
      <c r="B22" s="2348">
        <f ca="1">IF(C22&lt;B2,"已过期",1120020033)</f>
        <v>1120020033</v>
      </c>
      <c r="C22" s="3037">
        <v>43304</v>
      </c>
      <c r="D22" s="2348" t="s">
        <v>1928</v>
      </c>
      <c r="E22" s="2348">
        <f ca="1">IF(F22&lt;B2,"已过期",2000110137)</f>
        <v>2000110137</v>
      </c>
      <c r="F22" s="3038">
        <v>46387</v>
      </c>
    </row>
    <row r="23" spans="1:7" ht="20.25" customHeight="1">
      <c r="A23" s="2348" t="s">
        <v>1929</v>
      </c>
      <c r="B23" s="2348">
        <f ca="1">IF(C23&lt;B2,"已过期",1120130048)</f>
        <v>1120130048</v>
      </c>
      <c r="C23" s="3037">
        <v>43686</v>
      </c>
      <c r="D23" s="2348"/>
      <c r="E23" s="2348"/>
      <c r="F23" s="2348"/>
    </row>
    <row r="24" spans="1:7" s="2352" customFormat="1" ht="20.25" customHeight="1">
      <c r="A24" s="2350" t="s">
        <v>2057</v>
      </c>
      <c r="B24" s="2350" t="s">
        <v>2057</v>
      </c>
      <c r="C24" s="3037"/>
      <c r="D24" s="3039" t="s">
        <v>2057</v>
      </c>
      <c r="E24" s="2350" t="s">
        <v>2057</v>
      </c>
      <c r="F24" s="2351"/>
    </row>
    <row r="25" spans="1:7" ht="20.25" customHeight="1">
      <c r="A25" s="3221" t="s">
        <v>1930</v>
      </c>
      <c r="B25" s="3221"/>
      <c r="C25" s="3221"/>
      <c r="D25" s="3221"/>
      <c r="E25" s="3221"/>
      <c r="F25" s="3221"/>
      <c r="G25" s="3221"/>
    </row>
    <row r="26" spans="1:7" ht="20.25" customHeight="1">
      <c r="A26" s="3222" t="s">
        <v>1931</v>
      </c>
      <c r="B26" s="3222"/>
      <c r="C26" s="3222"/>
      <c r="D26" s="3222" t="s">
        <v>1932</v>
      </c>
      <c r="E26" s="3222"/>
      <c r="F26" s="3222"/>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Z23" sqref="Z23"/>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8" t="s">
        <v>2968</v>
      </c>
      <c r="C18" s="1558"/>
    </row>
    <row r="19" spans="1:3">
      <c r="A19" s="8" t="s">
        <v>120</v>
      </c>
      <c r="B19" s="3148" t="s">
        <v>2976</v>
      </c>
      <c r="C19" s="1558"/>
    </row>
    <row r="20" spans="1:3">
      <c r="A20" s="8" t="s">
        <v>121</v>
      </c>
      <c r="B20" s="8" t="s">
        <v>3025</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安浐灞生态区金茂四路以东、金桥二路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23"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12日，在规划利用条件下、设定土地开发程度为红线外“七通”、宗地内场地平整，设定用途为，剩余土地使用年限为的出让国有建设用地使用权价格。</v>
      </c>
      <c r="D53" s="1772"/>
      <c r="E53" s="1772"/>
    </row>
    <row r="54" spans="1:5">
      <c r="A54" s="3223"/>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3"/>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3"/>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3"/>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不动产比较法-办公</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2017-11-02T01:30:50Z</cp:lastPrinted>
  <dcterms:created xsi:type="dcterms:W3CDTF">2015-07-13T07:17:23Z</dcterms:created>
  <dcterms:modified xsi:type="dcterms:W3CDTF">2017-11-24T04:52:12Z</dcterms:modified>
</cp:coreProperties>
</file>