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郫都区421亩收并购资料\结果\"/>
    </mc:Choice>
  </mc:AlternateContent>
  <bookViews>
    <workbookView xWindow="480" yWindow="210"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信息" sheetId="68" r:id="rId18"/>
    <sheet name="数据" sheetId="69" r:id="rId19"/>
    <sheet name="土地案例" sheetId="70"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r:id="rId35"/>
    <sheet name="不动产收益法" sheetId="15" r:id="rId36"/>
    <sheet name="住宅案例" sheetId="7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'比较法-住宅、综合'!$A$1:$K$55</definedName>
    <definedName name="_xlnm.Print_Area" localSheetId="14">估价对象房地状况!$A$1:$G$24</definedName>
    <definedName name="_xlnm.Print_Area" localSheetId="16">结果表!$A$1:$I$115</definedName>
    <definedName name="_xlnm.Print_Area" localSheetId="12">'数据-汇总表'!$A$1:$I$32</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66" l="1"/>
  <c r="B15" i="66"/>
  <c r="D15" i="66" l="1"/>
  <c r="G15" i="66" s="1"/>
  <c r="I15" i="66" l="1"/>
  <c r="C51" i="68" l="1"/>
  <c r="C44" i="68"/>
  <c r="C36" i="68"/>
  <c r="C59" i="68"/>
  <c r="G68" i="68"/>
  <c r="H68" i="68"/>
  <c r="I68" i="68"/>
  <c r="F68" i="68"/>
  <c r="F59" i="68"/>
  <c r="F51" i="68"/>
  <c r="F44" i="68"/>
  <c r="F36" i="68"/>
  <c r="L30" i="69"/>
  <c r="B17" i="66" l="1"/>
  <c r="C17" i="66"/>
  <c r="C33" i="21" l="1"/>
  <c r="E48" i="39" l="1"/>
  <c r="G48" i="39"/>
  <c r="I48" i="39"/>
  <c r="L11" i="69" l="1"/>
  <c r="J1" i="69" l="1"/>
  <c r="C16" i="66"/>
  <c r="B16" i="66"/>
  <c r="I2" i="69" l="1"/>
  <c r="H2" i="69"/>
  <c r="G2" i="69"/>
  <c r="F2" i="69"/>
  <c r="L14" i="1" l="1"/>
  <c r="J2" i="69" l="1"/>
  <c r="D59" i="21"/>
  <c r="E59" i="21" s="1"/>
  <c r="F59" i="21" s="1"/>
  <c r="G59" i="21" s="1"/>
  <c r="H59" i="21" s="1"/>
  <c r="I59" i="21" s="1"/>
  <c r="J59" i="21" s="1"/>
  <c r="K59" i="21" s="1"/>
  <c r="L59" i="21" s="1"/>
  <c r="M59" i="21" s="1"/>
  <c r="N59" i="21" s="1"/>
  <c r="O59" i="21" s="1"/>
  <c r="G7" i="21"/>
  <c r="I40" i="39" l="1"/>
  <c r="G40" i="39"/>
  <c r="E40" i="39"/>
  <c r="I13" i="39"/>
  <c r="G13" i="39"/>
  <c r="E13" i="39"/>
  <c r="D73" i="39"/>
  <c r="E73" i="39" s="1"/>
  <c r="F73" i="39" s="1"/>
  <c r="G73" i="39" s="1"/>
  <c r="H73" i="39" s="1"/>
  <c r="I73" i="39" s="1"/>
  <c r="J73" i="39" s="1"/>
  <c r="K73" i="39" s="1"/>
  <c r="L73" i="39" s="1"/>
  <c r="M73" i="39" s="1"/>
  <c r="N73" i="39" s="1"/>
  <c r="I9" i="39"/>
  <c r="G9" i="39"/>
  <c r="E9" i="39"/>
  <c r="I7" i="39"/>
  <c r="G7" i="39"/>
  <c r="E7" i="39"/>
  <c r="M2" i="70"/>
  <c r="M3" i="70"/>
  <c r="M4" i="70" l="1"/>
  <c r="M5" i="70"/>
  <c r="M6" i="70"/>
  <c r="M7" i="70"/>
  <c r="M8" i="70"/>
  <c r="M9" i="70"/>
  <c r="M10" i="70"/>
  <c r="M11" i="70"/>
  <c r="M12" i="70"/>
  <c r="M13" i="70"/>
  <c r="M14" i="70"/>
  <c r="M15" i="70"/>
  <c r="M16" i="70"/>
  <c r="M17" i="70"/>
  <c r="M18" i="70"/>
  <c r="M19" i="70"/>
  <c r="M20" i="70"/>
  <c r="M21" i="70"/>
  <c r="M22" i="70"/>
  <c r="M23" i="70"/>
  <c r="M24" i="70"/>
  <c r="M25" i="70"/>
  <c r="M26" i="70"/>
  <c r="M27" i="70"/>
  <c r="M28" i="70"/>
  <c r="M29" i="70"/>
  <c r="M30" i="70"/>
  <c r="M31" i="70"/>
  <c r="M32" i="70"/>
  <c r="M33" i="70"/>
  <c r="M34" i="70"/>
  <c r="G3" i="70"/>
  <c r="G4" i="70"/>
  <c r="G5" i="70"/>
  <c r="G6" i="70"/>
  <c r="G7" i="70"/>
  <c r="G8" i="70"/>
  <c r="G9" i="70"/>
  <c r="G10" i="70"/>
  <c r="G11" i="70"/>
  <c r="G12" i="70"/>
  <c r="G13" i="70"/>
  <c r="G14" i="70"/>
  <c r="G15" i="70"/>
  <c r="G16" i="70"/>
  <c r="G17" i="70"/>
  <c r="G18" i="70"/>
  <c r="G19" i="70"/>
  <c r="G20" i="70"/>
  <c r="G21" i="70"/>
  <c r="G22" i="70"/>
  <c r="G23" i="70"/>
  <c r="G24" i="70"/>
  <c r="G25" i="70"/>
  <c r="G26" i="70"/>
  <c r="G27" i="70"/>
  <c r="G28" i="70"/>
  <c r="G29" i="70"/>
  <c r="G30" i="70"/>
  <c r="G31" i="70"/>
  <c r="G32" i="70"/>
  <c r="G33" i="70"/>
  <c r="G34" i="70"/>
  <c r="G2" i="70"/>
  <c r="L7" i="1" l="1"/>
  <c r="G21" i="6"/>
  <c r="F20" i="6"/>
  <c r="F19" i="6"/>
  <c r="I6" i="69"/>
  <c r="I5" i="69"/>
  <c r="I30" i="69"/>
  <c r="H5" i="69"/>
  <c r="J5" i="69"/>
  <c r="G5" i="69"/>
  <c r="G30" i="69"/>
  <c r="J7" i="69"/>
  <c r="J6" i="69"/>
  <c r="J13" i="69"/>
  <c r="I7" i="69"/>
  <c r="H7" i="69"/>
  <c r="G7" i="69"/>
  <c r="H6" i="69"/>
  <c r="G6" i="69"/>
  <c r="H13" i="69"/>
  <c r="I13" i="69"/>
  <c r="G13" i="69"/>
  <c r="J30" i="69"/>
  <c r="H30" i="69" l="1"/>
  <c r="AJ13" i="3"/>
  <c r="AN13" i="3"/>
  <c r="AL13" i="3"/>
  <c r="AH13" i="3"/>
  <c r="M13" i="3"/>
  <c r="K13" i="3"/>
  <c r="I13" i="3"/>
  <c r="A3" i="3"/>
  <c r="C40" i="39" s="1"/>
  <c r="E17" i="4"/>
  <c r="D17" i="4"/>
  <c r="C11" i="4" l="1"/>
  <c r="D3" i="4"/>
  <c r="N65" i="69"/>
  <c r="P64" i="69"/>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B66" i="63" s="1"/>
  <c r="A10" i="55"/>
  <c r="A9" i="55"/>
  <c r="A8" i="55"/>
  <c r="A6" i="54"/>
  <c r="B49" i="63" s="1"/>
  <c r="A8" i="54"/>
  <c r="A7" i="54"/>
  <c r="A27" i="51"/>
  <c r="Q11" i="59"/>
  <c r="O11" i="59"/>
  <c r="N12" i="59"/>
  <c r="O12" i="59"/>
  <c r="P12" i="59"/>
  <c r="Q12" i="59"/>
  <c r="N11" i="59"/>
  <c r="P11" i="59"/>
  <c r="K75" i="9"/>
  <c r="K6" i="4"/>
  <c r="O76" i="9" s="1"/>
  <c r="L76" i="9"/>
  <c r="B22" i="31"/>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K39" i="9" s="1"/>
  <c r="C57" i="10"/>
  <c r="A28" i="51" s="1"/>
  <c r="B21" i="63" s="1"/>
  <c r="C56" i="10"/>
  <c r="C55" i="10"/>
  <c r="C54" i="10"/>
  <c r="A26" i="64" s="1"/>
  <c r="B44" i="63"/>
  <c r="B40" i="63"/>
  <c r="B30" i="63"/>
  <c r="B27" i="63"/>
  <c r="B25" i="63"/>
  <c r="A11" i="51"/>
  <c r="B10" i="63" s="1"/>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A9" i="51" s="1"/>
  <c r="B9" i="63" s="1"/>
  <c r="B20" i="63"/>
  <c r="B17" i="63"/>
  <c r="A15" i="51"/>
  <c r="B12" i="63" s="1"/>
  <c r="A14" i="51"/>
  <c r="B11" i="63" s="1"/>
  <c r="A4" i="55"/>
  <c r="B57" i="63"/>
  <c r="G5" i="54"/>
  <c r="B34" i="63" s="1"/>
  <c r="E5" i="54"/>
  <c r="B32" i="63" s="1"/>
  <c r="R2" i="54"/>
  <c r="B24" i="63" s="1"/>
  <c r="B49" i="50"/>
  <c r="B5" i="63" s="1"/>
  <c r="B40" i="50"/>
  <c r="B3" i="63" s="1"/>
  <c r="I19" i="46"/>
  <c r="Q13" i="59"/>
  <c r="P13" i="59"/>
  <c r="E13" i="59" s="1"/>
  <c r="O13" i="59"/>
  <c r="N13" i="59"/>
  <c r="B13" i="59" s="1"/>
  <c r="D74" i="59"/>
  <c r="F73" i="59"/>
  <c r="E73" i="59"/>
  <c r="E72" i="59" s="1"/>
  <c r="E71" i="59"/>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P52" i="59" s="1"/>
  <c r="C53" i="59"/>
  <c r="B53" i="59"/>
  <c r="F52" i="59"/>
  <c r="F51" i="59" s="1"/>
  <c r="Q51" i="59" s="1"/>
  <c r="Q50" i="59"/>
  <c r="D50" i="59"/>
  <c r="Q49" i="59"/>
  <c r="P49" i="59"/>
  <c r="O49" i="59"/>
  <c r="N49" i="59"/>
  <c r="Q48" i="59"/>
  <c r="P48" i="59"/>
  <c r="O48" i="59"/>
  <c r="N48" i="59"/>
  <c r="Q47" i="59"/>
  <c r="P47" i="59"/>
  <c r="O47" i="59"/>
  <c r="N47" i="59"/>
  <c r="Q46" i="59"/>
  <c r="F47"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C40" i="59" s="1"/>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F36" i="59" s="1"/>
  <c r="F37" i="59"/>
  <c r="V37" i="59" s="1"/>
  <c r="P34" i="59"/>
  <c r="E35" i="59" s="1"/>
  <c r="O34" i="59"/>
  <c r="C35" i="59" s="1"/>
  <c r="C36" i="59" s="1"/>
  <c r="N34" i="59"/>
  <c r="B35"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c r="B33" i="59" s="1"/>
  <c r="S33" i="59" s="1"/>
  <c r="D30" i="59"/>
  <c r="Q29" i="59"/>
  <c r="P29" i="59"/>
  <c r="O29" i="59"/>
  <c r="N29" i="59"/>
  <c r="Q28" i="59"/>
  <c r="P28" i="59"/>
  <c r="O28" i="59"/>
  <c r="N28" i="59"/>
  <c r="Q27" i="59"/>
  <c r="P27" i="59"/>
  <c r="O27" i="59"/>
  <c r="N27" i="59"/>
  <c r="Q26" i="59"/>
  <c r="F27" i="59" s="1"/>
  <c r="P26" i="59"/>
  <c r="E27" i="59" s="1"/>
  <c r="E28" i="59" s="1"/>
  <c r="E29" i="59" s="1"/>
  <c r="U29" i="59" s="1"/>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E23" i="59"/>
  <c r="E24" i="59" s="1"/>
  <c r="E25" i="59"/>
  <c r="U25" i="59" s="1"/>
  <c r="O22" i="59"/>
  <c r="N22" i="59"/>
  <c r="D22" i="59"/>
  <c r="Q21" i="59"/>
  <c r="AB21" i="59" s="1"/>
  <c r="P21" i="59"/>
  <c r="O21" i="59"/>
  <c r="Y21" i="59" s="1"/>
  <c r="Z21" i="59" s="1"/>
  <c r="N21" i="59"/>
  <c r="Q20" i="59"/>
  <c r="AB20" i="59" s="1"/>
  <c r="P20" i="59"/>
  <c r="AA20" i="59" s="1"/>
  <c r="O20" i="59"/>
  <c r="Y20" i="59" s="1"/>
  <c r="Z20" i="59" s="1"/>
  <c r="N20" i="59"/>
  <c r="Q19" i="59"/>
  <c r="AB19" i="59" s="1"/>
  <c r="P19" i="59"/>
  <c r="O19" i="59"/>
  <c r="Y19" i="59" s="1"/>
  <c r="Z19" i="59" s="1"/>
  <c r="N19" i="59"/>
  <c r="Q18" i="59"/>
  <c r="P18" i="59"/>
  <c r="O18" i="59"/>
  <c r="Y18" i="59" s="1"/>
  <c r="Z18" i="59" s="1"/>
  <c r="C19" i="59"/>
  <c r="N18" i="59"/>
  <c r="B19" i="59"/>
  <c r="B20" i="59" s="1"/>
  <c r="B21" i="59"/>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3" i="59"/>
  <c r="AB11" i="59"/>
  <c r="E15" i="59"/>
  <c r="E16" i="59"/>
  <c r="E17" i="59" s="1"/>
  <c r="U17" i="59" s="1"/>
  <c r="B36" i="59"/>
  <c r="B37" i="59"/>
  <c r="S37" i="59" s="1"/>
  <c r="E36" i="59"/>
  <c r="E37" i="59" s="1"/>
  <c r="U37" i="59" s="1"/>
  <c r="S53" i="59"/>
  <c r="Z23" i="59"/>
  <c r="AA24" i="59"/>
  <c r="F16" i="59"/>
  <c r="F17" i="59" s="1"/>
  <c r="V17" i="59" s="1"/>
  <c r="F24" i="59"/>
  <c r="F25" i="59" s="1"/>
  <c r="V25" i="59" s="1"/>
  <c r="F28" i="59"/>
  <c r="F29" i="59"/>
  <c r="V29" i="59" s="1"/>
  <c r="F32" i="59"/>
  <c r="F33" i="59" s="1"/>
  <c r="V33" i="59" s="1"/>
  <c r="F44" i="59"/>
  <c r="F45" i="59" s="1"/>
  <c r="V45" i="59" s="1"/>
  <c r="F48" i="59"/>
  <c r="F49" i="59"/>
  <c r="V49" i="59" s="1"/>
  <c r="C28" i="59"/>
  <c r="D28" i="59" s="1"/>
  <c r="C32" i="59"/>
  <c r="D32" i="59" s="1"/>
  <c r="D31" i="59"/>
  <c r="D35" i="59"/>
  <c r="D39" i="59"/>
  <c r="C44" i="59"/>
  <c r="D43" i="59"/>
  <c r="C48" i="59"/>
  <c r="D47" i="59"/>
  <c r="D19" i="59"/>
  <c r="E51"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R16" i="4" s="1"/>
  <c r="O16" i="4"/>
  <c r="M16" i="4"/>
  <c r="N16" i="4" s="1"/>
  <c r="K16" i="4"/>
  <c r="P50" i="59"/>
  <c r="P51" i="59"/>
  <c r="D72" i="59"/>
  <c r="C71" i="59"/>
  <c r="D71" i="59"/>
  <c r="C63" i="59"/>
  <c r="D63" i="59" s="1"/>
  <c r="D56" i="59"/>
  <c r="O52" i="59"/>
  <c r="D68" i="59"/>
  <c r="C59" i="59"/>
  <c r="D59" i="59" s="1"/>
  <c r="C49" i="59"/>
  <c r="D49" i="59" s="1"/>
  <c r="D48" i="59"/>
  <c r="D44" i="59"/>
  <c r="C45" i="59"/>
  <c r="C29" i="59"/>
  <c r="D29" i="59" s="1"/>
  <c r="T45" i="59"/>
  <c r="D45" i="59"/>
  <c r="T29" i="59"/>
  <c r="T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31" i="39"/>
  <c r="E66" i="36"/>
  <c r="H18" i="35"/>
  <c r="J18" i="35"/>
  <c r="H21" i="37"/>
  <c r="J21" i="37"/>
  <c r="E84" i="34"/>
  <c r="F84" i="34" s="1"/>
  <c r="G84" i="34" s="1"/>
  <c r="J21" i="34"/>
  <c r="H21" i="34"/>
  <c r="F21" i="33"/>
  <c r="H21" i="33"/>
  <c r="J21" i="33"/>
  <c r="H21" i="21"/>
  <c r="U21" i="21" s="1"/>
  <c r="J21" i="21"/>
  <c r="W21" i="21" s="1"/>
  <c r="H27" i="40"/>
  <c r="H31" i="39"/>
  <c r="AB31" i="39" s="1"/>
  <c r="F23" i="15"/>
  <c r="D22" i="15"/>
  <c r="G17" i="11"/>
  <c r="D23" i="15"/>
  <c r="F15" i="15"/>
  <c r="F17" i="15"/>
  <c r="F18" i="15"/>
  <c r="F20" i="15"/>
  <c r="F21" i="15"/>
  <c r="F33" i="15"/>
  <c r="F60" i="15" s="1"/>
  <c r="K2" i="4"/>
  <c r="A4" i="64"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F3" i="35" s="1"/>
  <c r="T4" i="1"/>
  <c r="K12" i="1"/>
  <c r="M12" i="1" s="1"/>
  <c r="O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c r="A3" i="51"/>
  <c r="R41" i="4"/>
  <c r="Q41" i="4"/>
  <c r="P41" i="4"/>
  <c r="O41" i="4"/>
  <c r="N41" i="4"/>
  <c r="M41" i="4"/>
  <c r="L41" i="4"/>
  <c r="K40" i="4"/>
  <c r="T40" i="4" s="1"/>
  <c r="F23" i="4"/>
  <c r="D19" i="4"/>
  <c r="C12" i="39" s="1"/>
  <c r="I19" i="4"/>
  <c r="H19" i="4"/>
  <c r="G19" i="4"/>
  <c r="F9" i="1"/>
  <c r="AP9" i="1" s="1"/>
  <c r="F19" i="4"/>
  <c r="F8" i="1"/>
  <c r="AP8" i="1" s="1"/>
  <c r="E19" i="4"/>
  <c r="F7" i="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c r="C9" i="46"/>
  <c r="E19" i="6"/>
  <c r="E32" i="6"/>
  <c r="E20" i="6"/>
  <c r="E21" i="6"/>
  <c r="K8" i="1" s="1"/>
  <c r="M8" i="1" s="1"/>
  <c r="O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B5" i="3" s="1"/>
  <c r="BR13" i="3"/>
  <c r="BR5" i="3" s="1"/>
  <c r="G28" i="6" s="1"/>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L491" i="3" s="1"/>
  <c r="AZ491" i="3" s="1"/>
  <c r="BO491" i="3"/>
  <c r="BP491" i="3"/>
  <c r="BQ491" i="3"/>
  <c r="BR491" i="3"/>
  <c r="BS491" i="3"/>
  <c r="BT491" i="3"/>
  <c r="H492" i="3"/>
  <c r="AC492" i="3"/>
  <c r="G492" i="3" s="1"/>
  <c r="BB492" i="3"/>
  <c r="BC492" i="3"/>
  <c r="BD492" i="3"/>
  <c r="BE492" i="3"/>
  <c r="BF492" i="3"/>
  <c r="BG492" i="3"/>
  <c r="BH492" i="3"/>
  <c r="BI492" i="3"/>
  <c r="BJ492" i="3"/>
  <c r="BK492" i="3"/>
  <c r="BM492" i="3"/>
  <c r="BN492" i="3"/>
  <c r="BL492" i="3" s="1"/>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AZ505" i="3" s="1"/>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L514" i="3" s="1"/>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A516" i="3" s="1"/>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D98" i="40"/>
  <c r="E98" i="40"/>
  <c r="B97" i="40"/>
  <c r="D94" i="40"/>
  <c r="D92" i="40"/>
  <c r="D90" i="40"/>
  <c r="E90" i="40" s="1"/>
  <c r="H21" i="40"/>
  <c r="AB21" i="40"/>
  <c r="D88" i="40"/>
  <c r="E88" i="40"/>
  <c r="D86" i="40"/>
  <c r="E86" i="40"/>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C20" i="36"/>
  <c r="C20" i="35"/>
  <c r="C16" i="36"/>
  <c r="C16" i="35"/>
  <c r="C14" i="36"/>
  <c r="C14" i="35"/>
  <c r="B80" i="37"/>
  <c r="B110" i="37"/>
  <c r="J39" i="37"/>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F11" i="35" s="1"/>
  <c r="S11" i="35" s="1"/>
  <c r="B61" i="35"/>
  <c r="B59" i="35"/>
  <c r="B131" i="34"/>
  <c r="B129" i="34"/>
  <c r="B127" i="34"/>
  <c r="B99" i="34"/>
  <c r="B97" i="34"/>
  <c r="B95" i="34"/>
  <c r="B93" i="34"/>
  <c r="B75" i="34"/>
  <c r="B73" i="34"/>
  <c r="B71" i="34"/>
  <c r="B130" i="33"/>
  <c r="B128" i="33"/>
  <c r="H45" i="33"/>
  <c r="U45" i="33" s="1"/>
  <c r="B126" i="33"/>
  <c r="H44" i="33" s="1"/>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M102" i="21"/>
  <c r="D102" i="21"/>
  <c r="E102" i="21"/>
  <c r="F102" i="21"/>
  <c r="G102" i="21"/>
  <c r="H102" i="21"/>
  <c r="I102" i="21"/>
  <c r="J102" i="21"/>
  <c r="K102" i="21"/>
  <c r="L102" i="21"/>
  <c r="C102" i="21"/>
  <c r="C63" i="21"/>
  <c r="F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B130" i="21"/>
  <c r="B128" i="21"/>
  <c r="J45" i="21" s="1"/>
  <c r="W45" i="21" s="1"/>
  <c r="B126" i="21"/>
  <c r="B98" i="21"/>
  <c r="H31" i="21" s="1"/>
  <c r="B96" i="21"/>
  <c r="B94" i="21"/>
  <c r="J29" i="21" s="1"/>
  <c r="B92" i="21"/>
  <c r="J28" i="21" s="1"/>
  <c r="B90" i="21"/>
  <c r="B74" i="21"/>
  <c r="J14" i="21" s="1"/>
  <c r="AC14" i="21" s="1"/>
  <c r="B72" i="21"/>
  <c r="H13" i="21" s="1"/>
  <c r="B70" i="2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H5" i="3" s="1"/>
  <c r="BI13" i="3"/>
  <c r="BI5" i="3"/>
  <c r="BJ13" i="3"/>
  <c r="BK13" i="3"/>
  <c r="BK5" i="3" s="1"/>
  <c r="BM13" i="3"/>
  <c r="BN13" i="3"/>
  <c r="BO13" i="3"/>
  <c r="BP13" i="3"/>
  <c r="BP5" i="3" s="1"/>
  <c r="G29" i="6" s="1"/>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10" i="21"/>
  <c r="U10" i="21" s="1"/>
  <c r="H39" i="21"/>
  <c r="AB39" i="21" s="1"/>
  <c r="J34" i="21"/>
  <c r="W34" i="21" s="1"/>
  <c r="H36" i="21"/>
  <c r="U36" i="21" s="1"/>
  <c r="F35" i="21"/>
  <c r="AA35" i="21" s="1"/>
  <c r="J33" i="21"/>
  <c r="H33" i="21"/>
  <c r="U33" i="21" s="1"/>
  <c r="F33" i="21"/>
  <c r="S33" i="21" s="1"/>
  <c r="J10" i="21"/>
  <c r="AC10" i="21" s="1"/>
  <c r="H26" i="21"/>
  <c r="AB26" i="21" s="1"/>
  <c r="H19" i="21"/>
  <c r="AB19" i="21" s="1"/>
  <c r="J12" i="21"/>
  <c r="W12" i="21" s="1"/>
  <c r="J26" i="21"/>
  <c r="W26" i="21" s="1"/>
  <c r="F26" i="21"/>
  <c r="AA26" i="21" s="1"/>
  <c r="AB41" i="21"/>
  <c r="S41" i="21"/>
  <c r="AA41" i="21"/>
  <c r="U30" i="37"/>
  <c r="E103" i="37"/>
  <c r="F103" i="37"/>
  <c r="G103" i="37" s="1"/>
  <c r="F39" i="37"/>
  <c r="S39" i="37"/>
  <c r="W39" i="37"/>
  <c r="F29" i="36"/>
  <c r="AA29" i="36" s="1"/>
  <c r="F16" i="36"/>
  <c r="AA16" i="36" s="1"/>
  <c r="W22" i="36"/>
  <c r="AC31" i="36"/>
  <c r="J33" i="36"/>
  <c r="W33" i="36"/>
  <c r="AC27" i="35"/>
  <c r="W36" i="35"/>
  <c r="W24" i="35"/>
  <c r="S31" i="35"/>
  <c r="W31" i="35"/>
  <c r="F36" i="34"/>
  <c r="S36" i="34"/>
  <c r="W9" i="34"/>
  <c r="S34" i="34"/>
  <c r="H39" i="33"/>
  <c r="AB39" i="33" s="1"/>
  <c r="F26" i="33"/>
  <c r="AA26" i="33" s="1"/>
  <c r="W38" i="33"/>
  <c r="U38" i="33"/>
  <c r="S8" i="21"/>
  <c r="H39" i="37"/>
  <c r="AB39" i="37"/>
  <c r="AB27" i="35"/>
  <c r="S10" i="40"/>
  <c r="W10" i="40"/>
  <c r="S11" i="40"/>
  <c r="U11" i="40"/>
  <c r="S36" i="40"/>
  <c r="U36" i="40"/>
  <c r="S36" i="39"/>
  <c r="C29" i="39"/>
  <c r="U36" i="39"/>
  <c r="H32" i="33"/>
  <c r="F100"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H16" i="35"/>
  <c r="H33" i="35"/>
  <c r="AB33" i="35" s="1"/>
  <c r="W8" i="35"/>
  <c r="F35" i="37"/>
  <c r="F101" i="37"/>
  <c r="G101" i="37" s="1"/>
  <c r="H101" i="37" s="1"/>
  <c r="I101" i="37" s="1"/>
  <c r="J101" i="37" s="1"/>
  <c r="K101" i="37" s="1"/>
  <c r="L101" i="37" s="1"/>
  <c r="M101" i="37" s="1"/>
  <c r="J34" i="37"/>
  <c r="W34" i="37" s="1"/>
  <c r="AA39" i="37"/>
  <c r="H43" i="34"/>
  <c r="U42" i="34"/>
  <c r="E114" i="34"/>
  <c r="H36" i="34"/>
  <c r="F37" i="34"/>
  <c r="AA37" i="34" s="1"/>
  <c r="F33" i="34"/>
  <c r="S33" i="34" s="1"/>
  <c r="AA28" i="34"/>
  <c r="F19" i="34"/>
  <c r="AA19" i="34"/>
  <c r="J10" i="34"/>
  <c r="AC10" i="34"/>
  <c r="U9" i="34"/>
  <c r="W8" i="34"/>
  <c r="J28" i="34"/>
  <c r="W28" i="34"/>
  <c r="E113" i="33"/>
  <c r="F36" i="33"/>
  <c r="S36" i="33"/>
  <c r="F19" i="33"/>
  <c r="S19" i="33"/>
  <c r="J19" i="33"/>
  <c r="G86" i="40"/>
  <c r="AB30" i="36"/>
  <c r="AC34" i="36"/>
  <c r="H29" i="35"/>
  <c r="AB29" i="35" s="1"/>
  <c r="U34" i="37"/>
  <c r="S34" i="37"/>
  <c r="AA34" i="37"/>
  <c r="AC43" i="34"/>
  <c r="AB42" i="34"/>
  <c r="AB40" i="34"/>
  <c r="J19" i="34"/>
  <c r="AC19" i="34" s="1"/>
  <c r="F113" i="33"/>
  <c r="G113" i="33" s="1"/>
  <c r="H113" i="33" s="1"/>
  <c r="I113" i="33" s="1"/>
  <c r="J113" i="33" s="1"/>
  <c r="K113" i="33" s="1"/>
  <c r="L113" i="33" s="1"/>
  <c r="M113" i="33" s="1"/>
  <c r="H37" i="33"/>
  <c r="AB37" i="33" s="1"/>
  <c r="W43" i="34"/>
  <c r="AC42" i="34"/>
  <c r="W42" i="34"/>
  <c r="AA42" i="34"/>
  <c r="S42" i="34"/>
  <c r="AC38" i="34"/>
  <c r="W38" i="34"/>
  <c r="AA38" i="34"/>
  <c r="S38" i="34"/>
  <c r="J37" i="33"/>
  <c r="J42" i="21"/>
  <c r="AC42" i="21" s="1"/>
  <c r="J44" i="34"/>
  <c r="AC44" i="34" s="1"/>
  <c r="F44" i="34"/>
  <c r="S44" i="34" s="1"/>
  <c r="J10" i="35"/>
  <c r="W10" i="35" s="1"/>
  <c r="AL5" i="3"/>
  <c r="BQ13" i="3"/>
  <c r="BQ5" i="3" s="1"/>
  <c r="F28" i="6" s="1"/>
  <c r="F14" i="21"/>
  <c r="AA14" i="21" s="1"/>
  <c r="H14" i="21"/>
  <c r="H28" i="21"/>
  <c r="F28" i="21"/>
  <c r="S28" i="21" s="1"/>
  <c r="AC28"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J13" i="21"/>
  <c r="AC13" i="21" s="1"/>
  <c r="H27" i="21"/>
  <c r="AB27" i="21" s="1"/>
  <c r="J27" i="21"/>
  <c r="W27" i="21" s="1"/>
  <c r="F27" i="21"/>
  <c r="AA27" i="21" s="1"/>
  <c r="H29" i="21"/>
  <c r="U29" i="21" s="1"/>
  <c r="J31" i="21"/>
  <c r="AC31" i="21" s="1"/>
  <c r="F31" i="21"/>
  <c r="S31" i="21" s="1"/>
  <c r="F45" i="21"/>
  <c r="J27" i="33"/>
  <c r="AC27" i="33" s="1"/>
  <c r="F27" i="33"/>
  <c r="F13" i="33"/>
  <c r="S13" i="33" s="1"/>
  <c r="J29" i="33"/>
  <c r="J31" i="33"/>
  <c r="AC31" i="33" s="1"/>
  <c r="H31" i="33"/>
  <c r="U31" i="33" s="1"/>
  <c r="S31" i="33"/>
  <c r="J45" i="33"/>
  <c r="W45" i="33"/>
  <c r="F45" i="33"/>
  <c r="S45" i="33"/>
  <c r="H28" i="36"/>
  <c r="U28" i="36"/>
  <c r="H32" i="36"/>
  <c r="AB32" i="36"/>
  <c r="J32" i="36"/>
  <c r="J11" i="36"/>
  <c r="H13" i="36"/>
  <c r="AB13" i="36" s="1"/>
  <c r="J13" i="36"/>
  <c r="W13" i="36" s="1"/>
  <c r="F13" i="36"/>
  <c r="S13" i="36" s="1"/>
  <c r="J29" i="37"/>
  <c r="W29" i="37"/>
  <c r="F29" i="37"/>
  <c r="AA29" i="37"/>
  <c r="F105" i="37"/>
  <c r="J37" i="37"/>
  <c r="H37" i="37"/>
  <c r="U37" i="37" s="1"/>
  <c r="H40" i="37"/>
  <c r="J40" i="37"/>
  <c r="F40" i="37"/>
  <c r="AA40" i="37"/>
  <c r="H14" i="33"/>
  <c r="U14" i="33"/>
  <c r="F14" i="33"/>
  <c r="AA14" i="33"/>
  <c r="J14" i="33"/>
  <c r="AC14" i="33"/>
  <c r="H30" i="33"/>
  <c r="AB30" i="33"/>
  <c r="F30" i="33"/>
  <c r="S30" i="33"/>
  <c r="J30" i="33"/>
  <c r="J44" i="33"/>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AA45" i="34" s="1"/>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J14" i="37"/>
  <c r="W14" i="37" s="1"/>
  <c r="J27" i="37"/>
  <c r="W27" i="37" s="1"/>
  <c r="AB13" i="35"/>
  <c r="U30" i="33"/>
  <c r="J36" i="37"/>
  <c r="AC36" i="37" s="1"/>
  <c r="G105" i="37"/>
  <c r="AB28" i="36"/>
  <c r="S46" i="21"/>
  <c r="AA28" i="21"/>
  <c r="W14" i="21"/>
  <c r="S46" i="33"/>
  <c r="AC13" i="36"/>
  <c r="AB45" i="33"/>
  <c r="AB31" i="33"/>
  <c r="AB27" i="33"/>
  <c r="AC28" i="33"/>
  <c r="G529" i="3"/>
  <c r="G521" i="3"/>
  <c r="G508" i="3"/>
  <c r="G17" i="3"/>
  <c r="G557" i="3"/>
  <c r="G549" i="3"/>
  <c r="G545" i="3"/>
  <c r="BL569" i="3"/>
  <c r="BL557" i="3"/>
  <c r="BL553" i="3"/>
  <c r="BL545" i="3"/>
  <c r="BL535" i="3"/>
  <c r="BL527" i="3"/>
  <c r="BL519" i="3"/>
  <c r="BL511" i="3"/>
  <c r="G16" i="3"/>
  <c r="BL555" i="3"/>
  <c r="BL541" i="3"/>
  <c r="BL533" i="3"/>
  <c r="G514" i="3"/>
  <c r="G510" i="3"/>
  <c r="BL503" i="3"/>
  <c r="BL495" i="3"/>
  <c r="BL485" i="3"/>
  <c r="G18" i="3"/>
  <c r="BA569" i="3"/>
  <c r="AZ569" i="3" s="1"/>
  <c r="BA559" i="3"/>
  <c r="BA557" i="3"/>
  <c r="AZ557" i="3"/>
  <c r="BA555" i="3"/>
  <c r="AZ555" i="3"/>
  <c r="BA545" i="3"/>
  <c r="BA543" i="3"/>
  <c r="BA541" i="3"/>
  <c r="AZ541" i="3"/>
  <c r="BA531" i="3"/>
  <c r="BA521" i="3"/>
  <c r="BA509" i="3"/>
  <c r="BA493" i="3"/>
  <c r="BA487" i="3"/>
  <c r="BA19" i="3"/>
  <c r="BA572" i="3"/>
  <c r="BA562" i="3"/>
  <c r="BA558" i="3"/>
  <c r="BA556" i="3"/>
  <c r="BA554" i="3"/>
  <c r="BA550" i="3"/>
  <c r="BA546" i="3"/>
  <c r="BA544" i="3"/>
  <c r="BA536" i="3"/>
  <c r="AZ536" i="3" s="1"/>
  <c r="BA528" i="3"/>
  <c r="BA520" i="3"/>
  <c r="BA508" i="3"/>
  <c r="BA492" i="3"/>
  <c r="BA488" i="3"/>
  <c r="BA20" i="3"/>
  <c r="AZ545" i="3"/>
  <c r="G558" i="3"/>
  <c r="G556" i="3"/>
  <c r="G554" i="3"/>
  <c r="G550" i="3"/>
  <c r="G546" i="3"/>
  <c r="BL543" i="3"/>
  <c r="AZ543" i="3"/>
  <c r="BA542" i="3"/>
  <c r="AC542" i="3"/>
  <c r="G542" i="3" s="1"/>
  <c r="BQ542" i="3"/>
  <c r="BL542" i="3" s="1"/>
  <c r="AZ542" i="3"/>
  <c r="BQ568" i="3"/>
  <c r="BQ566" i="3"/>
  <c r="BL566" i="3" s="1"/>
  <c r="BQ564" i="3"/>
  <c r="BL564" i="3"/>
  <c r="BQ562" i="3"/>
  <c r="BL562" i="3"/>
  <c r="BQ560" i="3"/>
  <c r="BQ558" i="3"/>
  <c r="BL558" i="3" s="1"/>
  <c r="BQ556" i="3"/>
  <c r="BL556" i="3" s="1"/>
  <c r="AZ556" i="3"/>
  <c r="BQ554" i="3"/>
  <c r="BQ552" i="3"/>
  <c r="BQ550" i="3"/>
  <c r="BL550" i="3" s="1"/>
  <c r="AZ550" i="3" s="1"/>
  <c r="BQ548" i="3"/>
  <c r="BL548" i="3" s="1"/>
  <c r="BQ546" i="3"/>
  <c r="BL546" i="3"/>
  <c r="AZ546" i="3" s="1"/>
  <c r="BQ544" i="3"/>
  <c r="BL544" i="3"/>
  <c r="G544" i="3"/>
  <c r="G534" i="3"/>
  <c r="G530" i="3"/>
  <c r="G526" i="3"/>
  <c r="G522" i="3"/>
  <c r="BQ540" i="3"/>
  <c r="BQ538" i="3"/>
  <c r="BQ536" i="3"/>
  <c r="BQ534" i="3"/>
  <c r="BL534" i="3"/>
  <c r="BQ532" i="3"/>
  <c r="BL532" i="3"/>
  <c r="BQ530" i="3"/>
  <c r="BQ528" i="3"/>
  <c r="BQ526" i="3"/>
  <c r="BL526" i="3"/>
  <c r="BQ524" i="3"/>
  <c r="BL524" i="3"/>
  <c r="BQ522" i="3"/>
  <c r="BQ520" i="3"/>
  <c r="BL520" i="3" s="1"/>
  <c r="BQ518" i="3"/>
  <c r="BQ516" i="3"/>
  <c r="BQ514" i="3"/>
  <c r="BQ512" i="3"/>
  <c r="BQ510" i="3"/>
  <c r="BL510" i="3" s="1"/>
  <c r="BQ508" i="3"/>
  <c r="AC506" i="3"/>
  <c r="BQ506" i="3"/>
  <c r="BQ504" i="3"/>
  <c r="BQ502" i="3"/>
  <c r="BQ500" i="3"/>
  <c r="BQ498" i="3"/>
  <c r="BQ496" i="3"/>
  <c r="AC494" i="3"/>
  <c r="BQ494" i="3"/>
  <c r="G488" i="3"/>
  <c r="G20" i="3"/>
  <c r="BQ492" i="3"/>
  <c r="BQ490" i="3"/>
  <c r="BQ488" i="3"/>
  <c r="BL488" i="3" s="1"/>
  <c r="BQ486" i="3"/>
  <c r="BL486" i="3" s="1"/>
  <c r="BQ484" i="3"/>
  <c r="BL484" i="3"/>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F39" i="33"/>
  <c r="AA39"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H42" i="33"/>
  <c r="U42" i="33" s="1"/>
  <c r="J43" i="33"/>
  <c r="AC43" i="33" s="1"/>
  <c r="G79" i="37"/>
  <c r="J23" i="37"/>
  <c r="W23" i="37"/>
  <c r="F17" i="37"/>
  <c r="AA17" i="37"/>
  <c r="AB43" i="33"/>
  <c r="D3" i="21"/>
  <c r="AC33" i="36"/>
  <c r="AC23" i="37"/>
  <c r="U39" i="37"/>
  <c r="AC8" i="37"/>
  <c r="AB8" i="34"/>
  <c r="AC45" i="33"/>
  <c r="S39" i="33"/>
  <c r="F43" i="33"/>
  <c r="AA43" i="33" s="1"/>
  <c r="AA23" i="37"/>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s="1"/>
  <c r="K94" i="37" s="1"/>
  <c r="L94" i="37" s="1"/>
  <c r="M94" i="37" s="1"/>
  <c r="H31" i="37"/>
  <c r="AB31" i="37" s="1"/>
  <c r="J15" i="37"/>
  <c r="W15" i="37" s="1"/>
  <c r="U12" i="37"/>
  <c r="AB10" i="37"/>
  <c r="J11" i="37"/>
  <c r="W11" i="37" s="1"/>
  <c r="F21" i="40"/>
  <c r="S21" i="40" s="1"/>
  <c r="W36" i="40"/>
  <c r="U40" i="39"/>
  <c r="F90" i="40"/>
  <c r="G90" i="40" s="1"/>
  <c r="J21" i="40"/>
  <c r="AC21" i="40"/>
  <c r="S27" i="31"/>
  <c r="G483"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13" i="40"/>
  <c r="E78" i="40"/>
  <c r="F78" i="40" s="1"/>
  <c r="G78" i="40"/>
  <c r="H78" i="40" s="1"/>
  <c r="I78" i="40" s="1"/>
  <c r="J78" i="40" s="1"/>
  <c r="K78" i="40" s="1"/>
  <c r="L78" i="40" s="1"/>
  <c r="M78" i="40" s="1"/>
  <c r="P16" i="4"/>
  <c r="D3" i="35"/>
  <c r="G4" i="4"/>
  <c r="S37" i="34"/>
  <c r="J16" i="35"/>
  <c r="W16" i="35"/>
  <c r="AC26" i="36"/>
  <c r="AZ300" i="3"/>
  <c r="AZ322" i="3"/>
  <c r="AA36" i="35"/>
  <c r="H11" i="37"/>
  <c r="AB11" i="37"/>
  <c r="AA30" i="33"/>
  <c r="AB17" i="37"/>
  <c r="AA45" i="33"/>
  <c r="AC10" i="36"/>
  <c r="AC14" i="37"/>
  <c r="AC30" i="33"/>
  <c r="W30" i="33"/>
  <c r="AC29" i="37"/>
  <c r="W32" i="36"/>
  <c r="AC32" i="36"/>
  <c r="J33" i="34"/>
  <c r="AC33" i="34"/>
  <c r="J40" i="34"/>
  <c r="W40" i="34" s="1"/>
  <c r="F16" i="35"/>
  <c r="AA16" i="35" s="1"/>
  <c r="S24" i="36"/>
  <c r="W42" i="33"/>
  <c r="J35" i="34"/>
  <c r="W35" i="34" s="1"/>
  <c r="S30" i="36"/>
  <c r="H16" i="36"/>
  <c r="AB16" i="36"/>
  <c r="H103" i="37"/>
  <c r="I103" i="37" s="1"/>
  <c r="J103" i="37" s="1"/>
  <c r="K103" i="37" s="1"/>
  <c r="L103" i="37" s="1"/>
  <c r="M103" i="37" s="1"/>
  <c r="H35" i="37"/>
  <c r="AB35" i="37" s="1"/>
  <c r="S26" i="21"/>
  <c r="H32" i="21"/>
  <c r="U32" i="21" s="1"/>
  <c r="U26" i="21"/>
  <c r="J32" i="21"/>
  <c r="AC32" i="21" s="1"/>
  <c r="F17" i="21"/>
  <c r="S17" i="21" s="1"/>
  <c r="H17" i="21"/>
  <c r="AB17" i="21" s="1"/>
  <c r="J17" i="21"/>
  <c r="AC17" i="21" s="1"/>
  <c r="F40" i="21"/>
  <c r="S40" i="21" s="1"/>
  <c r="H40" i="21"/>
  <c r="AB40" i="21" s="1"/>
  <c r="E119" i="21"/>
  <c r="F119" i="21" s="1"/>
  <c r="G119" i="21"/>
  <c r="H119" i="21" s="1"/>
  <c r="I119" i="21" s="1"/>
  <c r="J119" i="21" s="1"/>
  <c r="K119" i="21" s="1"/>
  <c r="L119" i="21" s="1"/>
  <c r="M119" i="21" s="1"/>
  <c r="AA8" i="33"/>
  <c r="S8" i="33"/>
  <c r="H66" i="33"/>
  <c r="I66" i="33" s="1"/>
  <c r="F10" i="33"/>
  <c r="AA10" i="33"/>
  <c r="F11" i="33"/>
  <c r="S11" i="33"/>
  <c r="J15" i="33"/>
  <c r="W15" i="33"/>
  <c r="H19" i="33"/>
  <c r="AB19" i="33"/>
  <c r="F32" i="33"/>
  <c r="AA32" i="33"/>
  <c r="J32" i="33"/>
  <c r="AC32" i="33"/>
  <c r="F35" i="33"/>
  <c r="AA35" i="33"/>
  <c r="F11" i="34"/>
  <c r="S11" i="34" s="1"/>
  <c r="E80" i="34"/>
  <c r="F80" i="34" s="1"/>
  <c r="H17" i="34"/>
  <c r="AB17" i="34"/>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F96" i="37"/>
  <c r="H32" i="37"/>
  <c r="AB32" i="37" s="1"/>
  <c r="F19" i="39"/>
  <c r="S19" i="39" s="1"/>
  <c r="H19" i="39"/>
  <c r="AB19" i="39" s="1"/>
  <c r="J19" i="39"/>
  <c r="W19" i="39" s="1"/>
  <c r="F43" i="39"/>
  <c r="S43" i="39" s="1"/>
  <c r="H43" i="39"/>
  <c r="U43" i="39" s="1"/>
  <c r="J43" i="39"/>
  <c r="W43" i="39" s="1"/>
  <c r="F99" i="37"/>
  <c r="AC27" i="37"/>
  <c r="U25" i="35"/>
  <c r="S45" i="34"/>
  <c r="AC40" i="37"/>
  <c r="W40" i="37"/>
  <c r="W27" i="33"/>
  <c r="S28" i="33"/>
  <c r="AA44" i="34"/>
  <c r="U29" i="35"/>
  <c r="AC19" i="33"/>
  <c r="W19" i="33"/>
  <c r="U43" i="34"/>
  <c r="AB43" i="34"/>
  <c r="S35" i="37"/>
  <c r="AA35" i="37"/>
  <c r="AB10" i="35"/>
  <c r="U38" i="21"/>
  <c r="BL571" i="3"/>
  <c r="BA571" i="3"/>
  <c r="AZ571" i="3" s="1"/>
  <c r="BL570" i="3"/>
  <c r="BE5" i="3"/>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21" i="39"/>
  <c r="S21" i="39" s="1"/>
  <c r="H21" i="39"/>
  <c r="U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H39" i="39"/>
  <c r="AB39" i="39" s="1"/>
  <c r="J29" i="35"/>
  <c r="AC29" i="35"/>
  <c r="F29" i="35"/>
  <c r="S29" i="35"/>
  <c r="W30" i="36"/>
  <c r="AC30" i="36"/>
  <c r="F37" i="39"/>
  <c r="S37" i="39" s="1"/>
  <c r="H37" i="39"/>
  <c r="U37" i="39" s="1"/>
  <c r="J37" i="39"/>
  <c r="W37" i="39" s="1"/>
  <c r="BL568" i="3"/>
  <c r="BA568" i="3"/>
  <c r="AZ568" i="3" s="1"/>
  <c r="BL567" i="3"/>
  <c r="BA567" i="3"/>
  <c r="AZ567" i="3"/>
  <c r="BL565" i="3"/>
  <c r="BA564" i="3"/>
  <c r="AZ564" i="3"/>
  <c r="BA563" i="3"/>
  <c r="BL554" i="3"/>
  <c r="AZ554" i="3"/>
  <c r="BA553" i="3"/>
  <c r="AZ553" i="3"/>
  <c r="BA552" i="3"/>
  <c r="BL549" i="3"/>
  <c r="BA549" i="3"/>
  <c r="BA548" i="3"/>
  <c r="AZ548" i="3" s="1"/>
  <c r="BL547" i="3"/>
  <c r="BA547" i="3"/>
  <c r="BL539" i="3"/>
  <c r="BA539" i="3"/>
  <c r="AZ539" i="3" s="1"/>
  <c r="BA538" i="3"/>
  <c r="BL537" i="3"/>
  <c r="AZ537" i="3" s="1"/>
  <c r="BA537" i="3"/>
  <c r="BL536" i="3"/>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BA511" i="3"/>
  <c r="AZ511" i="3"/>
  <c r="BA510" i="3"/>
  <c r="AZ510" i="3"/>
  <c r="BL509" i="3"/>
  <c r="AZ509" i="3"/>
  <c r="BL507" i="3"/>
  <c r="BA507" i="3"/>
  <c r="AZ507" i="3" s="1"/>
  <c r="BL506" i="3"/>
  <c r="BA506" i="3"/>
  <c r="AZ506" i="3"/>
  <c r="BL505" i="3"/>
  <c r="BL504" i="3"/>
  <c r="BA504" i="3"/>
  <c r="AZ504" i="3" s="1"/>
  <c r="BA503" i="3"/>
  <c r="AZ503" i="3"/>
  <c r="BA500" i="3"/>
  <c r="BL499" i="3"/>
  <c r="BA499" i="3"/>
  <c r="AZ499" i="3" s="1"/>
  <c r="BL498" i="3"/>
  <c r="BL497" i="3"/>
  <c r="BA497" i="3"/>
  <c r="BL496" i="3"/>
  <c r="BA496" i="3"/>
  <c r="AZ496" i="3"/>
  <c r="BA495" i="3"/>
  <c r="AZ495" i="3"/>
  <c r="BL494" i="3"/>
  <c r="BA494" i="3"/>
  <c r="AZ494" i="3" s="1"/>
  <c r="G494" i="3"/>
  <c r="BA491" i="3"/>
  <c r="BL490" i="3"/>
  <c r="BA490" i="3"/>
  <c r="AZ490" i="3" s="1"/>
  <c r="BL489" i="3"/>
  <c r="BA489" i="3"/>
  <c r="AZ489" i="3"/>
  <c r="BL487" i="3"/>
  <c r="AZ487" i="3"/>
  <c r="BA486" i="3"/>
  <c r="AZ486" i="3" s="1"/>
  <c r="BA485" i="3"/>
  <c r="AZ485" i="3"/>
  <c r="BA483" i="3"/>
  <c r="BA482" i="3"/>
  <c r="AZ482" i="3"/>
  <c r="BL481" i="3"/>
  <c r="BJ5" i="3"/>
  <c r="BA481" i="3"/>
  <c r="AZ481" i="3"/>
  <c r="BL19" i="3"/>
  <c r="AZ19" i="3" s="1"/>
  <c r="BA18" i="3"/>
  <c r="F114" i="34"/>
  <c r="G114" i="34" s="1"/>
  <c r="H114" i="34" s="1"/>
  <c r="I114" i="34" s="1"/>
  <c r="J114" i="34" s="1"/>
  <c r="K114" i="34" s="1"/>
  <c r="L114" i="34" s="1"/>
  <c r="M114" i="34" s="1"/>
  <c r="H38" i="34"/>
  <c r="U38" i="34" s="1"/>
  <c r="H30" i="40"/>
  <c r="AB30" i="40" s="1"/>
  <c r="G100" i="40"/>
  <c r="J30" i="40"/>
  <c r="AC30" i="40"/>
  <c r="F38" i="40"/>
  <c r="AA38" i="40"/>
  <c r="AA36" i="34"/>
  <c r="AC12" i="21"/>
  <c r="U8"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H15" i="39"/>
  <c r="U15" i="39" s="1"/>
  <c r="H25" i="39"/>
  <c r="U25" i="39" s="1"/>
  <c r="J25" i="39"/>
  <c r="AC25" i="39" s="1"/>
  <c r="F25" i="39"/>
  <c r="AA25"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W35" i="40"/>
  <c r="AB32" i="40"/>
  <c r="U37" i="34"/>
  <c r="AC41" i="40"/>
  <c r="W41" i="40"/>
  <c r="U41" i="40"/>
  <c r="J23" i="40"/>
  <c r="AC23" i="40"/>
  <c r="F23" i="40"/>
  <c r="S23" i="40" s="1"/>
  <c r="AC15" i="40"/>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33" i="36"/>
  <c r="AA11" i="36"/>
  <c r="AA14" i="35"/>
  <c r="S14" i="35"/>
  <c r="G99" i="37"/>
  <c r="F33" i="37"/>
  <c r="S33" i="37" s="1"/>
  <c r="AC30" i="34"/>
  <c r="W12" i="34"/>
  <c r="AC13" i="33"/>
  <c r="U17" i="34"/>
  <c r="AA11" i="34"/>
  <c r="W32" i="33"/>
  <c r="H15" i="33"/>
  <c r="U15" i="33" s="1"/>
  <c r="AA11" i="33"/>
  <c r="AA40" i="21"/>
  <c r="U16" i="40"/>
  <c r="W34" i="40"/>
  <c r="AB34" i="40"/>
  <c r="AB42" i="40"/>
  <c r="AC16" i="40"/>
  <c r="H25" i="40"/>
  <c r="AB25" i="40" s="1"/>
  <c r="F94" i="40"/>
  <c r="G94" i="40" s="1"/>
  <c r="J37" i="34"/>
  <c r="AC37" i="34" s="1"/>
  <c r="J36" i="33"/>
  <c r="W36" i="33" s="1"/>
  <c r="S41" i="40"/>
  <c r="AB23" i="40"/>
  <c r="H23" i="39"/>
  <c r="AB23" i="39" s="1"/>
  <c r="J23" i="39"/>
  <c r="AC23" i="39" s="1"/>
  <c r="S16" i="39"/>
  <c r="S15" i="34"/>
  <c r="AA15" i="34"/>
  <c r="AA41" i="33"/>
  <c r="F106" i="33"/>
  <c r="G106" i="33" s="1"/>
  <c r="H106" i="33" s="1"/>
  <c r="I106" i="33" s="1"/>
  <c r="J106" i="33" s="1"/>
  <c r="K106" i="33" s="1"/>
  <c r="L106" i="33" s="1"/>
  <c r="M106" i="33" s="1"/>
  <c r="J34" i="33"/>
  <c r="AC34" i="33" s="1"/>
  <c r="U30" i="40"/>
  <c r="W29" i="35"/>
  <c r="W33" i="39"/>
  <c r="S33" i="39"/>
  <c r="U11" i="36"/>
  <c r="W14" i="35"/>
  <c r="F90" i="34"/>
  <c r="G90" i="34" s="1"/>
  <c r="H90" i="34" s="1"/>
  <c r="I90" i="34" s="1"/>
  <c r="J90" i="34" s="1"/>
  <c r="K90" i="34" s="1"/>
  <c r="L90" i="34" s="1"/>
  <c r="M90" i="34" s="1"/>
  <c r="F27" i="34"/>
  <c r="S27" i="34" s="1"/>
  <c r="AA43" i="39"/>
  <c r="AA19" i="39"/>
  <c r="G96" i="37"/>
  <c r="H96" i="37"/>
  <c r="I96" i="37" s="1"/>
  <c r="J96" i="37" s="1"/>
  <c r="K96" i="37" s="1"/>
  <c r="L96" i="37" s="1"/>
  <c r="M96" i="37" s="1"/>
  <c r="F32" i="37"/>
  <c r="S32" i="37" s="1"/>
  <c r="U11" i="35"/>
  <c r="S46" i="34"/>
  <c r="U14" i="34"/>
  <c r="U12" i="34"/>
  <c r="G80" i="34"/>
  <c r="F17" i="34"/>
  <c r="AA17" i="34"/>
  <c r="J17" i="34"/>
  <c r="AC17" i="34"/>
  <c r="H11" i="34"/>
  <c r="AB11" i="34"/>
  <c r="J35" i="33"/>
  <c r="W35" i="33"/>
  <c r="S32" i="33"/>
  <c r="AC15" i="33"/>
  <c r="H11" i="33"/>
  <c r="U11" i="33"/>
  <c r="H10" i="33"/>
  <c r="U10" i="33"/>
  <c r="J10" i="33"/>
  <c r="AC10" i="33" s="1"/>
  <c r="U11" i="37"/>
  <c r="AC16" i="35"/>
  <c r="AC13" i="40"/>
  <c r="J11" i="34"/>
  <c r="W11" i="34"/>
  <c r="S17" i="34"/>
  <c r="AC36" i="33"/>
  <c r="F25" i="40"/>
  <c r="AA25" i="40"/>
  <c r="J11" i="33"/>
  <c r="W11" i="33"/>
  <c r="H33" i="37"/>
  <c r="AB33" i="37"/>
  <c r="W15" i="34"/>
  <c r="AC15" i="34"/>
  <c r="AB20" i="35"/>
  <c r="W23" i="40"/>
  <c r="D73" i="9"/>
  <c r="N73" i="9" s="1"/>
  <c r="B11" i="1"/>
  <c r="E11" i="1"/>
  <c r="K11" i="1"/>
  <c r="M11" i="1" s="1"/>
  <c r="B9" i="1"/>
  <c r="E9" i="1"/>
  <c r="K9" i="1"/>
  <c r="M9" i="1" s="1"/>
  <c r="B7" i="1"/>
  <c r="E7" i="1" s="1"/>
  <c r="K7" i="1"/>
  <c r="M7" i="1" s="1"/>
  <c r="O7" i="1" s="1"/>
  <c r="P7" i="1" s="1"/>
  <c r="F6" i="1"/>
  <c r="AP6" i="1" s="1"/>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s="1"/>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36" i="33"/>
  <c r="S44" i="21"/>
  <c r="W43" i="21"/>
  <c r="W28" i="21"/>
  <c r="AC26" i="21"/>
  <c r="F85" i="21"/>
  <c r="G85" i="21" s="1"/>
  <c r="F23" i="21"/>
  <c r="AA23" i="21" s="1"/>
  <c r="F15" i="21"/>
  <c r="S15" i="21" s="1"/>
  <c r="J15" i="21"/>
  <c r="W15" i="21" s="1"/>
  <c r="AC21" i="21"/>
  <c r="W44" i="21"/>
  <c r="W10" i="21"/>
  <c r="AB21" i="21"/>
  <c r="W33" i="40"/>
  <c r="S35" i="40"/>
  <c r="U15" i="40"/>
  <c r="S14" i="40"/>
  <c r="AB13" i="40"/>
  <c r="S16" i="40"/>
  <c r="W11" i="40"/>
  <c r="AA21" i="40"/>
  <c r="U21" i="40"/>
  <c r="U25" i="40"/>
  <c r="W42" i="40"/>
  <c r="U35" i="40"/>
  <c r="F37" i="40"/>
  <c r="J37" i="40"/>
  <c r="AC37" i="40" s="1"/>
  <c r="H37" i="40"/>
  <c r="AB37" i="40" s="1"/>
  <c r="G113" i="40"/>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W21" i="40"/>
  <c r="AB40" i="40"/>
  <c r="U10" i="40"/>
  <c r="U27" i="40"/>
  <c r="AB27" i="40"/>
  <c r="S11" i="39"/>
  <c r="AC19" i="39"/>
  <c r="AC38" i="39"/>
  <c r="S22" i="31"/>
  <c r="BA16" i="3"/>
  <c r="BA17" i="3"/>
  <c r="AZ17" i="3" s="1"/>
  <c r="G1" i="44"/>
  <c r="AZ15" i="3"/>
  <c r="BO5" i="3"/>
  <c r="BN5" i="3"/>
  <c r="BL18" i="3"/>
  <c r="AZ18" i="3" s="1"/>
  <c r="BC5" i="3"/>
  <c r="BD5" i="3"/>
  <c r="BS5" i="3"/>
  <c r="BL16" i="3"/>
  <c r="BM5" i="3"/>
  <c r="F29" i="6" s="1"/>
  <c r="H48" i="46"/>
  <c r="H52" i="46"/>
  <c r="H53" i="46"/>
  <c r="G22" i="43"/>
  <c r="D24" i="44"/>
  <c r="G27" i="12"/>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c r="D69" i="46"/>
  <c r="E69" i="46"/>
  <c r="B67" i="46" s="1"/>
  <c r="E47" i="46"/>
  <c r="E58" i="46"/>
  <c r="A4" i="51"/>
  <c r="H58" i="46"/>
  <c r="H61" i="46"/>
  <c r="H62" i="46"/>
  <c r="H71" i="46"/>
  <c r="H75" i="46"/>
  <c r="H76" i="46"/>
  <c r="I100" i="46"/>
  <c r="B56" i="46"/>
  <c r="C24" i="46"/>
  <c r="N100" i="46"/>
  <c r="H100" i="46"/>
  <c r="F108" i="46"/>
  <c r="H80" i="46"/>
  <c r="B45" i="46"/>
  <c r="E100" i="46"/>
  <c r="G100" i="46"/>
  <c r="H84" i="46"/>
  <c r="H65" i="46"/>
  <c r="H66" i="46"/>
  <c r="C100" i="46"/>
  <c r="J100" i="46"/>
  <c r="M100" i="46"/>
  <c r="AA12" i="36"/>
  <c r="AA11" i="35"/>
  <c r="S14" i="37"/>
  <c r="U13" i="37"/>
  <c r="C24" i="9"/>
  <c r="C25" i="9"/>
  <c r="I20" i="46"/>
  <c r="C20" i="46" s="1"/>
  <c r="B6" i="63"/>
  <c r="B46" i="50"/>
  <c r="B4" i="63" s="1"/>
  <c r="C67" i="40"/>
  <c r="C72" i="39"/>
  <c r="O19" i="46"/>
  <c r="H77" i="46"/>
  <c r="H73" i="46"/>
  <c r="H69" i="46"/>
  <c r="H74" i="46"/>
  <c r="H86" i="46"/>
  <c r="H82" i="46"/>
  <c r="H63" i="46"/>
  <c r="H59" i="46"/>
  <c r="H64" i="46"/>
  <c r="H60" i="46"/>
  <c r="H10" i="48"/>
  <c r="H87" i="46"/>
  <c r="H85" i="46"/>
  <c r="H83" i="46"/>
  <c r="O13" i="1"/>
  <c r="P13" i="1" s="1"/>
  <c r="K10" i="1"/>
  <c r="M10" i="1" s="1"/>
  <c r="O10" i="1" s="1"/>
  <c r="S11" i="1"/>
  <c r="R11" i="1"/>
  <c r="S13" i="1"/>
  <c r="R13" i="1"/>
  <c r="B6" i="1"/>
  <c r="E6" i="1" s="1"/>
  <c r="B10" i="1"/>
  <c r="E10" i="1" s="1"/>
  <c r="S10" i="1"/>
  <c r="B8" i="1"/>
  <c r="E8" i="1"/>
  <c r="B12" i="1"/>
  <c r="E12" i="1"/>
  <c r="S12" i="1"/>
  <c r="K6" i="1"/>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U27" i="21"/>
  <c r="G96" i="40"/>
  <c r="J27" i="40"/>
  <c r="W27" i="40" s="1"/>
  <c r="W30" i="40"/>
  <c r="S34" i="40"/>
  <c r="U38" i="40"/>
  <c r="S40" i="40"/>
  <c r="S42" i="40"/>
  <c r="J31" i="39"/>
  <c r="AC31" i="39" s="1"/>
  <c r="AC46" i="39"/>
  <c r="W42" i="39"/>
  <c r="W36" i="39"/>
  <c r="AC37" i="39"/>
  <c r="AA46" i="39"/>
  <c r="W11" i="39"/>
  <c r="U42" i="39"/>
  <c r="S32" i="40"/>
  <c r="C17" i="40"/>
  <c r="C19" i="40"/>
  <c r="C19" i="39"/>
  <c r="C23" i="40"/>
  <c r="B51" i="46"/>
  <c r="B59" i="46"/>
  <c r="B62"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AB23" i="34"/>
  <c r="AA23" i="34"/>
  <c r="S23" i="34"/>
  <c r="AC23" i="34"/>
  <c r="W23" i="34"/>
  <c r="AA25" i="33"/>
  <c r="S25" i="33"/>
  <c r="AB23" i="33"/>
  <c r="AC23" i="33"/>
  <c r="S23" i="33"/>
  <c r="AA23" i="33"/>
  <c r="AC17" i="33"/>
  <c r="S17" i="33"/>
  <c r="U17" i="33"/>
  <c r="AB17" i="33"/>
  <c r="AC39" i="40"/>
  <c r="W39" i="40"/>
  <c r="AA39" i="40"/>
  <c r="U37" i="40"/>
  <c r="AA37" i="40"/>
  <c r="S37" i="40"/>
  <c r="U29" i="40"/>
  <c r="AC29" i="40"/>
  <c r="W29" i="40"/>
  <c r="AA29" i="40"/>
  <c r="S29" i="40"/>
  <c r="W19" i="40"/>
  <c r="AC19" i="40"/>
  <c r="AA19" i="40"/>
  <c r="S19" i="40"/>
  <c r="AC27" i="40"/>
  <c r="B20" i="31"/>
  <c r="R22" i="31"/>
  <c r="B21" i="31"/>
  <c r="AZ16" i="3"/>
  <c r="H70" i="46"/>
  <c r="H72" i="46"/>
  <c r="A9" i="64"/>
  <c r="J18" i="36"/>
  <c r="AE7" i="1"/>
  <c r="AE6" i="1"/>
  <c r="W18" i="36"/>
  <c r="AC18" i="36"/>
  <c r="AG6" i="1"/>
  <c r="L20" i="6"/>
  <c r="L19" i="6"/>
  <c r="S9" i="1"/>
  <c r="R9" i="1"/>
  <c r="C45" i="9"/>
  <c r="O40" i="9" s="1"/>
  <c r="R7" i="54" s="1"/>
  <c r="B52" i="63" s="1"/>
  <c r="K31" i="9"/>
  <c r="K32" i="9" s="1"/>
  <c r="N76" i="9"/>
  <c r="M29" i="44"/>
  <c r="F10" i="67"/>
  <c r="N4" i="65"/>
  <c r="B12" i="67"/>
  <c r="I4" i="65"/>
  <c r="J6" i="65"/>
  <c r="F40" i="44"/>
  <c r="N6" i="65"/>
  <c r="E9" i="67"/>
  <c r="M28" i="44"/>
  <c r="F45" i="44"/>
  <c r="F8" i="67"/>
  <c r="J4" i="65"/>
  <c r="F11" i="67"/>
  <c r="J7" i="65"/>
  <c r="M24" i="44"/>
  <c r="E8" i="67"/>
  <c r="I5" i="65"/>
  <c r="N3" i="65"/>
  <c r="F9" i="67"/>
  <c r="B14" i="67"/>
  <c r="F12" i="67"/>
  <c r="N7" i="65"/>
  <c r="M11" i="44"/>
  <c r="F46" i="44"/>
  <c r="I6" i="65"/>
  <c r="J5" i="65"/>
  <c r="F13" i="67"/>
  <c r="I3" i="65"/>
  <c r="J3" i="65"/>
  <c r="I7" i="65"/>
  <c r="M26" i="44"/>
  <c r="J17" i="44"/>
  <c r="M31" i="44"/>
  <c r="F28" i="44"/>
  <c r="B11" i="67"/>
  <c r="M25" i="44"/>
  <c r="E10" i="67"/>
  <c r="B8" i="67"/>
  <c r="F14" i="67"/>
  <c r="B9" i="67"/>
  <c r="M8" i="44"/>
  <c r="B13" i="67"/>
  <c r="F43" i="44"/>
  <c r="N5" i="65"/>
  <c r="F39" i="44"/>
  <c r="E14" i="67"/>
  <c r="B10" i="67"/>
  <c r="E13" i="67"/>
  <c r="E12" i="67"/>
  <c r="E11" i="67"/>
  <c r="F18" i="44"/>
  <c r="F10" i="44"/>
  <c r="F91" i="39" l="1"/>
  <c r="G91" i="39" s="1"/>
  <c r="H17" i="39"/>
  <c r="U17" i="39" s="1"/>
  <c r="AB33" i="21"/>
  <c r="B66" i="46"/>
  <c r="C27" i="39"/>
  <c r="H15" i="21"/>
  <c r="U15" i="21" s="1"/>
  <c r="F42" i="21"/>
  <c r="AA42" i="21" s="1"/>
  <c r="H42" i="21"/>
  <c r="AB42" i="21" s="1"/>
  <c r="AC15" i="21"/>
  <c r="W17" i="21"/>
  <c r="U17" i="21"/>
  <c r="S21" i="21"/>
  <c r="AB34" i="21"/>
  <c r="AB36" i="21"/>
  <c r="S32" i="21"/>
  <c r="S23" i="21"/>
  <c r="H23" i="21"/>
  <c r="J23" i="21"/>
  <c r="W23" i="21" s="1"/>
  <c r="J19" i="21"/>
  <c r="F19" i="21"/>
  <c r="AA19" i="21" s="1"/>
  <c r="AB15" i="21"/>
  <c r="AB10" i="21"/>
  <c r="F10" i="21"/>
  <c r="AA10" i="21" s="1"/>
  <c r="AA15" i="21"/>
  <c r="AB44" i="21"/>
  <c r="H45" i="21"/>
  <c r="U45" i="21" s="1"/>
  <c r="W39" i="21"/>
  <c r="H113" i="21"/>
  <c r="F37" i="21"/>
  <c r="J37" i="21"/>
  <c r="H37" i="21"/>
  <c r="U37" i="21" s="1"/>
  <c r="S34" i="21"/>
  <c r="AC34" i="21"/>
  <c r="W32" i="21"/>
  <c r="AB32" i="21"/>
  <c r="AB45" i="21"/>
  <c r="AC46" i="21"/>
  <c r="AC45" i="21"/>
  <c r="U40" i="21"/>
  <c r="AC40" i="21"/>
  <c r="U39" i="21"/>
  <c r="AC38" i="21"/>
  <c r="AA38" i="21"/>
  <c r="AC36" i="21"/>
  <c r="AA36" i="21"/>
  <c r="U35" i="21"/>
  <c r="AC35" i="21"/>
  <c r="AA33" i="21"/>
  <c r="AB29" i="21"/>
  <c r="S27" i="21"/>
  <c r="AC29" i="21"/>
  <c r="W29" i="21"/>
  <c r="U31" i="21"/>
  <c r="AB31" i="21"/>
  <c r="W31" i="21"/>
  <c r="AA31" i="21"/>
  <c r="F29" i="21"/>
  <c r="AC27" i="21"/>
  <c r="AA17" i="21"/>
  <c r="W8" i="21"/>
  <c r="W13" i="21"/>
  <c r="F13" i="21"/>
  <c r="S9" i="21"/>
  <c r="AA9" i="21"/>
  <c r="W9" i="21"/>
  <c r="H9" i="21"/>
  <c r="AB9" i="21" s="1"/>
  <c r="AB33" i="39"/>
  <c r="U31" i="39"/>
  <c r="J34" i="39"/>
  <c r="AC34" i="39" s="1"/>
  <c r="F34" i="39"/>
  <c r="AA34" i="39" s="1"/>
  <c r="U14" i="39"/>
  <c r="W25" i="39"/>
  <c r="AB25" i="39"/>
  <c r="AC43" i="39"/>
  <c r="AB29" i="39"/>
  <c r="S29" i="39"/>
  <c r="W27" i="39"/>
  <c r="U27" i="39"/>
  <c r="W23" i="39"/>
  <c r="U23" i="39"/>
  <c r="S23" i="39"/>
  <c r="U19" i="39"/>
  <c r="S10" i="39"/>
  <c r="W10" i="39"/>
  <c r="AA45" i="39"/>
  <c r="S45" i="39"/>
  <c r="S47" i="39"/>
  <c r="AA47" i="39"/>
  <c r="J47" i="39"/>
  <c r="H47" i="39"/>
  <c r="J45" i="39"/>
  <c r="H45" i="39"/>
  <c r="S42" i="39"/>
  <c r="S39" i="39"/>
  <c r="AA39" i="39"/>
  <c r="AA38" i="39"/>
  <c r="S38" i="39"/>
  <c r="AA37" i="39"/>
  <c r="H38" i="39"/>
  <c r="J39" i="39"/>
  <c r="W34" i="39"/>
  <c r="U34" i="39"/>
  <c r="S25" i="39"/>
  <c r="AC21" i="39"/>
  <c r="AA21" i="39"/>
  <c r="J17" i="39"/>
  <c r="W17" i="39" s="1"/>
  <c r="F17" i="39"/>
  <c r="AA17" i="39" s="1"/>
  <c r="AB17" i="39"/>
  <c r="W16" i="39"/>
  <c r="AB16" i="39"/>
  <c r="J15" i="39"/>
  <c r="AA44" i="39"/>
  <c r="AC44" i="39"/>
  <c r="AB44" i="39"/>
  <c r="AB43" i="39"/>
  <c r="S41" i="39"/>
  <c r="W41" i="39"/>
  <c r="U41" i="39"/>
  <c r="W40" i="39"/>
  <c r="S40" i="39"/>
  <c r="S15" i="39"/>
  <c r="AB15" i="39"/>
  <c r="W14" i="39"/>
  <c r="S14" i="39"/>
  <c r="U11" i="39"/>
  <c r="C18" i="9"/>
  <c r="B74" i="46"/>
  <c r="B53" i="46"/>
  <c r="B55" i="46"/>
  <c r="B48" i="46"/>
  <c r="C21" i="39"/>
  <c r="C17" i="39"/>
  <c r="C23" i="39"/>
  <c r="C31" i="39"/>
  <c r="M20" i="15"/>
  <c r="M22" i="44"/>
  <c r="F36" i="44"/>
  <c r="M18" i="15"/>
  <c r="F29" i="12"/>
  <c r="D96" i="9"/>
  <c r="F31" i="43"/>
  <c r="F72" i="9"/>
  <c r="F28" i="15"/>
  <c r="D86" i="9"/>
  <c r="F32" i="15"/>
  <c r="F59" i="15" s="1"/>
  <c r="F27" i="43"/>
  <c r="C27" i="43" s="1"/>
  <c r="D26" i="44"/>
  <c r="G23" i="43"/>
  <c r="G26" i="12"/>
  <c r="G28" i="12"/>
  <c r="P75" i="15"/>
  <c r="K1" i="43"/>
  <c r="G1" i="15"/>
  <c r="K1" i="12"/>
  <c r="BL13" i="3"/>
  <c r="I4" i="6"/>
  <c r="G3" i="46" s="1"/>
  <c r="AD11" i="46" s="1"/>
  <c r="L27" i="6"/>
  <c r="E29" i="6"/>
  <c r="K15" i="1" s="1"/>
  <c r="P12" i="1"/>
  <c r="E8" i="6"/>
  <c r="E53" i="40" s="1"/>
  <c r="E5" i="6"/>
  <c r="D21" i="12" s="1"/>
  <c r="C21" i="12" s="1"/>
  <c r="H16" i="1"/>
  <c r="BA13" i="3"/>
  <c r="AZ13" i="3" s="1"/>
  <c r="O11" i="1"/>
  <c r="P11" i="1" s="1"/>
  <c r="G30" i="6"/>
  <c r="G31" i="6" s="1"/>
  <c r="O9" i="1"/>
  <c r="P9" i="1" s="1"/>
  <c r="A18" i="51"/>
  <c r="B14" i="63" s="1"/>
  <c r="L5" i="54"/>
  <c r="B39" i="63" s="1"/>
  <c r="T41" i="4"/>
  <c r="K5" i="54"/>
  <c r="B38" i="63" s="1"/>
  <c r="A18" i="64"/>
  <c r="B74" i="63" s="1"/>
  <c r="C53" i="10"/>
  <c r="A25" i="64" s="1"/>
  <c r="A3" i="55"/>
  <c r="B56" i="63" s="1"/>
  <c r="A11" i="55"/>
  <c r="B62" i="63" s="1"/>
  <c r="G9" i="1"/>
  <c r="G8" i="1"/>
  <c r="G6" i="1"/>
  <c r="G7" i="1"/>
  <c r="G10" i="1"/>
  <c r="G12" i="1"/>
  <c r="L16" i="4"/>
  <c r="K17" i="4" s="1"/>
  <c r="A22" i="51" s="1"/>
  <c r="B16" i="63" s="1"/>
  <c r="G13" i="1"/>
  <c r="A26" i="51"/>
  <c r="B19" i="63" s="1"/>
  <c r="C51" i="10"/>
  <c r="G11" i="1"/>
  <c r="N4" i="63"/>
  <c r="E14" i="52"/>
  <c r="C25" i="12"/>
  <c r="D72" i="39"/>
  <c r="E70" i="39"/>
  <c r="E72" i="39" s="1"/>
  <c r="D67" i="40"/>
  <c r="E65" i="40"/>
  <c r="AP16" i="1"/>
  <c r="F22" i="11" s="1"/>
  <c r="C28" i="15"/>
  <c r="A25" i="51"/>
  <c r="B18" i="63" s="1"/>
  <c r="C31" i="43"/>
  <c r="C7" i="34"/>
  <c r="C59" i="34" s="1"/>
  <c r="C7" i="35"/>
  <c r="C48" i="35" s="1"/>
  <c r="D48" i="35" s="1"/>
  <c r="C7" i="36"/>
  <c r="C46" i="36" s="1"/>
  <c r="D46" i="36" s="1"/>
  <c r="C7" i="37"/>
  <c r="C52" i="37" s="1"/>
  <c r="D52" i="37" s="1"/>
  <c r="E52" i="37" s="1"/>
  <c r="F52" i="37" s="1"/>
  <c r="G52" i="37" s="1"/>
  <c r="H52" i="37" s="1"/>
  <c r="I52" i="37" s="1"/>
  <c r="N67" i="9"/>
  <c r="J52" i="37"/>
  <c r="K52" i="37" s="1"/>
  <c r="L52" i="37" s="1"/>
  <c r="M52" i="37" s="1"/>
  <c r="N52" i="37" s="1"/>
  <c r="O52" i="37" s="1"/>
  <c r="H14" i="66"/>
  <c r="B7" i="66" s="1"/>
  <c r="F30" i="6"/>
  <c r="E28" i="6"/>
  <c r="F70" i="39"/>
  <c r="W31" i="39"/>
  <c r="AB19" i="40"/>
  <c r="AB39" i="40"/>
  <c r="S17" i="40"/>
  <c r="M6" i="1"/>
  <c r="C15" i="43" s="1"/>
  <c r="Q16" i="1"/>
  <c r="P10" i="1"/>
  <c r="F7" i="37"/>
  <c r="E48" i="35"/>
  <c r="A17" i="64"/>
  <c r="A17" i="51"/>
  <c r="B13" i="63" s="1"/>
  <c r="AB17" i="40"/>
  <c r="U17" i="40"/>
  <c r="AZ572" i="3"/>
  <c r="AZ516" i="3"/>
  <c r="D59" i="34"/>
  <c r="G58" i="21"/>
  <c r="G58" i="33"/>
  <c r="U44" i="33"/>
  <c r="AB44" i="33"/>
  <c r="S36" i="37"/>
  <c r="AA36" i="37"/>
  <c r="W41" i="34"/>
  <c r="AC41" i="34"/>
  <c r="AZ492" i="3"/>
  <c r="AZ520" i="3"/>
  <c r="AZ562" i="3"/>
  <c r="AZ493" i="3"/>
  <c r="AZ559" i="3"/>
  <c r="AA27" i="37"/>
  <c r="S27" i="37"/>
  <c r="U35" i="35"/>
  <c r="AB35" i="35"/>
  <c r="AC35" i="35"/>
  <c r="W35" i="35"/>
  <c r="U45" i="34"/>
  <c r="AB45" i="34"/>
  <c r="AC46" i="33"/>
  <c r="W46" i="33"/>
  <c r="AC44" i="33"/>
  <c r="W44" i="33"/>
  <c r="U40" i="37"/>
  <c r="AB40" i="37"/>
  <c r="AC37" i="37"/>
  <c r="W37" i="37"/>
  <c r="AA45" i="21"/>
  <c r="S45" i="21"/>
  <c r="AB46" i="21"/>
  <c r="U46" i="21"/>
  <c r="AB28" i="21"/>
  <c r="U28" i="21"/>
  <c r="U16" i="35"/>
  <c r="AB16" i="35"/>
  <c r="S43" i="21"/>
  <c r="AA43" i="21"/>
  <c r="W8" i="33"/>
  <c r="AC8" i="33"/>
  <c r="AC33" i="33"/>
  <c r="W33" i="33"/>
  <c r="AC40" i="33"/>
  <c r="W40" i="33"/>
  <c r="U39" i="34"/>
  <c r="AB39" i="34"/>
  <c r="W36" i="34"/>
  <c r="AC36" i="34"/>
  <c r="H12" i="35"/>
  <c r="J12" i="35"/>
  <c r="U8" i="36"/>
  <c r="AB8" i="36"/>
  <c r="J23" i="36"/>
  <c r="F23" i="36"/>
  <c r="AA40" i="33"/>
  <c r="S40" i="33"/>
  <c r="BA566" i="3"/>
  <c r="AZ566" i="3" s="1"/>
  <c r="BA565" i="3"/>
  <c r="AZ565" i="3" s="1"/>
  <c r="BL563" i="3"/>
  <c r="AZ563" i="3" s="1"/>
  <c r="BL561" i="3"/>
  <c r="AZ561" i="3" s="1"/>
  <c r="BL560" i="3"/>
  <c r="BA560" i="3"/>
  <c r="BL552" i="3"/>
  <c r="AZ552" i="3" s="1"/>
  <c r="BL551" i="3"/>
  <c r="BA551" i="3"/>
  <c r="AZ551" i="3" s="1"/>
  <c r="BL540" i="3"/>
  <c r="BA540" i="3"/>
  <c r="AZ540" i="3" s="1"/>
  <c r="BL538" i="3"/>
  <c r="AZ538" i="3" s="1"/>
  <c r="BA532" i="3"/>
  <c r="AZ532" i="3" s="1"/>
  <c r="BA524" i="3"/>
  <c r="AZ524" i="3" s="1"/>
  <c r="BA512" i="3"/>
  <c r="AZ512" i="3" s="1"/>
  <c r="BL508" i="3"/>
  <c r="AZ508" i="3" s="1"/>
  <c r="BL502" i="3"/>
  <c r="BA502" i="3"/>
  <c r="BL501" i="3"/>
  <c r="BA501" i="3"/>
  <c r="BL500" i="3"/>
  <c r="AZ500" i="3" s="1"/>
  <c r="BA498" i="3"/>
  <c r="AZ498" i="3" s="1"/>
  <c r="BA484" i="3"/>
  <c r="BL483" i="3"/>
  <c r="G14" i="3"/>
  <c r="AC5" i="3"/>
  <c r="W37" i="40"/>
  <c r="D5" i="46"/>
  <c r="W29" i="39"/>
  <c r="S27" i="39"/>
  <c r="W25" i="40"/>
  <c r="S15" i="40"/>
  <c r="U33" i="40"/>
  <c r="W10" i="33"/>
  <c r="AB15" i="33"/>
  <c r="AB41" i="33"/>
  <c r="W20" i="35"/>
  <c r="F30" i="44"/>
  <c r="C30" i="44" s="1"/>
  <c r="M20" i="44"/>
  <c r="F70" i="9"/>
  <c r="AB13" i="33"/>
  <c r="AC14" i="34"/>
  <c r="U32" i="34"/>
  <c r="S17" i="39"/>
  <c r="AB46" i="39"/>
  <c r="AA34" i="33"/>
  <c r="W32" i="40"/>
  <c r="U29" i="33"/>
  <c r="AA14" i="34"/>
  <c r="U46" i="34"/>
  <c r="U39" i="39"/>
  <c r="S33" i="40"/>
  <c r="AC14" i="40"/>
  <c r="F71" i="9"/>
  <c r="F66" i="9"/>
  <c r="P72" i="9" s="1"/>
  <c r="S35" i="21"/>
  <c r="AC34" i="37"/>
  <c r="S14" i="21"/>
  <c r="U31" i="34"/>
  <c r="J11" i="35"/>
  <c r="S12" i="35"/>
  <c r="AB28" i="33"/>
  <c r="S25" i="35"/>
  <c r="S42" i="33"/>
  <c r="U43" i="21"/>
  <c r="AZ299" i="3"/>
  <c r="AZ379" i="3"/>
  <c r="U31" i="37"/>
  <c r="U19" i="21"/>
  <c r="AA13" i="33"/>
  <c r="AA10" i="35"/>
  <c r="S10" i="35"/>
  <c r="AB27" i="37"/>
  <c r="AZ488" i="3"/>
  <c r="AZ544" i="3"/>
  <c r="AZ558" i="3"/>
  <c r="W42" i="21"/>
  <c r="AA38" i="37"/>
  <c r="AC25" i="35"/>
  <c r="W25" i="35"/>
  <c r="AC31" i="34"/>
  <c r="W31" i="34"/>
  <c r="F44" i="33"/>
  <c r="AB36" i="37"/>
  <c r="W11" i="36"/>
  <c r="AC11" i="36"/>
  <c r="W29" i="33"/>
  <c r="AC29" i="33"/>
  <c r="S27" i="33"/>
  <c r="AA27" i="33"/>
  <c r="U13" i="21"/>
  <c r="AB13" i="21"/>
  <c r="U14" i="21"/>
  <c r="AB14" i="21"/>
  <c r="W37" i="33"/>
  <c r="AC37" i="33"/>
  <c r="S37" i="33"/>
  <c r="U36" i="34"/>
  <c r="AB36" i="34"/>
  <c r="S10" i="36"/>
  <c r="AA22" i="35"/>
  <c r="S22" i="35"/>
  <c r="AB32" i="33"/>
  <c r="U32" i="33"/>
  <c r="S33" i="33"/>
  <c r="U9" i="33"/>
  <c r="U31" i="35"/>
  <c r="U22" i="36"/>
  <c r="W41" i="21"/>
  <c r="S19" i="21"/>
  <c r="W33" i="21"/>
  <c r="AC33" i="21"/>
  <c r="H5" i="3"/>
  <c r="BL572" i="3"/>
  <c r="BG5" i="3"/>
  <c r="F12" i="21"/>
  <c r="H12" i="21"/>
  <c r="H30" i="21"/>
  <c r="F30" i="21"/>
  <c r="J30" i="21"/>
  <c r="AB33" i="33"/>
  <c r="U33" i="33"/>
  <c r="AA38" i="33"/>
  <c r="S38" i="33"/>
  <c r="AC39" i="34"/>
  <c r="W39" i="34"/>
  <c r="AC23" i="35"/>
  <c r="W23" i="35"/>
  <c r="AB26" i="36"/>
  <c r="U26" i="36"/>
  <c r="J12" i="36"/>
  <c r="H12" i="36"/>
  <c r="H25" i="37"/>
  <c r="J25" i="37"/>
  <c r="F25" i="37"/>
  <c r="J34" i="35"/>
  <c r="H34" i="35"/>
  <c r="F34" i="35"/>
  <c r="G536" i="3"/>
  <c r="G524" i="3"/>
  <c r="G512" i="3"/>
  <c r="G489" i="3"/>
  <c r="G481" i="3"/>
  <c r="P8" i="1"/>
  <c r="AZ405" i="3"/>
  <c r="AZ408" i="3"/>
  <c r="AZ411" i="3"/>
  <c r="AZ413" i="3"/>
  <c r="AZ417" i="3"/>
  <c r="AZ427" i="3"/>
  <c r="AZ432" i="3"/>
  <c r="AZ443" i="3"/>
  <c r="AZ447" i="3"/>
  <c r="AZ462" i="3"/>
  <c r="AZ465" i="3"/>
  <c r="AZ478" i="3"/>
  <c r="AZ206" i="3"/>
  <c r="AZ210" i="3"/>
  <c r="AZ222" i="3"/>
  <c r="AZ226" i="3"/>
  <c r="AZ238" i="3"/>
  <c r="AZ242" i="3"/>
  <c r="AZ264" i="3"/>
  <c r="AZ267" i="3"/>
  <c r="AZ271" i="3"/>
  <c r="AZ293" i="3"/>
  <c r="AZ117" i="3"/>
  <c r="AZ120" i="3"/>
  <c r="AZ133" i="3"/>
  <c r="AZ136" i="3"/>
  <c r="A30" i="51"/>
  <c r="B22" i="63" s="1"/>
  <c r="A30" i="64"/>
  <c r="AZ45" i="3"/>
  <c r="AZ52" i="3"/>
  <c r="AZ61" i="3"/>
  <c r="AZ67" i="3"/>
  <c r="AZ155" i="3"/>
  <c r="AZ168" i="3"/>
  <c r="AZ171" i="3"/>
  <c r="AZ186" i="3"/>
  <c r="AZ194" i="3"/>
  <c r="AZ22" i="3"/>
  <c r="AZ33" i="3"/>
  <c r="AZ38" i="3"/>
  <c r="AZ49" i="3"/>
  <c r="AZ54" i="3"/>
  <c r="AZ64" i="3"/>
  <c r="AZ69" i="3"/>
  <c r="AZ87" i="3"/>
  <c r="AZ89" i="3"/>
  <c r="AZ100" i="3"/>
  <c r="D51" i="59"/>
  <c r="O51" i="59"/>
  <c r="O50" i="59"/>
  <c r="D36" i="59"/>
  <c r="C37" i="59"/>
  <c r="AZ76" i="3"/>
  <c r="AZ96" i="3"/>
  <c r="AZ103" i="3"/>
  <c r="AZ109" i="3"/>
  <c r="I21" i="57"/>
  <c r="D1" i="57" s="1"/>
  <c r="E10" i="57" s="1"/>
  <c r="D40" i="59"/>
  <c r="C41" i="59"/>
  <c r="AB18" i="59"/>
  <c r="F19" i="59"/>
  <c r="F20" i="59" s="1"/>
  <c r="F21" i="59" s="1"/>
  <c r="V21" i="59" s="1"/>
  <c r="X22" i="59"/>
  <c r="B23" i="59"/>
  <c r="B24" i="59" s="1"/>
  <c r="B25" i="59" s="1"/>
  <c r="S25" i="59" s="1"/>
  <c r="A28" i="64"/>
  <c r="B54" i="46"/>
  <c r="C27" i="40"/>
  <c r="S27" i="40"/>
  <c r="S21" i="34"/>
  <c r="S18" i="35"/>
  <c r="D52" i="59"/>
  <c r="C20"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AA18" i="59"/>
  <c r="E19" i="59"/>
  <c r="E20" i="59" s="1"/>
  <c r="E21" i="59" s="1"/>
  <c r="U21" i="59" s="1"/>
  <c r="X19" i="59"/>
  <c r="X21" i="59"/>
  <c r="C23" i="59"/>
  <c r="Y22" i="59"/>
  <c r="Z22" i="59" s="1"/>
  <c r="N53" i="59"/>
  <c r="B52" i="59"/>
  <c r="Y9" i="59"/>
  <c r="Z9" i="59" s="1"/>
  <c r="C13" i="59"/>
  <c r="AB9" i="59"/>
  <c r="F13" i="59"/>
  <c r="AH10" i="46"/>
  <c r="AH12" i="46"/>
  <c r="AD10" i="46"/>
  <c r="AD12" i="46"/>
  <c r="C8" i="59"/>
  <c r="D9" i="59"/>
  <c r="X8" i="59"/>
  <c r="Y7" i="59"/>
  <c r="Z7" i="59" s="1"/>
  <c r="AB7" i="59"/>
  <c r="X7" i="59"/>
  <c r="X6" i="59"/>
  <c r="AA6" i="59"/>
  <c r="X18" i="59"/>
  <c r="AA19" i="59"/>
  <c r="X20" i="59"/>
  <c r="AA21" i="59"/>
  <c r="S13" i="59"/>
  <c r="B12" i="59"/>
  <c r="B11" i="59" s="1"/>
  <c r="U13" i="59"/>
  <c r="E12" i="59"/>
  <c r="E11" i="59" s="1"/>
  <c r="AB12" i="46"/>
  <c r="AJ12" i="46"/>
  <c r="T9" i="59"/>
  <c r="AA7" i="59"/>
  <c r="Y6" i="59"/>
  <c r="Z6" i="59" s="1"/>
  <c r="AB6" i="59"/>
  <c r="V9" i="59"/>
  <c r="K76" i="9"/>
  <c r="K77" i="9" s="1"/>
  <c r="K79" i="9" s="1"/>
  <c r="K81" i="9" s="1"/>
  <c r="AA9" i="59"/>
  <c r="X9" i="59"/>
  <c r="Y8" i="59"/>
  <c r="Z8" i="59" s="1"/>
  <c r="AA8" i="59"/>
  <c r="AB8" i="59"/>
  <c r="X5" i="59"/>
  <c r="AA5" i="59"/>
  <c r="Y5" i="59"/>
  <c r="Z5" i="59" s="1"/>
  <c r="AB5" i="59"/>
  <c r="B6" i="52"/>
  <c r="E7" i="52"/>
  <c r="E4" i="4" s="1"/>
  <c r="B21" i="55" s="1"/>
  <c r="B72" i="63" s="1"/>
  <c r="E6" i="52"/>
  <c r="E4" i="52"/>
  <c r="B7" i="52"/>
  <c r="E5" i="52"/>
  <c r="P21" i="46"/>
  <c r="B6" i="59"/>
  <c r="B5" i="59" s="1"/>
  <c r="P22" i="46"/>
  <c r="P23" i="46"/>
  <c r="P25" i="46"/>
  <c r="B73" i="39" s="1"/>
  <c r="P24" i="46"/>
  <c r="B68" i="40" s="1"/>
  <c r="E22" i="52"/>
  <c r="B22" i="52"/>
  <c r="B10" i="52"/>
  <c r="B11" i="52"/>
  <c r="B4" i="52"/>
  <c r="E9" i="52"/>
  <c r="C4" i="65"/>
  <c r="B39" i="1" s="1"/>
  <c r="I1" i="65"/>
  <c r="Q73" i="44"/>
  <c r="C29" i="44"/>
  <c r="J1" i="65"/>
  <c r="E20" i="46"/>
  <c r="E17" i="52"/>
  <c r="E11" i="52"/>
  <c r="E15" i="52"/>
  <c r="E13" i="52"/>
  <c r="C4" i="4" s="1"/>
  <c r="B20" i="55" s="1"/>
  <c r="B70" i="63" s="1"/>
  <c r="B14" i="52"/>
  <c r="E8" i="52"/>
  <c r="E16" i="52"/>
  <c r="B5" i="52"/>
  <c r="B9" i="52"/>
  <c r="B16" i="52"/>
  <c r="B8" i="52"/>
  <c r="B13" i="52"/>
  <c r="E10" i="52"/>
  <c r="E21" i="52"/>
  <c r="M17" i="15"/>
  <c r="F58" i="15"/>
  <c r="F31" i="15"/>
  <c r="F33" i="44"/>
  <c r="M26" i="15"/>
  <c r="F16" i="15"/>
  <c r="F11" i="44"/>
  <c r="M23" i="15"/>
  <c r="F37" i="44"/>
  <c r="F26" i="15"/>
  <c r="E2" i="65"/>
  <c r="M28" i="15"/>
  <c r="L48" i="44"/>
  <c r="F38" i="15"/>
  <c r="L48" i="15"/>
  <c r="J15" i="15"/>
  <c r="F43" i="15"/>
  <c r="F13" i="15"/>
  <c r="F15" i="44"/>
  <c r="F42" i="15"/>
  <c r="M10" i="44"/>
  <c r="C19" i="44"/>
  <c r="M23" i="44"/>
  <c r="F38" i="44"/>
  <c r="F7" i="15"/>
  <c r="F9" i="44"/>
  <c r="F8" i="15"/>
  <c r="F8" i="44"/>
  <c r="F6" i="15"/>
  <c r="F37" i="15"/>
  <c r="J36" i="15"/>
  <c r="F9" i="15"/>
  <c r="M30" i="44"/>
  <c r="M29" i="15"/>
  <c r="L49" i="44"/>
  <c r="E3" i="65"/>
  <c r="C18" i="44"/>
  <c r="M24" i="15"/>
  <c r="M8" i="15"/>
  <c r="F36" i="15"/>
  <c r="M27" i="15"/>
  <c r="F40" i="15"/>
  <c r="L47" i="15"/>
  <c r="M22" i="15"/>
  <c r="M6" i="15"/>
  <c r="M9" i="15"/>
  <c r="AC17" i="39" l="1"/>
  <c r="S42" i="21"/>
  <c r="U42" i="21"/>
  <c r="AC23" i="21"/>
  <c r="U23" i="21"/>
  <c r="AB23" i="21"/>
  <c r="W19" i="21"/>
  <c r="AC19" i="21"/>
  <c r="S10" i="21"/>
  <c r="S37" i="21"/>
  <c r="AA37" i="21"/>
  <c r="AB37" i="21"/>
  <c r="W37" i="21"/>
  <c r="AC37" i="21"/>
  <c r="S29" i="21"/>
  <c r="AA29" i="21"/>
  <c r="U9" i="21"/>
  <c r="AA13" i="21"/>
  <c r="S13" i="21"/>
  <c r="S34" i="39"/>
  <c r="AB45" i="39"/>
  <c r="U45" i="39"/>
  <c r="U47" i="39"/>
  <c r="AB47" i="39"/>
  <c r="AC45" i="39"/>
  <c r="W45" i="39"/>
  <c r="W47" i="39"/>
  <c r="AC47" i="39"/>
  <c r="U38" i="39"/>
  <c r="AB38" i="39"/>
  <c r="AC39" i="39"/>
  <c r="W39" i="39"/>
  <c r="AC15" i="39"/>
  <c r="W15" i="39"/>
  <c r="D18" i="9"/>
  <c r="M44" i="9" s="1"/>
  <c r="M43" i="9"/>
  <c r="H22" i="46"/>
  <c r="AA11" i="46"/>
  <c r="AA13" i="46" s="1"/>
  <c r="Z7" i="46"/>
  <c r="C6" i="15"/>
  <c r="F70" i="15"/>
  <c r="L58" i="15"/>
  <c r="Q74" i="15" s="1"/>
  <c r="L59" i="15"/>
  <c r="Q75" i="15" s="1"/>
  <c r="F50" i="15"/>
  <c r="F65" i="15"/>
  <c r="F63" i="15"/>
  <c r="F64" i="15"/>
  <c r="Q72" i="15"/>
  <c r="I54" i="15"/>
  <c r="J53" i="15"/>
  <c r="Q53" i="15" s="1"/>
  <c r="J57" i="15"/>
  <c r="J55" i="15" s="1"/>
  <c r="J58" i="15" s="1"/>
  <c r="Q51" i="15" s="1"/>
  <c r="L56" i="15"/>
  <c r="F67" i="15"/>
  <c r="C27" i="15"/>
  <c r="M7" i="15"/>
  <c r="J6" i="15" s="1"/>
  <c r="F49" i="15"/>
  <c r="E22" i="46"/>
  <c r="J101" i="46"/>
  <c r="J104" i="46" s="1"/>
  <c r="C23" i="46"/>
  <c r="C21" i="46" s="1"/>
  <c r="J107" i="46"/>
  <c r="I101" i="46"/>
  <c r="I109" i="46" s="1"/>
  <c r="AF11" i="46"/>
  <c r="AF13" i="46" s="1"/>
  <c r="B113" i="46"/>
  <c r="B118" i="46" s="1"/>
  <c r="C118" i="46" s="1"/>
  <c r="Z11" i="46"/>
  <c r="Z13" i="46" s="1"/>
  <c r="N104" i="45"/>
  <c r="J22" i="46"/>
  <c r="M101" i="46"/>
  <c r="M104" i="46" s="1"/>
  <c r="AG11" i="46"/>
  <c r="AG13" i="46" s="1"/>
  <c r="AE11" i="46"/>
  <c r="AE13" i="46" s="1"/>
  <c r="K101" i="46"/>
  <c r="K103" i="46" s="1"/>
  <c r="F101" i="46"/>
  <c r="F106" i="46" s="1"/>
  <c r="K105" i="46"/>
  <c r="AI11" i="46"/>
  <c r="AI13" i="46" s="1"/>
  <c r="AH11" i="46"/>
  <c r="AH13" i="46" s="1"/>
  <c r="N101" i="46"/>
  <c r="N109" i="46" s="1"/>
  <c r="F22" i="46"/>
  <c r="G101" i="46"/>
  <c r="G102" i="46" s="1"/>
  <c r="G22" i="46"/>
  <c r="D101" i="46"/>
  <c r="D104" i="46" s="1"/>
  <c r="H101" i="46"/>
  <c r="H105" i="46" s="1"/>
  <c r="AC11" i="46"/>
  <c r="AC13" i="46" s="1"/>
  <c r="Y11" i="46"/>
  <c r="Y13" i="46" s="1"/>
  <c r="AJ11" i="46"/>
  <c r="AJ13" i="46" s="1"/>
  <c r="AB11" i="46"/>
  <c r="AB13" i="46" s="1"/>
  <c r="F105" i="46"/>
  <c r="L101" i="46"/>
  <c r="L106" i="46" s="1"/>
  <c r="C101" i="46"/>
  <c r="C107" i="46" s="1"/>
  <c r="E101" i="46"/>
  <c r="E107" i="46" s="1"/>
  <c r="E58" i="39"/>
  <c r="F27" i="6"/>
  <c r="F31" i="6" s="1"/>
  <c r="D12" i="11"/>
  <c r="C12" i="11" s="1"/>
  <c r="S5" i="46"/>
  <c r="S2" i="46"/>
  <c r="S6" i="46"/>
  <c r="S4" i="46"/>
  <c r="AD13" i="46"/>
  <c r="S7" i="46"/>
  <c r="G16" i="1"/>
  <c r="F12" i="39" s="1"/>
  <c r="E67" i="40"/>
  <c r="F65" i="40"/>
  <c r="M9" i="44"/>
  <c r="C8" i="44"/>
  <c r="J60" i="44"/>
  <c r="I55" i="44"/>
  <c r="L57" i="44"/>
  <c r="J54" i="44"/>
  <c r="F1" i="44" s="1"/>
  <c r="J58" i="44"/>
  <c r="J56" i="44" s="1"/>
  <c r="J59" i="44" s="1"/>
  <c r="Q52" i="44" s="1"/>
  <c r="J61" i="44"/>
  <c r="Q50" i="44" s="1"/>
  <c r="C36" i="44"/>
  <c r="L60" i="44"/>
  <c r="Q63" i="44" s="1"/>
  <c r="L59" i="44"/>
  <c r="Q62" i="44" s="1"/>
  <c r="J22" i="44"/>
  <c r="F12" i="59"/>
  <c r="F11" i="59" s="1"/>
  <c r="V13" i="59"/>
  <c r="D13" i="59"/>
  <c r="T13" i="59"/>
  <c r="C12" i="59"/>
  <c r="B51" i="59"/>
  <c r="N52" i="59"/>
  <c r="D15" i="59"/>
  <c r="C16" i="59"/>
  <c r="AB34" i="35"/>
  <c r="U34" i="35"/>
  <c r="AA25" i="37"/>
  <c r="S25" i="37"/>
  <c r="U25" i="37"/>
  <c r="AB25" i="37"/>
  <c r="AC12" i="36"/>
  <c r="W12" i="36"/>
  <c r="S30" i="21"/>
  <c r="AA30" i="21"/>
  <c r="AB12" i="21"/>
  <c r="U12" i="21"/>
  <c r="E10" i="6"/>
  <c r="E11" i="6"/>
  <c r="S44" i="33"/>
  <c r="AA44" i="33"/>
  <c r="G5" i="3"/>
  <c r="B3" i="3" s="1"/>
  <c r="E536" i="3" s="1"/>
  <c r="AZ484" i="3"/>
  <c r="BA5" i="3"/>
  <c r="E27" i="6" s="1"/>
  <c r="K20" i="6" s="1"/>
  <c r="AC23" i="36"/>
  <c r="W23" i="36"/>
  <c r="AB12" i="35"/>
  <c r="U12" i="35"/>
  <c r="H58" i="33"/>
  <c r="H58" i="21"/>
  <c r="I58" i="21" s="1"/>
  <c r="J58" i="21" s="1"/>
  <c r="K58" i="21" s="1"/>
  <c r="L58" i="21" s="1"/>
  <c r="M58" i="21" s="1"/>
  <c r="N58" i="21" s="1"/>
  <c r="O58" i="21" s="1"/>
  <c r="F7" i="21"/>
  <c r="E59" i="34"/>
  <c r="E46" i="36"/>
  <c r="AA7" i="37"/>
  <c r="R42" i="37" s="1"/>
  <c r="S7" i="37"/>
  <c r="F33" i="12"/>
  <c r="C34" i="12" s="1"/>
  <c r="D33" i="12" s="1"/>
  <c r="F18" i="11"/>
  <c r="C18" i="11" s="1"/>
  <c r="F24" i="43"/>
  <c r="C26" i="43" s="1"/>
  <c r="D24" i="43" s="1"/>
  <c r="E12" i="6"/>
  <c r="G70" i="39"/>
  <c r="F72" i="39"/>
  <c r="E13" i="6"/>
  <c r="E14" i="6"/>
  <c r="K14" i="1"/>
  <c r="E30" i="6"/>
  <c r="C7" i="59"/>
  <c r="D8" i="59"/>
  <c r="D23" i="59"/>
  <c r="C24" i="59"/>
  <c r="D20" i="59"/>
  <c r="C21" i="59"/>
  <c r="D41" i="59"/>
  <c r="T41" i="59"/>
  <c r="D37" i="59"/>
  <c r="T37" i="59"/>
  <c r="AA34" i="35"/>
  <c r="S34" i="35"/>
  <c r="AC34" i="35"/>
  <c r="W34" i="35"/>
  <c r="W25" i="37"/>
  <c r="AC25" i="37"/>
  <c r="U12" i="36"/>
  <c r="AB12" i="36"/>
  <c r="W30" i="21"/>
  <c r="AC30" i="21"/>
  <c r="U30" i="21"/>
  <c r="AB30" i="21"/>
  <c r="S12" i="21"/>
  <c r="AA12" i="21"/>
  <c r="AC11" i="35"/>
  <c r="W11" i="35"/>
  <c r="AZ483" i="3"/>
  <c r="AZ5" i="3" s="1"/>
  <c r="BL5" i="3"/>
  <c r="AZ501" i="3"/>
  <c r="AZ502" i="3"/>
  <c r="AZ560" i="3"/>
  <c r="AA23" i="36"/>
  <c r="S23" i="36"/>
  <c r="W12" i="35"/>
  <c r="AC12" i="35"/>
  <c r="J7" i="21"/>
  <c r="F48" i="35"/>
  <c r="H7" i="37"/>
  <c r="O6" i="1"/>
  <c r="H106" i="46"/>
  <c r="E15" i="6"/>
  <c r="H7" i="21"/>
  <c r="J7" i="37"/>
  <c r="F17" i="11"/>
  <c r="C17" i="11" s="1"/>
  <c r="B40" i="1"/>
  <c r="O17" i="46"/>
  <c r="P17" i="46"/>
  <c r="M17" i="46"/>
  <c r="N17" i="46"/>
  <c r="F13" i="44"/>
  <c r="C12" i="44" s="1"/>
  <c r="M11" i="15"/>
  <c r="J10" i="15" s="1"/>
  <c r="F11" i="15"/>
  <c r="M13" i="44"/>
  <c r="J12" i="44" s="1"/>
  <c r="M19" i="44"/>
  <c r="C16" i="15"/>
  <c r="C17" i="15"/>
  <c r="D115" i="46" l="1"/>
  <c r="E115" i="46" s="1"/>
  <c r="F115" i="46" s="1"/>
  <c r="G115" i="46" s="1"/>
  <c r="H115" i="46" s="1"/>
  <c r="I106" i="46"/>
  <c r="C104" i="46"/>
  <c r="I107" i="46"/>
  <c r="G118" i="46"/>
  <c r="H118" i="46" s="1"/>
  <c r="B116" i="46"/>
  <c r="C116" i="46" s="1"/>
  <c r="D22" i="46"/>
  <c r="I103" i="46"/>
  <c r="I102" i="46"/>
  <c r="I118" i="46"/>
  <c r="J118" i="46" s="1"/>
  <c r="K118" i="46" s="1"/>
  <c r="L118" i="46" s="1"/>
  <c r="M118" i="46" s="1"/>
  <c r="D117" i="46"/>
  <c r="E117" i="46" s="1"/>
  <c r="F117" i="46" s="1"/>
  <c r="G117" i="46" s="1"/>
  <c r="H117" i="46" s="1"/>
  <c r="J5" i="15"/>
  <c r="J26" i="15" s="1"/>
  <c r="Q61" i="15"/>
  <c r="L104" i="46"/>
  <c r="L107" i="46"/>
  <c r="F102" i="46"/>
  <c r="C48" i="15"/>
  <c r="F1" i="15"/>
  <c r="N103" i="46"/>
  <c r="E104" i="46"/>
  <c r="E103" i="46"/>
  <c r="F103" i="46"/>
  <c r="M20" i="6"/>
  <c r="I20" i="6" s="1"/>
  <c r="S20" i="6" s="1"/>
  <c r="S7" i="1"/>
  <c r="H103" i="46"/>
  <c r="K26" i="6"/>
  <c r="M26" i="6" s="1"/>
  <c r="I26" i="6" s="1"/>
  <c r="S26" i="6" s="1"/>
  <c r="K19" i="6"/>
  <c r="S6" i="1" s="1"/>
  <c r="K102" i="46"/>
  <c r="C105" i="46"/>
  <c r="J105" i="46"/>
  <c r="J109" i="46"/>
  <c r="H107" i="46"/>
  <c r="H104" i="46"/>
  <c r="I104" i="46"/>
  <c r="I105" i="46"/>
  <c r="D116" i="46"/>
  <c r="E116" i="46" s="1"/>
  <c r="F116" i="46" s="1"/>
  <c r="G116" i="46" s="1"/>
  <c r="H116" i="46" s="1"/>
  <c r="I115" i="46"/>
  <c r="J115" i="46" s="1"/>
  <c r="K115" i="46" s="1"/>
  <c r="L115" i="46" s="1"/>
  <c r="M115" i="46" s="1"/>
  <c r="K106" i="46"/>
  <c r="B115" i="46"/>
  <c r="C115" i="46" s="1"/>
  <c r="D118" i="46"/>
  <c r="E118" i="46" s="1"/>
  <c r="F118" i="46" s="1"/>
  <c r="Q62" i="15"/>
  <c r="J102" i="46"/>
  <c r="J106" i="46"/>
  <c r="J103" i="46"/>
  <c r="M102" i="46"/>
  <c r="D102" i="46"/>
  <c r="G106" i="46"/>
  <c r="D106" i="46"/>
  <c r="M107" i="46"/>
  <c r="M103" i="46"/>
  <c r="G107" i="46"/>
  <c r="N105" i="46"/>
  <c r="F104" i="46"/>
  <c r="D105" i="46"/>
  <c r="D109" i="46"/>
  <c r="M109" i="46"/>
  <c r="M106" i="46"/>
  <c r="M105" i="46"/>
  <c r="G105" i="46"/>
  <c r="G104" i="46"/>
  <c r="N107" i="46"/>
  <c r="E106" i="46"/>
  <c r="I116" i="46"/>
  <c r="J116" i="46" s="1"/>
  <c r="K116" i="46" s="1"/>
  <c r="L116" i="46" s="1"/>
  <c r="M116" i="46" s="1"/>
  <c r="I117" i="46"/>
  <c r="J117" i="46" s="1"/>
  <c r="K117" i="46" s="1"/>
  <c r="L117" i="46" s="1"/>
  <c r="M117" i="46" s="1"/>
  <c r="B117" i="46"/>
  <c r="C117" i="46" s="1"/>
  <c r="K104" i="46"/>
  <c r="K109" i="46"/>
  <c r="H102" i="46"/>
  <c r="H109" i="46"/>
  <c r="K107" i="46"/>
  <c r="C109" i="46"/>
  <c r="C103" i="46"/>
  <c r="F107" i="46"/>
  <c r="F109" i="46"/>
  <c r="L105" i="46"/>
  <c r="L109" i="46"/>
  <c r="D107" i="46"/>
  <c r="D103" i="46"/>
  <c r="G103" i="46"/>
  <c r="G109" i="46"/>
  <c r="N106" i="46"/>
  <c r="N104" i="46"/>
  <c r="N102" i="46"/>
  <c r="E105" i="46"/>
  <c r="L102" i="46"/>
  <c r="L103" i="46"/>
  <c r="E102" i="46"/>
  <c r="E109" i="46"/>
  <c r="C102" i="46"/>
  <c r="S3" i="46" s="1"/>
  <c r="C106" i="46"/>
  <c r="H12" i="39"/>
  <c r="AB12" i="39" s="1"/>
  <c r="E489" i="3"/>
  <c r="K23" i="6"/>
  <c r="M23" i="6" s="1"/>
  <c r="I23" i="6" s="1"/>
  <c r="S23" i="6" s="1"/>
  <c r="K22" i="6"/>
  <c r="M22" i="6" s="1"/>
  <c r="I22" i="6" s="1"/>
  <c r="S22" i="6" s="1"/>
  <c r="E481" i="3"/>
  <c r="J12" i="39"/>
  <c r="W12" i="39" s="1"/>
  <c r="E524" i="3"/>
  <c r="E14" i="3"/>
  <c r="C19" i="11"/>
  <c r="C20" i="11" s="1"/>
  <c r="C21" i="11" s="1"/>
  <c r="C22" i="11" s="1"/>
  <c r="C23" i="11" s="1"/>
  <c r="B2" i="11" s="1"/>
  <c r="H12" i="40"/>
  <c r="U12" i="40" s="1"/>
  <c r="K21" i="6"/>
  <c r="K24" i="6"/>
  <c r="M24" i="6" s="1"/>
  <c r="I24" i="6" s="1"/>
  <c r="S24" i="6" s="1"/>
  <c r="K25" i="6"/>
  <c r="M25" i="6" s="1"/>
  <c r="I25" i="6" s="1"/>
  <c r="S25" i="6" s="1"/>
  <c r="Q75" i="44"/>
  <c r="J12" i="40"/>
  <c r="AC12" i="40" s="1"/>
  <c r="F12" i="40"/>
  <c r="AA12" i="40" s="1"/>
  <c r="G65" i="40"/>
  <c r="F67" i="40"/>
  <c r="Q54" i="44"/>
  <c r="C7" i="44"/>
  <c r="C34" i="44" s="1"/>
  <c r="Q76" i="44"/>
  <c r="L47" i="44"/>
  <c r="E3" i="6"/>
  <c r="AY6" i="3"/>
  <c r="U7" i="21"/>
  <c r="AB7" i="21"/>
  <c r="AB7" i="37"/>
  <c r="T42" i="37" s="1"/>
  <c r="G42" i="37" s="1"/>
  <c r="U7" i="37"/>
  <c r="W12" i="40"/>
  <c r="S12" i="40"/>
  <c r="S12" i="39"/>
  <c r="AA12" i="39"/>
  <c r="D21" i="59"/>
  <c r="T21" i="59"/>
  <c r="D24" i="59"/>
  <c r="C25" i="59"/>
  <c r="M14" i="1"/>
  <c r="K16" i="1"/>
  <c r="M19" i="6"/>
  <c r="E61" i="40"/>
  <c r="E66" i="39"/>
  <c r="G72" i="39"/>
  <c r="H70" i="39"/>
  <c r="E42" i="37"/>
  <c r="R43" i="37"/>
  <c r="F46" i="36"/>
  <c r="I58" i="3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1" i="3"/>
  <c r="E68" i="3"/>
  <c r="E135" i="3"/>
  <c r="E206" i="3"/>
  <c r="E132" i="3"/>
  <c r="E333" i="3"/>
  <c r="E91" i="3"/>
  <c r="E115" i="3"/>
  <c r="E457" i="3"/>
  <c r="E3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W6" i="3"/>
  <c r="E293" i="3"/>
  <c r="E190" i="3"/>
  <c r="E560" i="3"/>
  <c r="E420" i="3"/>
  <c r="E233" i="3"/>
  <c r="E203" i="3"/>
  <c r="E402" i="3"/>
  <c r="E172" i="3"/>
  <c r="E255" i="3"/>
  <c r="E417" i="3"/>
  <c r="E145" i="3"/>
  <c r="E279" i="3"/>
  <c r="E347" i="3"/>
  <c r="E400" i="3"/>
  <c r="E58" i="3"/>
  <c r="E197" i="3"/>
  <c r="E285" i="3"/>
  <c r="E61" i="3"/>
  <c r="E433" i="3"/>
  <c r="E529" i="3"/>
  <c r="E300" i="3"/>
  <c r="E379" i="3"/>
  <c r="E530" i="3"/>
  <c r="E538" i="3"/>
  <c r="E403" i="3"/>
  <c r="E217" i="3"/>
  <c r="E177" i="3"/>
  <c r="E432" i="3"/>
  <c r="E90" i="3"/>
  <c r="E210" i="3"/>
  <c r="E106" i="3"/>
  <c r="E169" i="3"/>
  <c r="E118" i="3"/>
  <c r="E378" i="3"/>
  <c r="E351" i="3"/>
  <c r="E342" i="3"/>
  <c r="E368" i="3"/>
  <c r="E510" i="3"/>
  <c r="E504" i="3"/>
  <c r="E406" i="3"/>
  <c r="E244" i="3"/>
  <c r="E137" i="3"/>
  <c r="E301" i="3"/>
  <c r="E484" i="3"/>
  <c r="E356" i="3"/>
  <c r="E297" i="3"/>
  <c r="M6" i="3"/>
  <c r="E475" i="3"/>
  <c r="E241"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86" i="3"/>
  <c r="E192" i="3"/>
  <c r="E421" i="3"/>
  <c r="E69" i="3"/>
  <c r="E446" i="3"/>
  <c r="E152" i="3"/>
  <c r="E437" i="3"/>
  <c r="E46" i="3"/>
  <c r="E221" i="3"/>
  <c r="E359" i="3"/>
  <c r="E195" i="3"/>
  <c r="E391" i="3"/>
  <c r="E469" i="3"/>
  <c r="E111" i="3"/>
  <c r="E261" i="3"/>
  <c r="E39" i="3"/>
  <c r="E107" i="3"/>
  <c r="E288" i="3"/>
  <c r="E393" i="3"/>
  <c r="E88" i="3"/>
  <c r="E480" i="3"/>
  <c r="E220" i="3"/>
  <c r="E517" i="3"/>
  <c r="E453" i="3"/>
  <c r="AQ6" i="3"/>
  <c r="E162" i="3"/>
  <c r="E235" i="3"/>
  <c r="E229" i="3"/>
  <c r="E120" i="3"/>
  <c r="E191" i="3"/>
  <c r="E555" i="3"/>
  <c r="E355" i="3"/>
  <c r="E499" i="3"/>
  <c r="E558" i="3"/>
  <c r="E173" i="3"/>
  <c r="E436" i="3"/>
  <c r="E260" i="3"/>
  <c r="E307" i="3"/>
  <c r="E153" i="3"/>
  <c r="E339" i="3"/>
  <c r="E226" i="3"/>
  <c r="E163" i="3"/>
  <c r="E364" i="3"/>
  <c r="AL6" i="3"/>
  <c r="E522" i="3"/>
  <c r="E572" i="3"/>
  <c r="E516" i="3"/>
  <c r="E227" i="3"/>
  <c r="E488" i="3"/>
  <c r="E71" i="3"/>
  <c r="E240" i="3"/>
  <c r="E382" i="3"/>
  <c r="E326" i="3"/>
  <c r="E571" i="3"/>
  <c r="E562" i="3"/>
  <c r="E539" i="3"/>
  <c r="E16" i="6"/>
  <c r="E512" i="3"/>
  <c r="D16" i="59"/>
  <c r="C17" i="59"/>
  <c r="D12" i="59"/>
  <c r="C11" i="59"/>
  <c r="D11" i="59" s="1"/>
  <c r="W7" i="37"/>
  <c r="AC7" i="37"/>
  <c r="V42" i="37" s="1"/>
  <c r="I42" i="37" s="1"/>
  <c r="E67" i="39"/>
  <c r="E62" i="40"/>
  <c r="P6" i="1"/>
  <c r="C15" i="12" s="1"/>
  <c r="G48" i="35"/>
  <c r="H48" i="35" s="1"/>
  <c r="I48" i="35" s="1"/>
  <c r="J48" i="35" s="1"/>
  <c r="K48" i="35" s="1"/>
  <c r="L48" i="35" s="1"/>
  <c r="M48" i="35" s="1"/>
  <c r="N48" i="35" s="1"/>
  <c r="O48" i="35" s="1"/>
  <c r="J7" i="35"/>
  <c r="AC7" i="21"/>
  <c r="W7" i="21"/>
  <c r="D7" i="59"/>
  <c r="C6" i="59"/>
  <c r="E60" i="40"/>
  <c r="E65" i="39"/>
  <c r="E64" i="39"/>
  <c r="E59" i="40"/>
  <c r="F59" i="34"/>
  <c r="S7" i="21"/>
  <c r="AA7" i="21"/>
  <c r="E31" i="6"/>
  <c r="E58" i="40"/>
  <c r="E63" i="39"/>
  <c r="N51" i="59"/>
  <c r="N50" i="59"/>
  <c r="J8" i="44"/>
  <c r="J7" i="44" s="1"/>
  <c r="F21" i="43"/>
  <c r="C23" i="43" s="1"/>
  <c r="D21" i="43" s="1"/>
  <c r="F24" i="15"/>
  <c r="C24" i="15" s="1"/>
  <c r="F26" i="44"/>
  <c r="C26" i="44" s="1"/>
  <c r="F26" i="12"/>
  <c r="C52" i="15"/>
  <c r="C10" i="15"/>
  <c r="C5" i="15" s="1"/>
  <c r="AE8" i="1"/>
  <c r="J24" i="15" l="1"/>
  <c r="J18" i="15"/>
  <c r="AB12" i="40"/>
  <c r="C47" i="15"/>
  <c r="C59" i="15" s="1"/>
  <c r="K27" i="6"/>
  <c r="M21" i="6"/>
  <c r="I21" i="6" s="1"/>
  <c r="S21" i="6" s="1"/>
  <c r="S8" i="1"/>
  <c r="D113" i="46"/>
  <c r="U12" i="39"/>
  <c r="AC12" i="39"/>
  <c r="H6" i="3"/>
  <c r="AC6" i="3"/>
  <c r="H7" i="35"/>
  <c r="G67" i="40"/>
  <c r="H65" i="40"/>
  <c r="C40" i="44"/>
  <c r="J28" i="44"/>
  <c r="J31" i="44" s="1"/>
  <c r="Q49" i="44" s="1"/>
  <c r="Q55" i="44" s="1"/>
  <c r="J20" i="44"/>
  <c r="J26" i="44"/>
  <c r="G59" i="34"/>
  <c r="C5" i="59"/>
  <c r="D6" i="59"/>
  <c r="W7" i="35"/>
  <c r="AC7" i="35"/>
  <c r="V38" i="35" s="1"/>
  <c r="I38" i="35" s="1"/>
  <c r="I46" i="37"/>
  <c r="J46" i="37" s="1"/>
  <c r="I47" i="37"/>
  <c r="J47" i="37" s="1"/>
  <c r="J58" i="33"/>
  <c r="G46" i="36"/>
  <c r="E46" i="37"/>
  <c r="F46" i="37" s="1"/>
  <c r="E47" i="37"/>
  <c r="F47" i="37" s="1"/>
  <c r="I19" i="6"/>
  <c r="O14" i="1"/>
  <c r="O16" i="1" s="1"/>
  <c r="M16" i="1"/>
  <c r="D25" i="59"/>
  <c r="T25" i="59"/>
  <c r="D16" i="43"/>
  <c r="C16" i="43" s="1"/>
  <c r="C21" i="4"/>
  <c r="O5" i="54" s="1"/>
  <c r="B45" i="63" s="1"/>
  <c r="D10" i="11"/>
  <c r="D16" i="12"/>
  <c r="E6" i="6"/>
  <c r="L38" i="9"/>
  <c r="B14" i="66" s="1"/>
  <c r="B1" i="66" s="1"/>
  <c r="D45" i="9"/>
  <c r="U7" i="35"/>
  <c r="AB7" i="35"/>
  <c r="T38" i="35" s="1"/>
  <c r="G38" i="35" s="1"/>
  <c r="D17" i="59"/>
  <c r="T17" i="59"/>
  <c r="C42" i="37"/>
  <c r="C43" i="37"/>
  <c r="B3" i="37" s="1"/>
  <c r="B2" i="37" s="1"/>
  <c r="H72" i="39"/>
  <c r="I70" i="39"/>
  <c r="G47" i="37"/>
  <c r="H47" i="37" s="1"/>
  <c r="G46" i="37"/>
  <c r="H46" i="37"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252" i="3"/>
  <c r="BM6" i="3"/>
  <c r="AY260" i="3"/>
  <c r="AY423" i="3"/>
  <c r="AY228" i="3"/>
  <c r="AY18"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F7" i="35"/>
  <c r="C32" i="15"/>
  <c r="C38" i="15"/>
  <c r="B5" i="11"/>
  <c r="B3" i="11"/>
  <c r="B4" i="11"/>
  <c r="C27" i="12"/>
  <c r="D26" i="12" s="1"/>
  <c r="C32" i="12" s="1"/>
  <c r="D30" i="12" s="1"/>
  <c r="F41" i="15"/>
  <c r="L52" i="44"/>
  <c r="F68" i="15" l="1"/>
  <c r="J29" i="15"/>
  <c r="C65" i="15"/>
  <c r="M27" i="6"/>
  <c r="S16" i="1"/>
  <c r="T8" i="1" s="1"/>
  <c r="E6" i="3"/>
  <c r="P14" i="1"/>
  <c r="P16" i="1" s="1"/>
  <c r="C13" i="12" s="1"/>
  <c r="C17" i="12" s="1"/>
  <c r="H67" i="40"/>
  <c r="I65" i="40"/>
  <c r="Q67" i="44"/>
  <c r="Q69" i="44"/>
  <c r="L58" i="44"/>
  <c r="L61" i="44" s="1"/>
  <c r="Q59" i="44" s="1"/>
  <c r="Q58" i="44"/>
  <c r="E63" i="40"/>
  <c r="C22" i="4"/>
  <c r="D19" i="6"/>
  <c r="D21" i="6"/>
  <c r="D25" i="6"/>
  <c r="D10" i="6"/>
  <c r="D13" i="6"/>
  <c r="H21" i="6"/>
  <c r="H24" i="6"/>
  <c r="D6" i="6"/>
  <c r="D23" i="6"/>
  <c r="D14" i="6"/>
  <c r="D28" i="6"/>
  <c r="D20" i="6"/>
  <c r="D8" i="6"/>
  <c r="H23" i="6"/>
  <c r="H19" i="6"/>
  <c r="D24" i="6"/>
  <c r="D22" i="6"/>
  <c r="D12" i="6"/>
  <c r="H25" i="6"/>
  <c r="D5" i="6"/>
  <c r="H22" i="6"/>
  <c r="D15" i="6"/>
  <c r="D26" i="6"/>
  <c r="H20" i="6"/>
  <c r="D29" i="6"/>
  <c r="H26" i="6"/>
  <c r="E68" i="39"/>
  <c r="K38" i="9"/>
  <c r="C14" i="66" s="1"/>
  <c r="B2" i="66" s="1"/>
  <c r="D11" i="6"/>
  <c r="D9" i="6"/>
  <c r="F45" i="9"/>
  <c r="E45" i="9"/>
  <c r="I72" i="39"/>
  <c r="J70" i="39"/>
  <c r="D19" i="12"/>
  <c r="C19" i="12" s="1"/>
  <c r="C16" i="12"/>
  <c r="K58" i="33"/>
  <c r="I42" i="35"/>
  <c r="J42" i="35" s="1"/>
  <c r="AA7" i="35"/>
  <c r="R38" i="35" s="1"/>
  <c r="S7" i="35"/>
  <c r="G42" i="35"/>
  <c r="H42" i="35" s="1"/>
  <c r="G43" i="35"/>
  <c r="H43" i="35" s="1"/>
  <c r="C7" i="66"/>
  <c r="D13" i="11"/>
  <c r="C13" i="11" s="1"/>
  <c r="D22" i="12"/>
  <c r="C22" i="12" s="1"/>
  <c r="C20" i="12" s="1"/>
  <c r="L16" i="1"/>
  <c r="N16" i="1"/>
  <c r="C29" i="43" s="1"/>
  <c r="C13" i="43"/>
  <c r="I27" i="6"/>
  <c r="S19" i="6"/>
  <c r="S27" i="6" s="1"/>
  <c r="H46" i="36"/>
  <c r="D5" i="59"/>
  <c r="M20" i="46"/>
  <c r="C19" i="46" s="1"/>
  <c r="H59" i="34"/>
  <c r="C14" i="12" l="1"/>
  <c r="H27" i="6"/>
  <c r="T13" i="1"/>
  <c r="T7" i="1"/>
  <c r="T11" i="1"/>
  <c r="T10" i="1"/>
  <c r="T9" i="1"/>
  <c r="T12" i="1"/>
  <c r="T6" i="1"/>
  <c r="D30" i="6"/>
  <c r="D16" i="6"/>
  <c r="R24" i="6"/>
  <c r="Q68" i="44"/>
  <c r="Q77" i="44" s="1"/>
  <c r="I67" i="40"/>
  <c r="J65" i="40"/>
  <c r="Q64" i="44"/>
  <c r="C18" i="12"/>
  <c r="C14" i="43"/>
  <c r="C17" i="43"/>
  <c r="I59" i="34"/>
  <c r="I46" i="36"/>
  <c r="R39" i="35"/>
  <c r="E38" i="35"/>
  <c r="L58" i="33"/>
  <c r="D7" i="66"/>
  <c r="R26" i="6"/>
  <c r="R23" i="6"/>
  <c r="R25" i="6"/>
  <c r="R19" i="6"/>
  <c r="D27" i="6"/>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J72" i="39"/>
  <c r="K70" i="39"/>
  <c r="R22" i="6"/>
  <c r="R20" i="6"/>
  <c r="R7" i="1" s="1"/>
  <c r="R21" i="6"/>
  <c r="R8" i="1" s="1"/>
  <c r="A6" i="51"/>
  <c r="B7" i="63" s="1"/>
  <c r="A20" i="64"/>
  <c r="A20" i="51"/>
  <c r="B15" i="63" s="1"/>
  <c r="N5" i="54"/>
  <c r="B43" i="63" s="1"/>
  <c r="A6" i="64"/>
  <c r="M21" i="15"/>
  <c r="C16" i="44"/>
  <c r="F35" i="15"/>
  <c r="C14" i="15"/>
  <c r="J20" i="15" l="1"/>
  <c r="F62" i="15"/>
  <c r="C61" i="15" s="1"/>
  <c r="C34" i="15"/>
  <c r="C23" i="12"/>
  <c r="C109" i="9"/>
  <c r="C110" i="9" s="1"/>
  <c r="T16" i="1"/>
  <c r="C15" i="15"/>
  <c r="C18" i="15"/>
  <c r="C17" i="44"/>
  <c r="C20" i="44"/>
  <c r="R27" i="6"/>
  <c r="R6" i="1"/>
  <c r="R16" i="1" s="1"/>
  <c r="D31" i="6"/>
  <c r="I6" i="6" s="1"/>
  <c r="J67" i="40"/>
  <c r="K65" i="40"/>
  <c r="C18" i="43"/>
  <c r="C19" i="43" s="1"/>
  <c r="C25" i="43" s="1"/>
  <c r="C24" i="43" s="1"/>
  <c r="K72" i="39"/>
  <c r="L70" i="39"/>
  <c r="E34" i="46"/>
  <c r="G34" i="46"/>
  <c r="I34" i="46" s="1"/>
  <c r="G39" i="46"/>
  <c r="I39" i="46" s="1"/>
  <c r="E39" i="46"/>
  <c r="G36" i="46"/>
  <c r="I36" i="46" s="1"/>
  <c r="E36" i="46"/>
  <c r="E33" i="46"/>
  <c r="G33" i="46"/>
  <c r="I33" i="46" s="1"/>
  <c r="M58" i="33"/>
  <c r="C39" i="35"/>
  <c r="B3" i="35" s="1"/>
  <c r="B2" i="35" s="1"/>
  <c r="C38" i="35"/>
  <c r="J59" i="34"/>
  <c r="E38" i="46"/>
  <c r="G38" i="46"/>
  <c r="I38" i="46" s="1"/>
  <c r="G37" i="46"/>
  <c r="I37" i="46" s="1"/>
  <c r="E37" i="46"/>
  <c r="E29" i="46"/>
  <c r="C30" i="46"/>
  <c r="E30" i="46" s="1"/>
  <c r="C27" i="46" s="1"/>
  <c r="G35" i="46"/>
  <c r="I35" i="46" s="1"/>
  <c r="E35" i="46"/>
  <c r="E42" i="35"/>
  <c r="F42" i="35" s="1"/>
  <c r="E43" i="35"/>
  <c r="F43" i="35" s="1"/>
  <c r="I43" i="35"/>
  <c r="J43" i="35" s="1"/>
  <c r="J46" i="36"/>
  <c r="F7" i="67"/>
  <c r="C11" i="21" l="1"/>
  <c r="C13" i="39"/>
  <c r="C21" i="44"/>
  <c r="C22" i="44" s="1"/>
  <c r="C25" i="44" s="1"/>
  <c r="C19" i="15"/>
  <c r="C20" i="15" s="1"/>
  <c r="C26" i="15" s="1"/>
  <c r="I5" i="6"/>
  <c r="L65" i="40"/>
  <c r="K67" i="40"/>
  <c r="C22" i="43"/>
  <c r="C21" i="43" s="1"/>
  <c r="C28" i="43" s="1"/>
  <c r="C30" i="43" s="1"/>
  <c r="C32" i="43" s="1"/>
  <c r="B2" i="43" s="1"/>
  <c r="B4" i="43" s="1"/>
  <c r="E4" i="67"/>
  <c r="L72" i="39"/>
  <c r="M70" i="39"/>
  <c r="C26" i="46"/>
  <c r="K46" i="36"/>
  <c r="K59" i="34"/>
  <c r="N58" i="33"/>
  <c r="E7" i="67"/>
  <c r="J13" i="39" l="1"/>
  <c r="H13" i="39"/>
  <c r="F13" i="39"/>
  <c r="J11" i="21"/>
  <c r="F11" i="21"/>
  <c r="H11" i="21"/>
  <c r="C28" i="44"/>
  <c r="C31" i="44" s="1"/>
  <c r="J21" i="44" s="1"/>
  <c r="J19" i="44" s="1"/>
  <c r="C23" i="15"/>
  <c r="C29" i="15" s="1"/>
  <c r="C56" i="15" s="1"/>
  <c r="C63" i="15" s="1"/>
  <c r="L67" i="40"/>
  <c r="M65" i="40"/>
  <c r="B5" i="43"/>
  <c r="B3" i="43"/>
  <c r="E3" i="67"/>
  <c r="L46" i="36"/>
  <c r="N70" i="39"/>
  <c r="N72" i="39" s="1"/>
  <c r="H9" i="39" s="1"/>
  <c r="M72" i="39"/>
  <c r="O58" i="33"/>
  <c r="H7" i="33" s="1"/>
  <c r="L59" i="34"/>
  <c r="M59" i="34" s="1"/>
  <c r="N59" i="34" s="1"/>
  <c r="O59" i="34" s="1"/>
  <c r="H7" i="34" s="1"/>
  <c r="B2" i="46"/>
  <c r="F9" i="39"/>
  <c r="B7" i="67"/>
  <c r="U11" i="21" l="1"/>
  <c r="AB11" i="21"/>
  <c r="T48" i="21" s="1"/>
  <c r="G48" i="21" s="1"/>
  <c r="W11" i="21"/>
  <c r="AC11" i="21"/>
  <c r="V48" i="21" s="1"/>
  <c r="I48" i="21" s="1"/>
  <c r="I52" i="21" s="1"/>
  <c r="J52" i="21" s="1"/>
  <c r="AB13" i="39"/>
  <c r="U13" i="39"/>
  <c r="S11" i="21"/>
  <c r="AA11" i="21"/>
  <c r="R48" i="21" s="1"/>
  <c r="S13" i="39"/>
  <c r="AA13" i="39"/>
  <c r="AC13" i="39"/>
  <c r="W13" i="39"/>
  <c r="C15" i="44"/>
  <c r="C39" i="44" s="1"/>
  <c r="J16" i="44"/>
  <c r="J15" i="44" s="1"/>
  <c r="J25" i="44" s="1"/>
  <c r="Q51" i="44"/>
  <c r="C38" i="44"/>
  <c r="C35" i="44"/>
  <c r="C33" i="44" s="1"/>
  <c r="C13" i="15"/>
  <c r="J35" i="15" s="1"/>
  <c r="J14" i="15"/>
  <c r="J13" i="15" s="1"/>
  <c r="J23" i="15" s="1"/>
  <c r="J59" i="15"/>
  <c r="J60" i="15" s="1"/>
  <c r="Q49" i="15" s="1"/>
  <c r="C60" i="15"/>
  <c r="C58" i="15" s="1"/>
  <c r="C36" i="15"/>
  <c r="J19" i="15"/>
  <c r="J17" i="15" s="1"/>
  <c r="C33" i="15"/>
  <c r="C31" i="15" s="1"/>
  <c r="Q50" i="15"/>
  <c r="J9" i="39"/>
  <c r="AC9" i="39" s="1"/>
  <c r="V49" i="39" s="1"/>
  <c r="I49" i="39" s="1"/>
  <c r="M67" i="40"/>
  <c r="F9" i="40" s="1"/>
  <c r="N65" i="40"/>
  <c r="N67" i="40" s="1"/>
  <c r="H9" i="40"/>
  <c r="B2" i="67"/>
  <c r="U7" i="34"/>
  <c r="AB7" i="34"/>
  <c r="T49" i="34" s="1"/>
  <c r="G49" i="34" s="1"/>
  <c r="U7" i="33"/>
  <c r="AB7" i="33"/>
  <c r="T48" i="33" s="1"/>
  <c r="G48" i="33" s="1"/>
  <c r="M46" i="36"/>
  <c r="N46" i="36" s="1"/>
  <c r="O46" i="36" s="1"/>
  <c r="S9" i="39"/>
  <c r="AA9" i="39"/>
  <c r="D4" i="46"/>
  <c r="B3" i="46"/>
  <c r="B4" i="46"/>
  <c r="F7" i="34"/>
  <c r="J7" i="34"/>
  <c r="F7" i="33"/>
  <c r="J7" i="33"/>
  <c r="AB9" i="39"/>
  <c r="T49" i="39" s="1"/>
  <c r="G49" i="39" s="1"/>
  <c r="U9" i="39"/>
  <c r="R49" i="39" l="1"/>
  <c r="E48" i="21"/>
  <c r="R49" i="21"/>
  <c r="G52" i="21"/>
  <c r="H52" i="21" s="1"/>
  <c r="G53" i="21"/>
  <c r="H53" i="21" s="1"/>
  <c r="W9" i="39"/>
  <c r="J24" i="44"/>
  <c r="J18" i="44" s="1"/>
  <c r="J27" i="44" s="1"/>
  <c r="C43" i="44"/>
  <c r="Q72" i="44"/>
  <c r="C32" i="44"/>
  <c r="C42" i="44" s="1"/>
  <c r="Q71" i="44" s="1"/>
  <c r="C37" i="15"/>
  <c r="C30" i="15" s="1"/>
  <c r="C39" i="15" s="1"/>
  <c r="C40" i="15" s="1"/>
  <c r="C55" i="15"/>
  <c r="C64" i="15" s="1"/>
  <c r="C57" i="15" s="1"/>
  <c r="C66" i="15" s="1"/>
  <c r="C67" i="15" s="1"/>
  <c r="C70" i="15" s="1"/>
  <c r="Q71" i="15"/>
  <c r="J22" i="15"/>
  <c r="J16" i="15" s="1"/>
  <c r="J25" i="15" s="1"/>
  <c r="L46" i="15"/>
  <c r="S9" i="40"/>
  <c r="AA9" i="40"/>
  <c r="R44" i="40" s="1"/>
  <c r="U9" i="40"/>
  <c r="AB9" i="40"/>
  <c r="T44" i="40" s="1"/>
  <c r="G44" i="40" s="1"/>
  <c r="J9" i="40"/>
  <c r="F7" i="36"/>
  <c r="AA7" i="36" s="1"/>
  <c r="R36" i="36" s="1"/>
  <c r="S7" i="33"/>
  <c r="AA7" i="33"/>
  <c r="R48" i="33" s="1"/>
  <c r="W7" i="33"/>
  <c r="AC7" i="33"/>
  <c r="V48" i="33" s="1"/>
  <c r="I48" i="33" s="1"/>
  <c r="W7" i="34"/>
  <c r="AC7" i="34"/>
  <c r="V49" i="34" s="1"/>
  <c r="I49" i="34" s="1"/>
  <c r="H7" i="36"/>
  <c r="J7" i="36"/>
  <c r="I53" i="39"/>
  <c r="J53" i="39" s="1"/>
  <c r="G53" i="39"/>
  <c r="H53" i="39" s="1"/>
  <c r="G54" i="39"/>
  <c r="H54" i="39" s="1"/>
  <c r="S7" i="34"/>
  <c r="AA7" i="34"/>
  <c r="R49" i="34" s="1"/>
  <c r="R50" i="39"/>
  <c r="E49" i="39"/>
  <c r="S7" i="36"/>
  <c r="G52" i="33"/>
  <c r="H52" i="33" s="1"/>
  <c r="G53" i="33"/>
  <c r="H53" i="33" s="1"/>
  <c r="G53" i="34"/>
  <c r="H53" i="34" s="1"/>
  <c r="G54" i="34"/>
  <c r="H54" i="34" s="1"/>
  <c r="B3" i="67"/>
  <c r="B4" i="67"/>
  <c r="L51" i="15"/>
  <c r="C48" i="21" l="1"/>
  <c r="C49" i="21"/>
  <c r="B3" i="21" s="1"/>
  <c r="I53" i="21"/>
  <c r="J53" i="21" s="1"/>
  <c r="E52" i="21"/>
  <c r="F52" i="21" s="1"/>
  <c r="E53" i="21"/>
  <c r="F53" i="21" s="1"/>
  <c r="Q70" i="44"/>
  <c r="C44" i="44"/>
  <c r="C45" i="44" s="1"/>
  <c r="B2" i="44" s="1"/>
  <c r="B5" i="44" s="1"/>
  <c r="L57" i="15"/>
  <c r="L60" i="15" s="1"/>
  <c r="Q67" i="15" s="1"/>
  <c r="Q68" i="15"/>
  <c r="Q70" i="15"/>
  <c r="Q69" i="15" s="1"/>
  <c r="J39" i="15"/>
  <c r="J40" i="15" s="1"/>
  <c r="C43" i="15"/>
  <c r="Q57" i="15"/>
  <c r="Q66" i="15"/>
  <c r="Q48" i="15"/>
  <c r="Q54" i="15" s="1"/>
  <c r="B2" i="15"/>
  <c r="J42" i="15"/>
  <c r="J43" i="15" s="1"/>
  <c r="C46" i="15"/>
  <c r="G48" i="40"/>
  <c r="H48" i="40" s="1"/>
  <c r="R45" i="40"/>
  <c r="E44" i="40"/>
  <c r="W9" i="40"/>
  <c r="AC9" i="40"/>
  <c r="V44" i="40" s="1"/>
  <c r="I44" i="40" s="1"/>
  <c r="I48" i="40" s="1"/>
  <c r="J48" i="40" s="1"/>
  <c r="E53" i="39"/>
  <c r="F53" i="39" s="1"/>
  <c r="E54" i="39"/>
  <c r="F54" i="39" s="1"/>
  <c r="R50" i="34"/>
  <c r="E49" i="34"/>
  <c r="I54" i="39"/>
  <c r="J54" i="39" s="1"/>
  <c r="AC7" i="36"/>
  <c r="V36" i="36" s="1"/>
  <c r="I36" i="36" s="1"/>
  <c r="W7" i="36"/>
  <c r="I53" i="34"/>
  <c r="J53" i="34" s="1"/>
  <c r="I54" i="34"/>
  <c r="J54" i="34" s="1"/>
  <c r="I52" i="33"/>
  <c r="J52" i="33" s="1"/>
  <c r="E48" i="33"/>
  <c r="I53" i="33" s="1"/>
  <c r="J53" i="33" s="1"/>
  <c r="R49" i="33"/>
  <c r="E36" i="36"/>
  <c r="R37" i="36"/>
  <c r="C50" i="39"/>
  <c r="C49" i="39"/>
  <c r="AB7" i="36"/>
  <c r="T36" i="36" s="1"/>
  <c r="G36" i="36" s="1"/>
  <c r="U7" i="36"/>
  <c r="C8" i="12" l="1"/>
  <c r="B2" i="21"/>
  <c r="C10" i="12" s="1"/>
  <c r="B3" i="15"/>
  <c r="E8" i="12" s="1"/>
  <c r="E10" i="12"/>
  <c r="B4" i="44"/>
  <c r="B3" i="44"/>
  <c r="Q58" i="15"/>
  <c r="Q63" i="15" s="1"/>
  <c r="Q76" i="15"/>
  <c r="I49" i="40"/>
  <c r="J49" i="40" s="1"/>
  <c r="E48" i="40"/>
  <c r="F48" i="40" s="1"/>
  <c r="E49" i="40"/>
  <c r="F49" i="40" s="1"/>
  <c r="C45" i="40"/>
  <c r="C44" i="40"/>
  <c r="G49" i="40"/>
  <c r="H49" i="40" s="1"/>
  <c r="C36" i="36"/>
  <c r="C37" i="36"/>
  <c r="B3" i="36" s="1"/>
  <c r="B2" i="36" s="1"/>
  <c r="C49" i="33"/>
  <c r="B3" i="33" s="1"/>
  <c r="B2" i="33" s="1"/>
  <c r="C48" i="33"/>
  <c r="C50" i="34"/>
  <c r="B3" i="34" s="1"/>
  <c r="B2" i="34" s="1"/>
  <c r="C49" i="34"/>
  <c r="G40" i="36"/>
  <c r="H40" i="36" s="1"/>
  <c r="G41" i="36"/>
  <c r="H41" i="36" s="1"/>
  <c r="B65" i="39"/>
  <c r="F65" i="39" s="1"/>
  <c r="B66" i="39"/>
  <c r="F66" i="39" s="1"/>
  <c r="B60" i="39"/>
  <c r="F60" i="39" s="1"/>
  <c r="B58" i="39"/>
  <c r="F58" i="39" s="1"/>
  <c r="B63" i="39"/>
  <c r="F63" i="39" s="1"/>
  <c r="B61" i="39"/>
  <c r="F61" i="39" s="1"/>
  <c r="B62" i="39"/>
  <c r="F62" i="39" s="1"/>
  <c r="B59" i="39"/>
  <c r="F59" i="39" s="1"/>
  <c r="B64" i="39"/>
  <c r="F64" i="39" s="1"/>
  <c r="B67" i="39"/>
  <c r="F67" i="39" s="1"/>
  <c r="E41" i="36"/>
  <c r="F41" i="36" s="1"/>
  <c r="E40" i="36"/>
  <c r="F40" i="36" s="1"/>
  <c r="E52" i="33"/>
  <c r="F52" i="33" s="1"/>
  <c r="E53" i="33"/>
  <c r="F53" i="33" s="1"/>
  <c r="I41" i="36"/>
  <c r="J41" i="36" s="1"/>
  <c r="I40" i="36"/>
  <c r="J40" i="36" s="1"/>
  <c r="E54" i="34"/>
  <c r="F54" i="34" s="1"/>
  <c r="E53" i="34"/>
  <c r="F53" i="34" s="1"/>
  <c r="D8" i="12" l="1"/>
  <c r="F68" i="39"/>
  <c r="B2" i="39" s="1"/>
  <c r="B5" i="39" s="1"/>
  <c r="B61" i="40"/>
  <c r="F61" i="40" s="1"/>
  <c r="B58" i="40"/>
  <c r="F58" i="40" s="1"/>
  <c r="B59" i="40"/>
  <c r="F59" i="40" s="1"/>
  <c r="B54" i="40"/>
  <c r="F54" i="40" s="1"/>
  <c r="B55" i="40"/>
  <c r="F55" i="40" s="1"/>
  <c r="B62" i="40"/>
  <c r="F62" i="40" s="1"/>
  <c r="B53" i="40"/>
  <c r="F53" i="40" s="1"/>
  <c r="B57" i="40"/>
  <c r="F57" i="40" s="1"/>
  <c r="F63" i="40"/>
  <c r="B2" i="40" s="1"/>
  <c r="B56" i="40"/>
  <c r="F56" i="40" s="1"/>
  <c r="B60" i="40"/>
  <c r="F60" i="40" s="1"/>
  <c r="C19" i="9"/>
  <c r="D10" i="12" l="1"/>
  <c r="C6" i="12" s="1"/>
  <c r="B4" i="39"/>
  <c r="B3" i="39"/>
  <c r="L43" i="9"/>
  <c r="B4" i="40"/>
  <c r="B5" i="40"/>
  <c r="B3" i="40"/>
  <c r="C20" i="9"/>
  <c r="C21" i="9"/>
  <c r="C24" i="12" l="1"/>
  <c r="C29" i="12"/>
  <c r="C35" i="12" l="1"/>
  <c r="C33" i="12" s="1"/>
  <c r="C28" i="12"/>
  <c r="C26" i="12" s="1"/>
  <c r="C31" i="12" s="1"/>
  <c r="C30" i="12" s="1"/>
  <c r="C36" i="12" l="1"/>
  <c r="B2" i="12" s="1"/>
  <c r="D19" i="9"/>
  <c r="D22" i="9" l="1"/>
  <c r="G19" i="9"/>
  <c r="L44" i="9"/>
  <c r="B3" i="12"/>
  <c r="B5" i="12"/>
  <c r="B4" i="12"/>
  <c r="D20" i="9"/>
  <c r="D21" i="9"/>
  <c r="G21" i="9" l="1"/>
  <c r="G20" i="9"/>
  <c r="N43" i="9"/>
  <c r="A27" i="9"/>
  <c r="C32" i="9"/>
  <c r="G22" i="9"/>
  <c r="O38" i="9" l="1"/>
  <c r="C34" i="9"/>
  <c r="O43" i="9"/>
  <c r="C42" i="9"/>
  <c r="C33" i="9"/>
  <c r="C35" i="9"/>
  <c r="F42" i="9" s="1"/>
  <c r="D63" i="9" l="1"/>
  <c r="R5" i="54"/>
  <c r="B48" i="63" s="1"/>
  <c r="C44" i="9"/>
  <c r="D14" i="66"/>
  <c r="N68" i="9"/>
  <c r="M38" i="9"/>
  <c r="K27" i="9" s="1"/>
  <c r="E42" i="9"/>
  <c r="P5" i="54" s="1"/>
  <c r="B46" i="63" s="1"/>
  <c r="D16" i="66"/>
  <c r="D42" i="9"/>
  <c r="Q5" i="54" s="1"/>
  <c r="B47" i="63" s="1"/>
  <c r="N38" i="9"/>
  <c r="K28" i="9" s="1"/>
  <c r="K25" i="9"/>
  <c r="K26" i="9"/>
  <c r="F16" i="66" l="1"/>
  <c r="E16" i="66"/>
  <c r="G16" i="66"/>
  <c r="E14" i="66"/>
  <c r="F14" i="66"/>
  <c r="N69" i="9"/>
  <c r="F44" i="9"/>
  <c r="E44" i="9"/>
  <c r="G14" i="66"/>
  <c r="O39" i="9"/>
  <c r="D44" i="9"/>
  <c r="C103" i="9"/>
  <c r="C96" i="9"/>
  <c r="C91" i="9" s="1"/>
  <c r="C111" i="9"/>
  <c r="C104" i="9" s="1"/>
  <c r="C82" i="9"/>
  <c r="C81" i="9" s="1"/>
  <c r="C85" i="9" s="1"/>
  <c r="C86" i="9" s="1"/>
  <c r="D72" i="9" s="1"/>
  <c r="D77" i="9"/>
  <c r="N75" i="9" s="1"/>
  <c r="C90" i="9"/>
  <c r="C97" i="9" s="1"/>
  <c r="C98" i="9" s="1"/>
  <c r="E98" i="9" s="1"/>
  <c r="E99" i="9" s="1"/>
  <c r="D71" i="9"/>
  <c r="D70" i="9"/>
  <c r="D66" i="9" s="1"/>
  <c r="N72" i="9" s="1"/>
  <c r="C99" i="9" l="1"/>
  <c r="C113" i="9"/>
  <c r="C114" i="9" s="1"/>
  <c r="E114" i="9" s="1"/>
  <c r="E115" i="9" s="1"/>
  <c r="R6" i="54"/>
  <c r="B50" i="63" s="1"/>
  <c r="K29" i="9"/>
  <c r="K30" i="9" s="1"/>
  <c r="M86" i="9"/>
  <c r="N86" i="9" s="1"/>
  <c r="M87" i="9"/>
  <c r="N87" i="9" s="1"/>
  <c r="M84" i="9"/>
  <c r="N84" i="9" s="1"/>
  <c r="M85" i="9"/>
  <c r="N85" i="9" s="1"/>
  <c r="M88" i="9"/>
  <c r="N88" i="9" s="1"/>
  <c r="M83" i="9"/>
  <c r="N83" i="9" s="1"/>
  <c r="C115" i="9" l="1"/>
  <c r="D76" i="9" s="1"/>
  <c r="D74" i="9" s="1"/>
  <c r="N74" i="9" s="1"/>
  <c r="O77" i="9" s="1"/>
  <c r="Q77" i="9" s="1"/>
  <c r="N89" i="9"/>
  <c r="O89" i="9" s="1"/>
  <c r="O79" i="9" l="1"/>
  <c r="C46" i="9" s="1"/>
  <c r="O78" i="9"/>
  <c r="O81" i="9"/>
  <c r="O80" i="9"/>
  <c r="E46" i="9"/>
  <c r="I14" i="66"/>
  <c r="F46" i="9"/>
  <c r="K33" i="9"/>
  <c r="O41" i="9"/>
  <c r="R8" i="54" s="1"/>
  <c r="B54" i="63" s="1"/>
  <c r="D46" i="9"/>
  <c r="K34" i="9" l="1"/>
  <c r="I16" i="66" l="1"/>
  <c r="E15" i="66" l="1"/>
  <c r="F15" i="66"/>
  <c r="G17" i="66" l="1"/>
  <c r="B6" i="66" s="1"/>
  <c r="D17" i="66" l="1"/>
  <c r="E17" i="66" s="1"/>
  <c r="B5" i="66"/>
  <c r="C5" i="66" s="1"/>
  <c r="D6" i="66"/>
  <c r="C6" i="66"/>
  <c r="D5" i="66" l="1"/>
  <c r="F17" i="66"/>
  <c r="I17" i="66" l="1"/>
  <c r="B8" i="66" s="1"/>
  <c r="D8" i="66" l="1"/>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sony</author>
  </authors>
  <commentList>
    <comment ref="J12" authorId="0" shapeId="0">
      <text>
        <r>
          <rPr>
            <b/>
            <sz val="9"/>
            <color indexed="81"/>
            <rFont val="宋体"/>
            <family val="3"/>
            <charset val="134"/>
          </rPr>
          <t>sony:</t>
        </r>
        <r>
          <rPr>
            <sz val="9"/>
            <color indexed="81"/>
            <rFont val="宋体"/>
            <family val="3"/>
            <charset val="134"/>
          </rPr>
          <t xml:space="preserve">
需按非住宅公寓处理</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<sst xmlns="http://schemas.openxmlformats.org/spreadsheetml/2006/main" count="7622" uniqueCount="3416">
  <si>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</si>
  <si>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</si>
  <si>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</si>
  <si>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</si>
  <si>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</si>
  <si>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</si>
  <si>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</si>
  <si>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</si>
  <si>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</si>
  <si>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</si>
  <si>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</si>
  <si>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</si>
  <si>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</si>
  <si>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</si>
  <si>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</si>
  <si>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</si>
  <si>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</si>
  <si>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</si>
  <si>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</si>
  <si>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</si>
  <si>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</si>
  <si>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</si>
  <si>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</si>
  <si>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</si>
  <si>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</si>
  <si>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</si>
  <si>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</si>
  <si>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</si>
  <si>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</si>
  <si>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</si>
  <si>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</si>
  <si>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</si>
  <si>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</si>
  <si>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</si>
  <si>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</si>
  <si>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</si>
  <si>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</si>
  <si>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</si>
  <si>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</si>
  <si>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</si>
  <si>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</si>
  <si>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</si>
  <si>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</si>
  <si>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</si>
  <si>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</si>
  <si>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</si>
  <si>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</si>
  <si>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</si>
  <si>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</si>
  <si>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</si>
  <si>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</si>
  <si>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</si>
  <si>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</si>
  <si>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</si>
  <si>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</si>
  <si>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</si>
  <si>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</si>
  <si>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</si>
  <si>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</si>
  <si>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</si>
  <si>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</si>
  <si>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</si>
  <si>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</si>
  <si>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</si>
  <si>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</si>
  <si>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</si>
  <si>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</si>
  <si>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</si>
  <si>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</si>
  <si>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</si>
  <si>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</si>
  <si>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</si>
  <si>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</si>
  <si>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</si>
  <si>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</si>
  <si>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</si>
  <si>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</si>
  <si>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</si>
  <si>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</si>
  <si>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</si>
  <si>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</si>
  <si>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</si>
  <si>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</si>
  <si>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</si>
  <si>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</si>
  <si>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</si>
  <si>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</si>
  <si>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</si>
  <si>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</si>
  <si>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</si>
  <si>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</si>
  <si>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</si>
  <si>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</si>
  <si>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</si>
  <si>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</si>
  <si>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</si>
  <si>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</si>
  <si>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</si>
  <si>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</si>
  <si>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</si>
  <si>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</si>
  <si>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</si>
  <si>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</si>
  <si>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</si>
  <si>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</si>
  <si>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</si>
  <si>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</si>
  <si>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</si>
  <si>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</si>
  <si>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</si>
  <si>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</si>
  <si>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</si>
  <si>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</si>
  <si>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</si>
  <si>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</si>
  <si>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</si>
  <si>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</si>
  <si>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</si>
  <si>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</si>
  <si>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</si>
  <si>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</si>
  <si>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</si>
  <si>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</si>
  <si>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</si>
  <si>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</si>
  <si>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</si>
  <si>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</si>
  <si>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</si>
  <si>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</si>
  <si>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</si>
  <si>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</si>
  <si>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</si>
  <si>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</si>
  <si>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</si>
  <si>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</si>
  <si>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</si>
  <si>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</si>
  <si>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</si>
  <si>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</si>
  <si>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</si>
  <si>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</si>
  <si>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</si>
  <si>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</si>
  <si>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</si>
  <si>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</si>
  <si>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</si>
  <si>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</si>
  <si>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</si>
  <si>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</si>
  <si>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</si>
  <si>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</si>
  <si>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</si>
  <si>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</si>
  <si>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</si>
  <si>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</si>
  <si>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</si>
  <si>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</si>
  <si>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</si>
  <si>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</si>
  <si>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</si>
  <si>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</si>
  <si>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</si>
  <si>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</si>
  <si>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</si>
  <si>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</si>
  <si>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</si>
  <si>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</si>
  <si>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</si>
  <si>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</si>
  <si>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</si>
  <si>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</si>
  <si>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</si>
  <si>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</si>
  <si>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</si>
  <si>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</si>
  <si>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</si>
  <si>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</si>
  <si>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</si>
  <si>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</si>
  <si>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</si>
  <si>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</si>
  <si>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</si>
  <si>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</si>
  <si>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</si>
  <si>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</si>
  <si>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</si>
  <si>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</si>
  <si>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</si>
  <si>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</si>
  <si>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</si>
  <si>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</si>
  <si>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</si>
  <si>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</si>
  <si>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</si>
  <si>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</si>
  <si>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</si>
  <si>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</si>
  <si>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</si>
  <si>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</si>
  <si>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</si>
  <si>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</si>
  <si>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</si>
  <si>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</si>
  <si>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</si>
  <si>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</si>
  <si>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</si>
  <si>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</si>
  <si>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</si>
  <si>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</si>
  <si>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</si>
  <si>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</si>
  <si>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</si>
  <si>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</si>
  <si>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</si>
  <si>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</si>
  <si>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</si>
  <si>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</si>
  <si>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</si>
  <si>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</si>
  <si>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</si>
  <si>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</si>
  <si>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</si>
  <si>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</si>
  <si>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</si>
  <si>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</si>
  <si>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</si>
  <si>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</si>
  <si>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</si>
  <si>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</si>
  <si>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</si>
  <si>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</si>
  <si>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</si>
  <si>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</si>
  <si>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</si>
  <si>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</si>
  <si>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</si>
  <si>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</si>
  <si>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</si>
  <si>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</si>
  <si>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</si>
  <si>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</si>
  <si>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</si>
  <si>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</si>
  <si>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</si>
  <si>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</si>
  <si>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</si>
  <si>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</si>
  <si>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</si>
  <si>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</si>
  <si>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</si>
  <si>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</si>
  <si>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</si>
  <si>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</si>
  <si>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</si>
  <si>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</si>
  <si>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</si>
  <si>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</si>
  <si>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</si>
  <si>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</si>
  <si>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</si>
  <si>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</si>
  <si>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</si>
  <si>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</si>
  <si>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</si>
  <si>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</si>
  <si>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</si>
  <si>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</si>
  <si>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</si>
  <si>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</si>
  <si>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</si>
  <si>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</si>
  <si>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</si>
  <si>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</si>
  <si>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</si>
  <si>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</si>
  <si>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</si>
  <si>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</si>
  <si>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</si>
  <si>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</si>
  <si>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</si>
  <si>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</si>
  <si>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</si>
  <si>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</si>
  <si>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</si>
  <si>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</si>
  <si>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</si>
  <si>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</si>
  <si>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</si>
  <si>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</si>
  <si>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</si>
  <si>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</si>
  <si>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</si>
  <si>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</si>
  <si>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</si>
  <si>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</si>
  <si>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</si>
  <si>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</si>
  <si>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</si>
  <si>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</si>
  <si>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</si>
  <si>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</si>
  <si>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</si>
  <si>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</si>
  <si>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</si>
  <si>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</si>
  <si>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</si>
  <si>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</si>
  <si>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</si>
  <si>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</si>
  <si>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</si>
  <si>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</si>
  <si>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</si>
  <si>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</si>
  <si>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</si>
  <si>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</si>
  <si>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</si>
  <si>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</si>
  <si>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</si>
  <si>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</si>
  <si>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</si>
  <si>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</si>
  <si>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</si>
  <si>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</si>
  <si>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</si>
  <si>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</si>
  <si>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</si>
  <si>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</si>
  <si>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</si>
  <si>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</si>
  <si>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</si>
  <si>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</si>
  <si>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</si>
  <si>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</si>
  <si>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</si>
  <si>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</si>
  <si>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</si>
  <si>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</si>
  <si>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</si>
  <si>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</si>
  <si>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</si>
  <si>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</si>
  <si>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</si>
  <si>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</si>
  <si>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</si>
  <si>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</si>
  <si>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</si>
  <si>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</si>
  <si>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</si>
  <si>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</si>
  <si>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</si>
  <si>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</si>
  <si>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</si>
  <si>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</si>
  <si>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</si>
  <si>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</si>
  <si>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</si>
  <si>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</si>
  <si>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</si>
  <si>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</si>
  <si>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</si>
  <si>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</si>
  <si>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</si>
  <si>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</si>
  <si>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</si>
  <si>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</si>
  <si>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</si>
  <si>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</si>
  <si>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</si>
  <si>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</si>
  <si>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</si>
  <si>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</si>
  <si>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</si>
  <si>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</si>
  <si>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</si>
  <si>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</si>
  <si>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</si>
  <si>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</si>
  <si>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</si>
  <si>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</si>
  <si>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</si>
  <si>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</si>
  <si>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</si>
  <si>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</si>
  <si>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</si>
  <si>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</si>
  <si>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</si>
  <si>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</si>
  <si>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</si>
  <si>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</si>
  <si>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</si>
  <si>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</si>
  <si>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</si>
  <si>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</si>
  <si>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</si>
  <si>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</si>
  <si>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</si>
  <si>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</si>
  <si>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</si>
  <si>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</si>
  <si>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</si>
  <si>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</si>
  <si>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</si>
  <si>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</si>
  <si>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</si>
  <si>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</si>
  <si>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</si>
  <si>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</si>
  <si>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</si>
  <si>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</si>
  <si>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</si>
  <si>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</si>
  <si>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</si>
  <si>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</si>
  <si>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</si>
  <si>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</si>
  <si>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</si>
  <si>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</si>
  <si>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</si>
  <si>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</si>
  <si>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</si>
  <si>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</si>
  <si>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</si>
  <si>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</si>
  <si>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</si>
  <si>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</si>
  <si>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</si>
  <si>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</si>
  <si>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</si>
  <si>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</si>
  <si>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</si>
  <si>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</si>
  <si>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</si>
  <si>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</si>
  <si>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</si>
  <si>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</si>
  <si>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</si>
  <si>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</si>
  <si>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</si>
  <si>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</si>
  <si>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</si>
  <si>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</si>
  <si>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</si>
  <si>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</si>
  <si>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</si>
  <si>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</si>
  <si>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</si>
  <si>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</si>
  <si>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</si>
  <si>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</si>
  <si>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</si>
  <si>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</si>
  <si>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</si>
  <si>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</si>
  <si>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</si>
  <si>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</si>
  <si>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</si>
  <si>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</si>
  <si>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</si>
  <si>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</si>
  <si>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</si>
  <si>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</si>
  <si>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</si>
  <si>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</si>
  <si>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</si>
  <si>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</si>
  <si>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</si>
  <si>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</si>
  <si>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</si>
  <si>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</si>
  <si>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</si>
  <si>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</si>
  <si>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</si>
  <si>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</si>
  <si>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</si>
  <si>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</si>
  <si>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</si>
  <si>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</si>
  <si>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</si>
  <si>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</si>
  <si>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</si>
  <si>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</si>
  <si>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</si>
  <si>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</si>
  <si>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</si>
  <si>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</si>
  <si>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</si>
  <si>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</si>
  <si>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</si>
  <si>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</si>
  <si>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</si>
  <si>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</si>
  <si>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</si>
  <si>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</si>
  <si>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</si>
  <si>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</si>
  <si>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</si>
  <si>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</si>
  <si>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</si>
  <si>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</si>
  <si>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</si>
  <si>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</si>
  <si>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</si>
  <si>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</si>
  <si>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</si>
  <si>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</si>
  <si>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</si>
  <si>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</si>
  <si>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</si>
  <si>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</si>
  <si>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</si>
  <si>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</si>
  <si>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</si>
  <si>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</si>
  <si>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</si>
  <si>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</si>
  <si>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</si>
  <si>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</si>
  <si>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</si>
  <si>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</si>
  <si>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</si>
  <si>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</si>
  <si>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</si>
  <si>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</si>
  <si>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</si>
  <si>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</si>
  <si>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</si>
  <si>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</si>
  <si>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</si>
  <si>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</si>
  <si>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</si>
  <si>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</si>
  <si>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</si>
  <si>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</si>
  <si>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</si>
  <si>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</si>
  <si>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</si>
  <si>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</si>
  <si>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</si>
  <si>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</si>
  <si>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</si>
  <si>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</si>
  <si>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</si>
  <si>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</si>
  <si>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</si>
  <si>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</si>
  <si>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</si>
  <si>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</si>
  <si>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</si>
  <si>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</si>
  <si>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</si>
  <si>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</si>
  <si>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</si>
  <si>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</si>
  <si>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</si>
  <si>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</si>
  <si>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</si>
  <si>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</si>
  <si>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</si>
  <si>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</si>
  <si>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</si>
  <si>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</si>
  <si>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</si>
  <si>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</si>
  <si>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</si>
  <si>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</si>
  <si>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</si>
  <si>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</si>
  <si>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</si>
  <si>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</si>
  <si>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</si>
  <si>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</si>
  <si>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</si>
  <si>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</si>
  <si>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</si>
  <si>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</si>
  <si>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</si>
  <si>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</si>
  <si>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</si>
  <si>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</si>
  <si>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</si>
  <si>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</si>
  <si>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</si>
  <si>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</si>
  <si>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</si>
  <si>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</si>
  <si>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</si>
  <si>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</si>
  <si>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</si>
  <si>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</si>
  <si>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</si>
  <si>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</si>
  <si>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</si>
  <si>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</si>
  <si>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</si>
  <si>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</si>
  <si>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</si>
  <si>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</si>
  <si>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</si>
  <si>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</si>
  <si>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</si>
  <si>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</si>
  <si>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</si>
  <si>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</si>
  <si>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</si>
  <si>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</si>
  <si>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</si>
  <si>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</si>
  <si>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</si>
  <si>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</si>
  <si>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</si>
  <si>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</si>
  <si>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</si>
  <si>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</si>
  <si>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</si>
  <si>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</si>
  <si>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</si>
  <si>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</si>
  <si>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</si>
  <si>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</si>
  <si>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</si>
  <si>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</si>
  <si>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</si>
  <si>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</si>
  <si>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</si>
  <si>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</si>
  <si>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</si>
  <si>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</si>
  <si>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</si>
  <si>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</si>
  <si>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</si>
  <si>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</si>
  <si>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</si>
  <si>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</si>
  <si>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</si>
  <si>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</si>
  <si>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</si>
  <si>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</si>
  <si>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</si>
  <si>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</si>
  <si>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</si>
  <si>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</si>
  <si>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</si>
  <si>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</si>
  <si>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</si>
  <si>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</si>
  <si>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</si>
  <si>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</si>
  <si>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</si>
  <si>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</si>
  <si>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</si>
  <si>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</si>
  <si>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</si>
  <si>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</si>
  <si>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</si>
  <si>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</si>
  <si>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</si>
  <si>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</si>
  <si>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</si>
  <si>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</si>
  <si>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</si>
  <si>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</si>
  <si>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</si>
  <si>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</si>
  <si>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</si>
  <si>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</si>
  <si>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</si>
  <si>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</si>
  <si>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</si>
  <si>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</si>
  <si>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</si>
  <si>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</si>
  <si>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</si>
  <si>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</si>
  <si>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</si>
  <si>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</si>
  <si>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</si>
  <si>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</si>
  <si>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</si>
  <si>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</si>
  <si>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</si>
  <si>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</si>
  <si>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</si>
  <si>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</si>
  <si>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</si>
  <si>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</si>
  <si>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</si>
  <si>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</si>
  <si>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</si>
  <si>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</si>
  <si>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</si>
  <si>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</si>
  <si>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</si>
  <si>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</si>
  <si>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</si>
  <si>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</si>
  <si>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</si>
  <si>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</si>
  <si>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</si>
  <si>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</si>
  <si>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</si>
  <si>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</si>
  <si>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</si>
  <si>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</si>
  <si>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</si>
  <si>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</si>
  <si>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</si>
  <si>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</si>
  <si>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</si>
  <si>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</si>
  <si>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</si>
  <si>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</si>
  <si>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</si>
  <si>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</si>
  <si>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</si>
  <si>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</si>
  <si>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</si>
  <si>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</si>
  <si>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</si>
  <si>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</si>
  <si>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</si>
  <si>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</si>
  <si>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</si>
  <si>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</si>
  <si>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</si>
  <si>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</si>
  <si>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</si>
  <si>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</si>
  <si>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</si>
  <si>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</si>
  <si>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</si>
  <si>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</si>
  <si>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</si>
  <si>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</si>
  <si>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</si>
  <si>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</si>
  <si>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</si>
  <si>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</si>
  <si>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</si>
  <si>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</si>
  <si>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</si>
  <si>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</si>
  <si>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</si>
  <si>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</si>
  <si>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</si>
  <si>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</si>
  <si>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</si>
  <si>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</si>
  <si>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</si>
  <si>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</si>
  <si>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</si>
  <si>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</si>
  <si>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</si>
  <si>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</si>
  <si>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</si>
  <si>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</si>
  <si>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</si>
  <si>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</si>
  <si>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</si>
  <si>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</si>
  <si>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</si>
  <si>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</si>
  <si>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</si>
  <si>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</si>
  <si>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</si>
  <si>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</si>
  <si>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</si>
  <si>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</si>
  <si>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</si>
  <si>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</si>
  <si>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</si>
  <si>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</si>
  <si>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</si>
  <si>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</si>
  <si>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</si>
  <si>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</si>
  <si>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</si>
  <si>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</si>
  <si>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</si>
  <si>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</si>
  <si>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</si>
  <si>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</si>
  <si>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</si>
  <si>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</si>
  <si>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</si>
  <si>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</si>
  <si>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</si>
  <si>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</si>
  <si>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</si>
  <si>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</si>
  <si>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</si>
  <si>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</si>
  <si>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</si>
  <si>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</si>
  <si>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</si>
  <si>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</si>
  <si>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</si>
  <si>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</si>
  <si>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</si>
  <si>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</si>
  <si>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</si>
  <si>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</si>
  <si>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</si>
  <si>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</si>
  <si>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</si>
  <si>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</si>
  <si>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</si>
  <si>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</si>
  <si>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</si>
  <si>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</si>
  <si>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</si>
  <si>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</si>
  <si>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</si>
  <si>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</si>
  <si>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</si>
  <si>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</si>
  <si>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</si>
  <si>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</si>
  <si>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</si>
  <si>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</si>
  <si>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</si>
  <si>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</si>
  <si>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</si>
  <si>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</si>
  <si>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</si>
  <si>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</si>
  <si>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</si>
  <si>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</si>
  <si>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</si>
  <si>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</si>
  <si>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</si>
  <si>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</si>
  <si>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</si>
  <si>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</si>
  <si>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</si>
  <si>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</si>
  <si>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</si>
  <si>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</si>
  <si>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</si>
  <si>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</si>
  <si>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</si>
  <si>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</si>
  <si>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</si>
  <si>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</si>
  <si>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</si>
  <si>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</si>
  <si>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</si>
  <si>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</si>
  <si>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</si>
  <si>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</si>
  <si>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</si>
  <si>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</si>
  <si>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</si>
  <si>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</si>
  <si>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</si>
  <si>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</si>
  <si>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</si>
  <si>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</si>
  <si>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</si>
  <si>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</si>
  <si>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</si>
  <si>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</si>
  <si>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</si>
  <si>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</si>
  <si>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</si>
  <si>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</si>
  <si>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</si>
  <si>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</si>
  <si>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</si>
  <si>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</si>
  <si>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</si>
  <si>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</si>
  <si>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</si>
  <si>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</si>
  <si>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</si>
  <si>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</si>
  <si>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</si>
  <si>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</si>
  <si>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</si>
  <si>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</si>
  <si>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</si>
  <si>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</si>
  <si>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</si>
  <si>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</si>
  <si>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</si>
  <si>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</si>
  <si>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</si>
  <si>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</si>
  <si>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</si>
  <si>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</si>
  <si>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</si>
  <si>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</si>
  <si>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</si>
  <si>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</si>
  <si>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</si>
  <si>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</si>
  <si>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</si>
  <si>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</si>
  <si>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</si>
  <si>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</si>
  <si>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</si>
  <si>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</si>
  <si>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</si>
  <si>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</si>
  <si>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</si>
  <si>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</si>
  <si>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</si>
  <si>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</si>
  <si>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</si>
  <si>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</si>
  <si>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</si>
  <si>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</si>
  <si>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</si>
  <si>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</si>
  <si>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</si>
  <si>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</si>
  <si>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</si>
  <si>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</si>
  <si>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</si>
  <si>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</si>
  <si>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</si>
  <si>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</si>
  <si>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</si>
  <si>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</si>
  <si>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</si>
  <si>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</si>
  <si>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</si>
  <si>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</si>
  <si>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</si>
  <si>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</si>
  <si>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</si>
  <si>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</si>
  <si>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</si>
  <si>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</si>
  <si>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</si>
  <si>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</si>
  <si>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</si>
  <si>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</si>
  <si>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</si>
  <si>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</si>
  <si>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</si>
  <si>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</si>
  <si>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</si>
  <si>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</si>
  <si>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</si>
  <si>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</si>
  <si>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</si>
  <si>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</si>
  <si>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</si>
  <si>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</si>
  <si>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</si>
  <si>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</si>
  <si>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</si>
  <si>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</si>
  <si>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</si>
  <si>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</si>
  <si>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</si>
  <si>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</si>
  <si>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</si>
  <si>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</si>
  <si>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</si>
  <si>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</si>
  <si>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</si>
  <si>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</si>
  <si>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</si>
  <si>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</si>
  <si>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</si>
  <si>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</si>
  <si>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</si>
  <si>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</si>
  <si>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</si>
  <si>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</si>
  <si>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</si>
  <si>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</si>
  <si>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</si>
  <si>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</si>
  <si>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</si>
  <si>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</si>
  <si>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</si>
  <si>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</si>
  <si>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</si>
  <si>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</si>
  <si>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</si>
  <si>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</si>
  <si>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</si>
  <si>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</si>
  <si>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</si>
  <si>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</si>
  <si>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</si>
  <si>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</si>
  <si>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</si>
  <si>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</si>
  <si>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</si>
  <si>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</si>
  <si>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</si>
  <si>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</si>
  <si>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</si>
  <si>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</si>
  <si>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</si>
  <si>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</si>
  <si>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</si>
  <si>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</si>
  <si>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</si>
  <si>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</si>
  <si>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</si>
  <si>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</si>
  <si>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</si>
  <si>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</si>
  <si>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</si>
  <si>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</si>
  <si>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</si>
  <si>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</si>
  <si>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</si>
  <si>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</si>
  <si>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</si>
  <si>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</si>
  <si>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</si>
  <si>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</si>
  <si>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</si>
  <si>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</si>
  <si>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</si>
  <si>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</si>
  <si>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</si>
  <si>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</si>
  <si>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</si>
  <si>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</si>
  <si>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</si>
  <si>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</si>
  <si>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</si>
  <si>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</si>
  <si>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</si>
  <si>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</si>
  <si>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</si>
  <si>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</si>
  <si>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</si>
  <si>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</si>
  <si>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</si>
  <si>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</si>
  <si>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</si>
  <si>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</si>
  <si>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</si>
  <si>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</si>
  <si>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</si>
  <si>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</si>
  <si>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</si>
  <si>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</si>
  <si>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</si>
  <si>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</si>
  <si>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</si>
  <si>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</si>
  <si>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</si>
  <si>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</si>
  <si>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</si>
  <si>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</si>
  <si>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</si>
  <si>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</si>
  <si>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</si>
  <si>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</si>
  <si>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</si>
  <si>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</si>
  <si>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</si>
  <si>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</si>
  <si>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</si>
  <si>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</si>
  <si>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</si>
  <si>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</si>
  <si>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</si>
  <si>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</si>
  <si>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</si>
  <si>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</si>
  <si>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</si>
  <si>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</si>
  <si>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</si>
  <si>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</si>
  <si>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</si>
  <si>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</si>
  <si>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</si>
  <si>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</si>
  <si>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</si>
  <si>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</si>
  <si>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</si>
  <si>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</si>
  <si>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</si>
  <si>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</si>
  <si>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</si>
  <si>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</si>
  <si>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</si>
  <si>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</si>
  <si>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</si>
  <si>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</si>
  <si>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</si>
  <si>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</si>
  <si>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</si>
  <si>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</si>
  <si>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</si>
  <si>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</si>
  <si>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</si>
  <si>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</si>
  <si>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</si>
  <si>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</si>
  <si>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</si>
  <si>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</si>
  <si>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</si>
  <si>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</si>
  <si>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</si>
  <si>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</si>
  <si>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</si>
  <si>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</si>
  <si>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</si>
  <si>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</si>
  <si>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</si>
  <si>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</si>
  <si>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</si>
  <si>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</si>
  <si>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</si>
  <si>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</si>
  <si>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</si>
  <si>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</si>
  <si>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</si>
  <si>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</si>
  <si>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</si>
  <si>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</si>
  <si>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</si>
  <si>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</si>
  <si>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</si>
  <si>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</si>
  <si>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</si>
  <si>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</si>
  <si>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</si>
  <si>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</si>
  <si>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</si>
  <si>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</si>
  <si>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</si>
  <si>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</si>
  <si>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</si>
  <si>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</si>
  <si>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</si>
  <si>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</si>
  <si>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</si>
  <si>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</si>
  <si>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</si>
  <si>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</si>
  <si>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</si>
  <si>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</si>
  <si>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</si>
  <si>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</si>
  <si>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</si>
  <si>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</si>
  <si>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</si>
  <si>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</si>
  <si>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</si>
  <si>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</si>
  <si>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</si>
  <si>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</si>
  <si>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</si>
  <si>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</si>
  <si>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</si>
  <si>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</si>
  <si>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</si>
  <si>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</si>
  <si>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</si>
  <si>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</si>
  <si>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</si>
  <si>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</si>
  <si>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</si>
  <si>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</si>
  <si>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</si>
  <si>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</si>
  <si>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</si>
  <si>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</si>
  <si>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</si>
  <si>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</si>
  <si>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</si>
  <si>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</si>
  <si>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</si>
  <si>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</si>
  <si>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</si>
  <si>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</si>
  <si>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</si>
  <si>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</si>
  <si>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</si>
  <si>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</si>
  <si>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</si>
  <si>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</si>
  <si>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</si>
  <si>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</si>
  <si>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</si>
  <si>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</si>
  <si>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</si>
  <si>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</si>
  <si>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</si>
  <si>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</si>
  <si>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</si>
  <si>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</si>
  <si>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</si>
  <si>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</si>
  <si>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</si>
  <si>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</si>
  <si>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</si>
  <si>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</si>
  <si>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</si>
  <si>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</si>
  <si>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</si>
  <si>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</si>
  <si>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</si>
  <si>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</si>
  <si>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</si>
  <si>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</si>
  <si>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</si>
  <si>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</si>
  <si>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</si>
  <si>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</si>
  <si>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</si>
  <si>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</si>
  <si>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</si>
  <si>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</si>
  <si>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</si>
  <si>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</si>
  <si>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</si>
  <si>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</si>
  <si>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</si>
  <si>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</si>
  <si>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</si>
  <si>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</si>
  <si>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</si>
  <si>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</si>
  <si>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</si>
  <si>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</si>
  <si>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</si>
  <si>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</si>
  <si>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</si>
  <si>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</si>
  <si>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</si>
  <si>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</si>
  <si>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</si>
  <si>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</si>
  <si>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</si>
  <si>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</si>
  <si>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</si>
  <si>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</si>
  <si>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</si>
  <si>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</si>
  <si>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</si>
  <si>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</si>
  <si>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</si>
  <si>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</si>
  <si>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</si>
  <si>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</si>
  <si>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</si>
  <si>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</si>
  <si>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</si>
  <si>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</si>
  <si>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</si>
  <si>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</si>
  <si>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</si>
  <si>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</si>
  <si>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</si>
  <si>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</si>
  <si>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</si>
  <si>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</si>
  <si>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</si>
  <si>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</si>
  <si>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</si>
  <si>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</si>
  <si>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</si>
  <si>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</si>
  <si>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</si>
  <si>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</si>
  <si>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</si>
  <si>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</si>
  <si>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</si>
  <si>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</si>
  <si>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</si>
  <si>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</si>
  <si>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</si>
  <si>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</si>
  <si>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</si>
  <si>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</si>
  <si>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</si>
  <si>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</si>
  <si>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</si>
  <si>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</si>
  <si>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</si>
  <si>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</si>
  <si>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</si>
  <si>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</si>
  <si>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</si>
  <si>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</si>
  <si>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</si>
  <si>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</si>
  <si>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</si>
  <si>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</si>
  <si>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</si>
  <si>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</si>
  <si>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</si>
  <si>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</si>
  <si>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</si>
  <si>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</si>
  <si>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</si>
  <si>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</si>
  <si>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</si>
  <si>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</si>
  <si>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</si>
  <si>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</si>
  <si>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</si>
  <si>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</si>
  <si>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</si>
  <si>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</si>
  <si>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</si>
  <si>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</si>
  <si>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</si>
  <si>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</si>
  <si>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</si>
  <si>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</si>
  <si>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</si>
  <si>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</si>
  <si>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</si>
  <si>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</si>
  <si>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</si>
  <si>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</si>
  <si>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</si>
  <si>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</si>
  <si>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</si>
  <si>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</si>
  <si>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</si>
  <si>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</si>
  <si>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</si>
  <si>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</si>
  <si>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</si>
  <si>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</si>
  <si>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</si>
  <si>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</si>
  <si>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</si>
  <si>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</si>
  <si>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</si>
  <si>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</si>
  <si>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</si>
  <si>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</si>
  <si>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</si>
  <si>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</si>
  <si>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</si>
  <si>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</si>
  <si>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</si>
  <si>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</si>
  <si>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</si>
  <si>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</si>
  <si>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</si>
  <si>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</si>
  <si>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</si>
  <si>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</si>
  <si>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</si>
  <si>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</si>
  <si>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</si>
  <si>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</si>
  <si>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</si>
  <si>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</si>
  <si>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</si>
  <si>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</si>
  <si>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</si>
  <si>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</si>
  <si>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</si>
  <si>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</si>
  <si>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</si>
  <si>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</si>
  <si>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</si>
  <si>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</si>
  <si>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</si>
  <si>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</si>
  <si>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</si>
  <si>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</si>
  <si>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</si>
  <si>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</si>
  <si>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</si>
  <si>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</si>
  <si>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</si>
  <si>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</si>
  <si>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</si>
  <si>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</si>
  <si>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</si>
  <si>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</si>
  <si>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</si>
  <si>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</si>
  <si>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</si>
  <si>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</si>
  <si>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</si>
  <si>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</si>
  <si>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</si>
  <si>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</si>
  <si>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</si>
  <si>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</si>
  <si>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</si>
  <si>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</si>
  <si>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</si>
  <si>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</si>
  <si>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</si>
  <si>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</si>
  <si>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</si>
  <si>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</si>
  <si>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</si>
  <si>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</si>
  <si>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</si>
  <si>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</si>
  <si>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</si>
  <si>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</si>
  <si>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</si>
  <si>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</si>
  <si>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</si>
  <si>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</si>
  <si>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</si>
  <si>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</si>
  <si>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</si>
  <si>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</si>
  <si>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</si>
  <si>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</si>
  <si>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</si>
  <si>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</si>
  <si>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</si>
  <si>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</si>
  <si>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</si>
  <si>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</si>
  <si>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</si>
  <si>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</si>
  <si>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</si>
  <si>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</si>
  <si>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</si>
  <si>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</si>
  <si>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</si>
  <si>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</si>
  <si>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</si>
  <si>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</si>
  <si>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</si>
  <si>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</si>
  <si>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</si>
  <si>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</si>
  <si>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</si>
  <si>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</si>
  <si>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</si>
  <si>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</si>
  <si>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</si>
  <si>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</si>
  <si>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</si>
  <si>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</si>
  <si>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</si>
  <si>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</si>
  <si>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</si>
  <si>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</si>
  <si>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</si>
  <si>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</si>
  <si>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</si>
  <si>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</si>
  <si>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</si>
  <si>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</si>
  <si>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</si>
  <si>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</si>
  <si>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</si>
  <si>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</si>
  <si>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</si>
  <si>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</si>
  <si>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</si>
  <si>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</si>
  <si>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</si>
  <si>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</si>
  <si>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</si>
  <si>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</si>
  <si>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</si>
  <si>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</si>
  <si>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</si>
  <si>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</si>
  <si>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</si>
  <si>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</si>
  <si>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</si>
  <si>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</si>
  <si>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</si>
  <si>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</si>
  <si>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</si>
  <si>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</si>
  <si>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</si>
  <si>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</si>
  <si>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</si>
  <si>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</si>
  <si>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</si>
  <si>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</si>
  <si>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</si>
  <si>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</si>
  <si>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</si>
  <si>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</si>
  <si>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</si>
  <si>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</si>
  <si>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</si>
  <si>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</si>
  <si>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</si>
  <si>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</si>
  <si>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</si>
  <si>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</si>
  <si>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</si>
  <si>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</si>
  <si>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</si>
  <si>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</si>
  <si>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</si>
  <si>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</si>
  <si>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</si>
  <si>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</si>
  <si>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</si>
  <si>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</si>
  <si>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</si>
  <si>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</si>
  <si>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</si>
  <si>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</si>
  <si>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</si>
  <si>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</si>
  <si>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</si>
  <si>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</si>
  <si>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</si>
  <si>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</si>
  <si>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</si>
  <si>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</si>
  <si>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</si>
  <si>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</si>
  <si>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</si>
  <si>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</si>
  <si>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</si>
  <si>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</si>
  <si>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</si>
  <si>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</si>
  <si>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</si>
  <si>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</si>
  <si>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</si>
  <si>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</si>
  <si>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</si>
  <si>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</si>
  <si>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</si>
  <si>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</si>
  <si>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</si>
  <si>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</si>
  <si>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</si>
  <si>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</si>
  <si>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</si>
  <si>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</si>
  <si>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</si>
  <si>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</si>
  <si>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</si>
  <si>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</si>
  <si>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</si>
  <si>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</si>
  <si>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</si>
  <si>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</si>
  <si>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</si>
  <si>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</si>
  <si>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</si>
  <si>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</si>
  <si>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</si>
  <si>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</si>
  <si>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</si>
  <si>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</si>
  <si>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</si>
  <si>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</si>
  <si>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</si>
  <si>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</si>
  <si>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</si>
  <si>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</si>
  <si>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</si>
  <si>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</si>
  <si>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</si>
  <si>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</si>
  <si>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</si>
  <si>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</si>
  <si>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</si>
  <si>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</si>
  <si>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</si>
  <si>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</si>
  <si>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</si>
  <si>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</si>
  <si>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</si>
  <si>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</si>
  <si>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</si>
  <si>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</si>
  <si>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</si>
  <si>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</si>
  <si>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</si>
  <si>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</si>
  <si>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</si>
  <si>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</si>
  <si>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</si>
  <si>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</si>
  <si>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</si>
  <si>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</si>
  <si>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</si>
  <si>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</si>
  <si>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</si>
  <si>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</si>
  <si>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</si>
  <si>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</si>
  <si>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</si>
  <si>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</si>
  <si>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</si>
  <si>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</si>
  <si>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</si>
  <si>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</si>
  <si>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</si>
  <si>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</si>
  <si>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</si>
  <si>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</si>
  <si>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</si>
  <si>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</si>
  <si>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</si>
  <si>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</si>
  <si>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</si>
  <si>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</si>
  <si>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</si>
  <si>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</si>
  <si>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</si>
  <si>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</si>
  <si>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</si>
  <si>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</si>
  <si>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</si>
  <si>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</si>
  <si>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</si>
  <si>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</si>
  <si>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</si>
  <si>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</si>
  <si>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</si>
  <si>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</si>
  <si>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</si>
  <si>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</si>
  <si>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</si>
  <si>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</si>
  <si>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</si>
  <si>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</si>
  <si>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</si>
  <si>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</si>
  <si>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</si>
  <si>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</si>
  <si>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</si>
  <si>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</si>
  <si>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</si>
  <si>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</si>
  <si>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</si>
  <si>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</si>
  <si>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</si>
  <si>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</si>
  <si>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</si>
  <si>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</si>
  <si>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</si>
  <si>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</si>
  <si>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</si>
  <si>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</si>
  <si>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</si>
  <si>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</si>
  <si>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</si>
  <si>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</si>
  <si>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</si>
  <si>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</si>
  <si>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</si>
  <si>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</si>
  <si>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</si>
  <si>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</si>
  <si>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</si>
  <si>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</si>
  <si>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</si>
  <si>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</si>
  <si>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</si>
  <si>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</si>
  <si>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</si>
  <si>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</si>
  <si>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</si>
  <si>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</si>
  <si>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</si>
  <si>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</si>
  <si>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</si>
  <si>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</si>
  <si>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</si>
  <si>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</si>
  <si>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</si>
  <si>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</si>
  <si>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</si>
  <si>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</si>
  <si>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</si>
  <si>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</si>
  <si>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</si>
  <si>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</si>
  <si>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</si>
  <si>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</si>
  <si>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</si>
  <si>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</si>
  <si>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</si>
  <si>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</si>
  <si>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</si>
  <si>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</si>
  <si>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</si>
  <si>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</si>
  <si>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</si>
  <si>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</si>
  <si>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</si>
  <si>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</si>
  <si>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</si>
  <si>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</si>
  <si>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</si>
  <si>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</si>
  <si>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</si>
  <si>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</si>
  <si>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</si>
  <si>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</si>
  <si>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</si>
  <si>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</si>
  <si>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</si>
  <si>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</si>
  <si>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</si>
  <si>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</si>
  <si>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</si>
  <si>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</si>
  <si>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</si>
  <si>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</si>
  <si>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</si>
  <si>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</si>
  <si>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</si>
  <si>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</si>
  <si>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</si>
  <si>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</si>
  <si>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</si>
  <si>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</si>
  <si>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</si>
  <si>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</si>
  <si>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</si>
  <si>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</si>
  <si>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</si>
  <si>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</si>
  <si>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</si>
  <si>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</si>
  <si>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</si>
  <si>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</si>
  <si>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</si>
  <si>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</si>
  <si>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</si>
  <si>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</si>
  <si>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</si>
  <si>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</si>
  <si>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</si>
  <si>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</si>
  <si>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</si>
  <si>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</si>
  <si>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</si>
  <si>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</si>
  <si>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</si>
  <si>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</si>
  <si>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</si>
  <si>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</si>
  <si>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</si>
  <si>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</si>
  <si>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</si>
  <si>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</si>
  <si>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</si>
  <si>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</si>
  <si>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</si>
  <si>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</si>
  <si>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</si>
  <si>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</si>
  <si>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</si>
  <si>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</si>
  <si>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</si>
  <si>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</si>
  <si>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</si>
  <si>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</si>
  <si>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</si>
  <si>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</si>
  <si>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</si>
  <si>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</si>
  <si>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</si>
  <si>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</si>
  <si>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</si>
  <si>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</si>
  <si>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</si>
  <si>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</si>
  <si>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</si>
  <si>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</si>
  <si>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</si>
  <si>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</si>
  <si>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</si>
  <si>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</si>
  <si>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</si>
  <si>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</si>
  <si>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</si>
  <si>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</si>
  <si>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</si>
  <si>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</si>
  <si>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</si>
  <si>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</si>
  <si>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</si>
  <si>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</si>
  <si>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</si>
  <si>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</si>
  <si>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</si>
  <si>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</si>
  <si>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</si>
  <si>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</si>
  <si>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</si>
  <si>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</si>
  <si>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</si>
  <si>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</si>
  <si>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</si>
  <si>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</si>
  <si>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</si>
  <si>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</si>
  <si>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</si>
  <si>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</si>
  <si>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</si>
  <si>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</si>
  <si>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</si>
  <si>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</si>
  <si>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</si>
  <si>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</si>
  <si>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</si>
  <si>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</si>
  <si>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</si>
  <si>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</si>
  <si>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</si>
  <si>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</si>
  <si>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</si>
  <si>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</si>
  <si>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</si>
  <si>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</si>
  <si>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</si>
  <si>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</si>
  <si>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</si>
  <si>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</si>
  <si>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</si>
  <si>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</si>
  <si>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</si>
  <si>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</si>
  <si>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</si>
  <si>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</si>
  <si>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</si>
  <si>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</si>
  <si>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</si>
  <si>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</si>
  <si>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</si>
  <si>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</si>
  <si>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</si>
  <si>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</si>
  <si>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</si>
  <si>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</si>
  <si>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</si>
  <si>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</si>
  <si>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</si>
  <si>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</si>
  <si>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</si>
  <si>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</si>
  <si>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</si>
  <si>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</si>
  <si>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</si>
  <si>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</si>
  <si>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</si>
  <si>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</si>
  <si>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</si>
  <si>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</si>
  <si>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</si>
  <si>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</si>
  <si>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</si>
  <si>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</si>
  <si>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</si>
  <si>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</si>
  <si>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</si>
  <si>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</si>
  <si>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</si>
  <si>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</si>
  <si>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</si>
  <si>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</si>
  <si>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</si>
  <si>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</si>
  <si>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</si>
  <si>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</si>
  <si>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</si>
  <si>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</si>
  <si>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</si>
  <si>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</si>
  <si>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</si>
  <si>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</si>
  <si>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</si>
  <si>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</si>
  <si>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</si>
  <si>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</si>
  <si>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</si>
  <si>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</si>
  <si>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</si>
  <si>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</si>
  <si>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</si>
  <si>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</si>
  <si>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</si>
  <si>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</si>
  <si>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</si>
  <si>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</si>
  <si>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</si>
  <si>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</si>
  <si>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</si>
  <si>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</si>
  <si>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</si>
  <si>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</si>
  <si>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</si>
  <si>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</si>
  <si>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</si>
  <si>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</si>
  <si>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</si>
  <si>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</si>
  <si>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</si>
  <si>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</si>
  <si>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</si>
  <si>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</si>
  <si>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</si>
  <si>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</si>
  <si>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</si>
  <si>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</si>
  <si>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</si>
  <si>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</si>
  <si>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</si>
  <si>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</si>
  <si>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</si>
  <si>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</si>
  <si>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</si>
  <si>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</si>
  <si>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</si>
  <si>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</si>
  <si>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</si>
  <si>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</si>
  <si>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</si>
  <si>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</si>
  <si>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</si>
  <si>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</si>
  <si>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</si>
  <si>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</si>
  <si>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</si>
  <si>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</si>
  <si>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</si>
  <si>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</si>
  <si>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</si>
  <si>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</si>
  <si>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</si>
  <si>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</si>
  <si>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</si>
  <si>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</si>
  <si>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</si>
  <si>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</si>
  <si>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</si>
  <si>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</si>
  <si>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</si>
  <si>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</si>
  <si>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</si>
  <si>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</si>
  <si>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</si>
  <si>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</si>
  <si>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</si>
  <si>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</si>
  <si>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</si>
  <si>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</si>
  <si>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</si>
  <si>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</si>
  <si>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</si>
  <si>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</si>
  <si>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</si>
  <si>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</si>
  <si>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</si>
  <si>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</si>
  <si>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</si>
  <si>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</si>
  <si>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</si>
  <si>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</si>
  <si>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</si>
  <si>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</si>
  <si>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</si>
  <si>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</si>
  <si>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</si>
  <si>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</si>
  <si>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</si>
  <si>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</si>
  <si>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</si>
  <si>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</si>
  <si>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</si>
  <si>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</si>
  <si>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</si>
  <si>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</si>
  <si>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</si>
  <si>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</si>
  <si>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</si>
  <si>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</si>
  <si>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</si>
  <si>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</si>
  <si>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</si>
  <si>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</si>
  <si>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</si>
  <si>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</si>
  <si>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</si>
  <si>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</si>
  <si>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</si>
  <si>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</si>
  <si>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</si>
  <si>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</si>
  <si>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</si>
  <si>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</si>
  <si>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</si>
  <si>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</si>
  <si>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</si>
  <si>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</si>
  <si>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</si>
  <si>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</si>
  <si>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</si>
  <si>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</si>
  <si>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</si>
  <si>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</si>
  <si>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</si>
  <si>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</si>
  <si>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</si>
  <si>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</si>
  <si>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</si>
  <si>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</si>
  <si>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</si>
  <si>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</si>
  <si>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</si>
  <si>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</si>
  <si>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</si>
  <si>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</si>
  <si>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</si>
  <si>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</si>
  <si>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</si>
  <si>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</si>
  <si>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</si>
  <si>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</si>
  <si>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</si>
  <si>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</si>
  <si>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</si>
  <si>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</si>
  <si>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</si>
  <si>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</si>
  <si>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</si>
  <si>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</si>
  <si>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</si>
  <si>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</si>
  <si>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</si>
  <si>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</si>
  <si>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</si>
  <si>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</si>
  <si>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</si>
  <si>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</si>
  <si>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</si>
  <si>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</si>
  <si>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</si>
  <si>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</si>
  <si>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</si>
  <si>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</si>
  <si>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</si>
  <si>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</si>
  <si>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</si>
  <si>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</si>
  <si>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</si>
  <si>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</si>
  <si>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</si>
  <si>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</si>
  <si>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</si>
  <si>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</si>
  <si>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</si>
  <si>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</si>
  <si>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</si>
  <si>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</si>
  <si>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</si>
  <si>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</si>
  <si>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</si>
  <si>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</si>
  <si>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</si>
  <si>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</si>
  <si>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</si>
  <si>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</si>
  <si>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</si>
  <si>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</si>
  <si>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</si>
  <si>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</si>
  <si>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</si>
  <si>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</si>
  <si>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</si>
  <si>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</si>
  <si>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</si>
  <si>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</si>
  <si>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</si>
  <si>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</si>
  <si>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</si>
  <si>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</si>
  <si>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</si>
  <si>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</si>
  <si>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</si>
  <si>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</si>
  <si>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</si>
  <si>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</si>
  <si>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</si>
  <si>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</si>
  <si>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</si>
  <si>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</si>
  <si>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</si>
  <si>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</si>
  <si>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</si>
  <si>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</si>
  <si>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</si>
  <si>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</si>
  <si>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</si>
  <si>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</si>
  <si>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</si>
  <si>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</si>
  <si>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</si>
  <si>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</si>
  <si>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</si>
  <si>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</si>
  <si>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</si>
  <si>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</si>
  <si>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</si>
  <si>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</si>
  <si>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</si>
  <si>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</si>
  <si>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</si>
  <si>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</si>
  <si>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</si>
  <si>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</si>
  <si>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</si>
  <si>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</si>
  <si>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</si>
  <si>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</si>
  <si>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</si>
  <si>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</si>
  <si>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</si>
  <si>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</si>
  <si>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</si>
  <si>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</si>
  <si>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</si>
  <si>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</si>
  <si>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</si>
  <si>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</si>
  <si>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</si>
  <si>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</si>
  <si>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</si>
  <si>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</si>
  <si>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</si>
  <si>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</si>
  <si>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</si>
  <si>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</si>
  <si>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</si>
  <si>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</si>
  <si>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</si>
  <si>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</si>
  <si>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</si>
  <si>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</si>
  <si>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</si>
  <si>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</si>
  <si>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</si>
  <si>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</si>
  <si>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</si>
  <si>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</si>
  <si>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</si>
  <si>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</si>
  <si>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</si>
  <si>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</si>
  <si>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</si>
  <si>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</si>
  <si>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</si>
  <si>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</si>
  <si>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</si>
  <si>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</si>
  <si>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</si>
  <si>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</si>
  <si>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</si>
  <si>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</si>
  <si>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</si>
  <si>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</si>
  <si>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</si>
  <si>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</si>
  <si>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</si>
  <si>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</si>
  <si>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</si>
  <si>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</si>
  <si>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</si>
  <si>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</si>
  <si>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</si>
  <si>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</si>
  <si>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</si>
  <si>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</si>
  <si>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</si>
  <si>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</si>
  <si>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</si>
  <si>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</si>
  <si>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</si>
  <si>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</si>
  <si>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</si>
  <si>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</si>
  <si>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</si>
  <si>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</si>
  <si>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</si>
  <si>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</si>
  <si>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</si>
  <si>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</si>
  <si>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</si>
  <si>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</si>
  <si>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</si>
  <si>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</si>
  <si>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</si>
  <si>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</si>
  <si>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</si>
  <si>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</si>
  <si>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</si>
  <si>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</si>
  <si>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</si>
  <si>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</si>
  <si>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</si>
  <si>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</si>
  <si>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</si>
  <si>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</si>
  <si>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</si>
  <si>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</si>
  <si>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</si>
  <si>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</si>
  <si>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</si>
  <si>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</si>
  <si>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</si>
  <si>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</si>
  <si>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</si>
  <si>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</si>
  <si>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</si>
  <si>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</si>
  <si>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</si>
  <si>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</si>
  <si>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</si>
  <si>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</si>
  <si>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</si>
  <si>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</si>
  <si>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</si>
  <si>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</si>
  <si>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</si>
  <si>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</si>
  <si>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</si>
  <si>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</si>
  <si>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</si>
  <si>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</si>
  <si>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</si>
  <si>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</si>
  <si>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</si>
  <si>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</si>
  <si>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</si>
  <si>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</si>
  <si>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</si>
  <si>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</si>
  <si>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</si>
  <si>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</si>
  <si>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</si>
  <si>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</si>
  <si>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</si>
  <si>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</si>
  <si>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</si>
  <si>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</si>
  <si>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</si>
  <si>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</si>
  <si>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</si>
  <si>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</si>
  <si>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</si>
  <si>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</si>
  <si>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</si>
  <si>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</si>
  <si>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</si>
  <si>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</si>
  <si>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</si>
  <si>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</si>
  <si>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</si>
  <si>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</si>
  <si>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</si>
  <si>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</si>
  <si>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</si>
  <si>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</si>
  <si>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</si>
  <si>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</si>
  <si>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</si>
  <si>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</si>
  <si>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</si>
  <si>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</si>
  <si>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</si>
  <si>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</si>
  <si>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</si>
  <si>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</si>
  <si>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</si>
  <si>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</si>
  <si>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</si>
  <si>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</si>
  <si>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</si>
  <si>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</si>
  <si>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</si>
  <si>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</si>
  <si>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</si>
  <si>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</si>
  <si>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</si>
  <si>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</si>
  <si>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</si>
  <si>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</si>
  <si>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</si>
  <si>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</si>
  <si>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</si>
  <si>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</si>
  <si>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</si>
  <si>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</si>
  <si>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</si>
  <si>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</si>
  <si>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</si>
  <si>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</si>
  <si>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</si>
  <si>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</si>
  <si>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</si>
  <si>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</si>
  <si>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</si>
  <si>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</si>
  <si>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</si>
  <si>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</si>
  <si>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</si>
  <si>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</si>
  <si>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</si>
  <si>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</si>
  <si>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</si>
  <si>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</si>
  <si>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</si>
  <si>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</si>
  <si>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</si>
  <si>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</si>
  <si>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</si>
  <si>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</si>
  <si>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</si>
  <si>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</si>
  <si>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</si>
  <si>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</si>
  <si>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</si>
  <si>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</si>
  <si>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</si>
  <si>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</si>
  <si>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</si>
  <si>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</si>
  <si>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</si>
  <si>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</si>
  <si>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</si>
  <si>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</si>
  <si>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</si>
  <si>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</si>
  <si>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</si>
  <si>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</si>
  <si>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</si>
  <si>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</si>
  <si>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</si>
  <si>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</si>
  <si>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</si>
  <si>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</si>
  <si>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</si>
  <si>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</si>
  <si>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</si>
  <si>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</si>
  <si>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</si>
  <si>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</si>
  <si>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</si>
  <si>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</si>
  <si>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</si>
  <si>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</si>
  <si>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</si>
  <si>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</si>
  <si>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</si>
  <si>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</si>
  <si>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</si>
  <si>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</si>
  <si>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</si>
  <si>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</si>
  <si>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</si>
  <si>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</si>
  <si>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</si>
  <si>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</si>
  <si>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</si>
  <si>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</si>
  <si>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</si>
  <si>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</si>
  <si>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</si>
  <si>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</si>
  <si>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</si>
  <si>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</si>
  <si>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</si>
  <si>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</si>
  <si>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</si>
  <si>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</si>
  <si>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</si>
  <si>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</si>
  <si>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</si>
  <si>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</si>
  <si>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</si>
  <si>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</si>
  <si>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</si>
  <si>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</si>
  <si>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</si>
  <si>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</si>
  <si>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</si>
  <si>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</si>
  <si>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</si>
  <si>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</si>
  <si>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</si>
  <si>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</si>
  <si>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</si>
  <si>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</si>
  <si>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</si>
  <si>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</si>
  <si>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</si>
  <si>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</si>
  <si>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</si>
  <si>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</si>
  <si>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</si>
  <si>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</si>
  <si>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</si>
  <si>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</si>
  <si>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</si>
  <si>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</si>
  <si>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</si>
  <si>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</si>
  <si>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</si>
  <si>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</si>
  <si>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</si>
  <si>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</si>
  <si>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</si>
  <si>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</si>
  <si>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</si>
  <si>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</si>
  <si>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</si>
  <si>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</si>
  <si>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</si>
  <si>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</si>
  <si>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</si>
  <si>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</si>
  <si>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</si>
  <si>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</si>
  <si>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</si>
  <si>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</si>
  <si>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</si>
  <si>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</si>
  <si>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</si>
  <si>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</si>
  <si>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</si>
  <si>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</si>
  <si>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</si>
  <si>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</si>
  <si>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</si>
  <si>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</si>
  <si>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</si>
  <si>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</si>
  <si>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</si>
  <si>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</si>
  <si>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</si>
  <si>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</si>
  <si>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</si>
  <si>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</si>
  <si>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</si>
  <si>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</si>
  <si>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</si>
  <si>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</si>
  <si>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</si>
  <si>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</si>
  <si>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</si>
  <si>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</si>
  <si>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</si>
  <si>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</si>
  <si>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</si>
  <si>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</si>
  <si>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</si>
  <si>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</si>
  <si>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</si>
  <si>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</si>
  <si>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</si>
  <si>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</si>
  <si>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</si>
  <si>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</si>
  <si>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</si>
  <si>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</si>
  <si>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</si>
  <si>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</si>
  <si>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</si>
  <si>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</si>
  <si>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</si>
  <si>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</si>
  <si>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</si>
  <si>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</si>
  <si>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</si>
  <si>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</si>
  <si>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</si>
  <si>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</si>
  <si>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</si>
  <si>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</si>
  <si>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</si>
  <si>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</si>
  <si>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</si>
  <si>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</si>
  <si>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</si>
  <si>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</si>
  <si>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</si>
  <si>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</si>
  <si>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</si>
  <si>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</si>
  <si>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</si>
  <si>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</si>
  <si>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</si>
  <si>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</si>
  <si>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</si>
  <si>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</si>
  <si>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</si>
  <si>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</si>
  <si>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</si>
  <si>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</si>
  <si>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</si>
  <si>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</si>
  <si>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</si>
  <si>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</si>
  <si>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</si>
  <si>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</si>
  <si>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</si>
  <si>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</si>
  <si>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</si>
  <si>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</si>
  <si>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</si>
  <si>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</si>
  <si>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</si>
  <si>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</si>
  <si>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</si>
  <si>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</si>
  <si>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</si>
  <si>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</si>
  <si>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</si>
  <si>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</si>
  <si>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</si>
  <si>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</si>
  <si>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</si>
  <si>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</si>
  <si>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</si>
  <si>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</si>
  <si>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</si>
  <si>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</si>
  <si>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</si>
  <si>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</si>
  <si>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</si>
  <si>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</si>
  <si>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</si>
  <si>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</si>
  <si>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</si>
  <si>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</si>
  <si>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</si>
  <si>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</si>
  <si>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</si>
  <si>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</si>
  <si>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</si>
  <si>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</si>
  <si>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</si>
  <si>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</si>
  <si>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</si>
  <si>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</si>
  <si>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</si>
  <si>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</si>
  <si>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</si>
  <si>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</si>
  <si>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</si>
  <si>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</si>
  <si>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</si>
  <si>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</si>
  <si>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</si>
  <si>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</si>
  <si>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</si>
  <si>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</si>
  <si>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</si>
  <si>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</si>
  <si>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</si>
  <si>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</si>
  <si>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</si>
  <si>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</si>
  <si>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</si>
  <si>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</si>
  <si>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</si>
  <si>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</si>
  <si>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</si>
  <si>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</si>
  <si>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</si>
  <si>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</si>
  <si>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</si>
  <si>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</si>
  <si>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</si>
  <si>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</si>
  <si>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</si>
  <si>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</si>
  <si>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</si>
  <si>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</si>
  <si>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</si>
  <si>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</si>
  <si>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</si>
  <si>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</si>
  <si>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</si>
  <si>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</si>
  <si>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</si>
  <si>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</si>
  <si>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</si>
  <si>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</si>
  <si>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</si>
  <si>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</si>
  <si>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</si>
  <si>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</si>
  <si>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</si>
  <si>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</si>
  <si>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</si>
  <si>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</si>
  <si>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</si>
  <si>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</si>
  <si>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</si>
  <si>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</si>
  <si>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</si>
  <si>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</si>
  <si>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</si>
  <si>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</si>
  <si>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</si>
  <si>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</si>
  <si>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</si>
  <si>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</si>
  <si>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</si>
  <si>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</si>
  <si>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</si>
  <si>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</si>
  <si>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</si>
  <si>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</si>
  <si>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</si>
  <si>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</si>
  <si>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</si>
  <si>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</si>
  <si>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</si>
  <si>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</si>
  <si>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</si>
  <si>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</si>
  <si>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</si>
  <si>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</si>
  <si>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</si>
  <si>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</si>
  <si>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</si>
  <si>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</si>
  <si>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</si>
  <si>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</si>
  <si>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</si>
  <si>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</si>
  <si>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</si>
  <si>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</si>
  <si>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</si>
  <si>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</si>
  <si>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</si>
  <si>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</si>
  <si>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</si>
  <si>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</si>
  <si>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</si>
  <si>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</si>
  <si>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</si>
  <si>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</si>
  <si>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</si>
  <si>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</si>
  <si>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</si>
  <si>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</si>
  <si>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</si>
  <si>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</si>
  <si>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</si>
  <si>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</si>
  <si>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</si>
  <si>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</si>
  <si>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</si>
  <si>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</si>
  <si>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</si>
  <si>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</si>
  <si>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</si>
  <si>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</si>
  <si>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</si>
  <si>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</si>
  <si>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</si>
  <si>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</si>
  <si>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</si>
  <si>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</si>
  <si>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</si>
  <si>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</si>
  <si>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</si>
  <si>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</si>
  <si>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</si>
  <si>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</si>
  <si>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</si>
  <si>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</si>
  <si>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</si>
  <si>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</si>
  <si>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</si>
  <si>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</si>
  <si>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</si>
  <si>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</si>
  <si>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</si>
  <si>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</si>
  <si>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</si>
  <si>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</si>
  <si>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</si>
  <si>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</si>
  <si>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</si>
  <si>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</si>
  <si>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</si>
  <si>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</si>
  <si>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</si>
  <si>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</si>
  <si>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</si>
  <si>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</si>
  <si>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</si>
  <si>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</si>
  <si>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</si>
  <si>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</si>
  <si>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</si>
  <si>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</si>
  <si>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</si>
  <si>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</si>
  <si>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</si>
  <si>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</si>
  <si>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</si>
  <si>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</si>
  <si>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</si>
  <si>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</si>
  <si>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</si>
  <si>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</si>
  <si>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</si>
  <si>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</si>
  <si>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</si>
  <si>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</si>
  <si>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</si>
  <si>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</si>
  <si>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</si>
  <si>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</si>
  <si>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</si>
  <si>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</si>
  <si>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</si>
  <si>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</si>
  <si>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</si>
  <si>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</si>
  <si>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</si>
  <si>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</si>
  <si>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</si>
  <si>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</si>
  <si>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</si>
  <si>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</si>
  <si>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</si>
  <si>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</si>
  <si>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</si>
  <si>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</si>
  <si>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</si>
  <si>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</si>
  <si>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</si>
  <si>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</si>
  <si>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</si>
  <si>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</si>
  <si>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</si>
  <si>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</si>
  <si>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</si>
  <si>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</si>
  <si>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</si>
  <si>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</si>
  <si>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</si>
  <si>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</si>
  <si>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</si>
  <si>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</si>
  <si>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</si>
  <si>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</si>
  <si>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</si>
  <si>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</si>
  <si>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</si>
  <si>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</si>
  <si>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</si>
  <si>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</si>
  <si>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</si>
  <si>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</si>
  <si>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</si>
  <si>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</si>
  <si>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</si>
  <si>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</si>
  <si>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</si>
  <si>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</si>
  <si>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</si>
  <si>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</si>
  <si>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</si>
  <si>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</si>
  <si>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</si>
  <si>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</si>
  <si>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</si>
  <si>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</si>
  <si>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</si>
  <si>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</si>
  <si>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</si>
  <si>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</si>
  <si>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</si>
  <si>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</si>
  <si>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</si>
  <si>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</si>
  <si>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</si>
  <si>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</si>
  <si>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</si>
  <si>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</si>
  <si>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</si>
  <si>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</si>
  <si>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</si>
  <si>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</si>
  <si>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</si>
  <si>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</si>
  <si>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</si>
  <si>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</si>
  <si>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</si>
  <si>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</si>
  <si>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</si>
  <si>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</si>
  <si>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</si>
  <si>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</si>
  <si>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</si>
  <si>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</si>
  <si>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</si>
  <si>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</si>
  <si>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</si>
  <si>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</si>
  <si>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</si>
  <si>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</si>
  <si>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</si>
  <si>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</si>
  <si>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</si>
  <si>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</si>
  <si>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</si>
  <si>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</si>
  <si>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</si>
  <si>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</si>
  <si>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</si>
  <si>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</si>
  <si>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</si>
  <si>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</si>
  <si>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</si>
  <si>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</si>
  <si>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</si>
  <si>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</si>
  <si>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</si>
  <si>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</si>
  <si>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</si>
  <si>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</si>
  <si>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</si>
  <si>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</si>
  <si>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</si>
  <si>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</si>
  <si>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</si>
  <si>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</si>
  <si>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</si>
  <si>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</si>
  <si>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</si>
  <si>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</si>
  <si>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</si>
  <si>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</si>
  <si>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</si>
  <si>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</si>
  <si>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</si>
  <si>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</si>
  <si>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</si>
  <si>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</si>
  <si>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</si>
  <si>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</si>
  <si>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</si>
  <si>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</si>
  <si>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</si>
  <si>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</si>
  <si>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</si>
  <si>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</si>
  <si>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</si>
  <si>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</si>
  <si>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</si>
  <si>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</si>
  <si>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</si>
  <si>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</si>
  <si>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</si>
  <si>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</si>
  <si>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</si>
  <si>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</si>
  <si>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</si>
  <si>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</si>
  <si>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</si>
  <si>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</si>
  <si>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</si>
  <si>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</si>
  <si>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</si>
  <si>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</si>
  <si>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</si>
  <si>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</si>
  <si>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</si>
  <si>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</si>
  <si>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</si>
  <si>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</si>
  <si>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</si>
  <si>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</si>
  <si>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</si>
  <si>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</si>
  <si>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</si>
  <si>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</si>
  <si>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</si>
  <si>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</si>
  <si>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</si>
  <si>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</si>
  <si>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</si>
  <si>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</si>
  <si>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</si>
  <si>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</si>
  <si>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</si>
  <si>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</si>
  <si>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</si>
  <si>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</si>
  <si>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</si>
  <si>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</si>
  <si>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</si>
  <si>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</si>
  <si>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</si>
  <si>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</si>
  <si>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</si>
  <si>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</si>
  <si>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</si>
  <si>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</si>
  <si>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</si>
  <si>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</si>
  <si>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</si>
  <si>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</si>
  <si>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</si>
  <si>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</si>
  <si>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</si>
  <si>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</si>
  <si>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</si>
  <si>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</si>
  <si>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</si>
  <si>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</si>
  <si>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</si>
  <si>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</si>
  <si>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</si>
  <si>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</si>
  <si>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</si>
  <si>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</si>
  <si>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</si>
  <si>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</si>
  <si>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</si>
  <si>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</si>
  <si>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</si>
  <si>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</si>
  <si>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</si>
  <si>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</si>
  <si>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</si>
  <si>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</si>
  <si>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</si>
  <si>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</si>
  <si>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</si>
  <si>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</si>
  <si>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</si>
  <si>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</si>
  <si>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</si>
  <si>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</si>
  <si>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</si>
  <si>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</si>
  <si>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</si>
  <si>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</si>
  <si>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</si>
  <si>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</si>
  <si>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</si>
  <si>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</si>
  <si>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</si>
  <si>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</si>
  <si>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</si>
  <si>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</si>
  <si>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</si>
  <si>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</si>
  <si>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</si>
  <si>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</si>
  <si>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</si>
  <si>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</si>
  <si>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</si>
  <si>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</si>
  <si>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</si>
  <si>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</si>
  <si>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</si>
  <si>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</si>
  <si>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</si>
  <si>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</si>
  <si>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</si>
  <si>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</si>
  <si>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</si>
  <si>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</si>
  <si>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</si>
  <si>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序号</t>
    <phoneticPr fontId="228" type="noConversion"/>
  </si>
  <si>
    <t>出让合同编号</t>
    <phoneticPr fontId="228" type="noConversion"/>
  </si>
  <si>
    <t>用途</t>
    <phoneticPr fontId="228" type="noConversion"/>
  </si>
  <si>
    <t>面积</t>
    <phoneticPr fontId="228" type="noConversion"/>
  </si>
  <si>
    <t>地价单价</t>
    <phoneticPr fontId="228" type="noConversion"/>
  </si>
  <si>
    <t>地价总价</t>
    <phoneticPr fontId="228" type="noConversion"/>
  </si>
  <si>
    <t>时间</t>
    <phoneticPr fontId="228" type="noConversion"/>
  </si>
  <si>
    <t>权利人</t>
    <phoneticPr fontId="228" type="noConversion"/>
  </si>
  <si>
    <t>四川全兴股份有限公司</t>
    <phoneticPr fontId="228" type="noConversion"/>
  </si>
  <si>
    <t>工业</t>
    <phoneticPr fontId="228" type="noConversion"/>
  </si>
  <si>
    <t>2001.11.28</t>
    <phoneticPr fontId="228" type="noConversion"/>
  </si>
  <si>
    <t>四川水井坊股份有限公司</t>
    <phoneticPr fontId="228" type="noConversion"/>
  </si>
  <si>
    <t>工业</t>
    <phoneticPr fontId="228" type="noConversion"/>
  </si>
  <si>
    <t>2007.6.8</t>
    <phoneticPr fontId="228" type="noConversion"/>
  </si>
  <si>
    <t>《国有建设用地使用权出让合同》补充协议</t>
    <phoneticPr fontId="228" type="noConversion"/>
  </si>
  <si>
    <t>应补缴</t>
    <phoneticPr fontId="228" type="noConversion"/>
  </si>
  <si>
    <t>较少</t>
    <phoneticPr fontId="228" type="noConversion"/>
  </si>
  <si>
    <t>总最终</t>
    <phoneticPr fontId="228" type="noConversion"/>
  </si>
  <si>
    <t>总开始</t>
    <phoneticPr fontId="228" type="noConversion"/>
  </si>
  <si>
    <t>1号地</t>
    <phoneticPr fontId="228" type="noConversion"/>
  </si>
  <si>
    <t>时间</t>
    <phoneticPr fontId="228" type="noConversion"/>
  </si>
  <si>
    <t>2015.1.21</t>
    <phoneticPr fontId="228" type="noConversion"/>
  </si>
  <si>
    <t>2015.9.30</t>
    <phoneticPr fontId="228" type="noConversion"/>
  </si>
  <si>
    <t>《9.1+国有土地使用权收回及补偿协议》</t>
    <phoneticPr fontId="228" type="noConversion"/>
  </si>
  <si>
    <t>《征地协议书-已写》</t>
    <phoneticPr fontId="228" type="noConversion"/>
  </si>
  <si>
    <t>商贸</t>
    <phoneticPr fontId="228" type="noConversion"/>
  </si>
  <si>
    <t>商贸</t>
    <phoneticPr fontId="228" type="noConversion"/>
  </si>
  <si>
    <t>2001.6.27</t>
    <phoneticPr fontId="228" type="noConversion"/>
  </si>
  <si>
    <t>郫县人民政府关于同意收回成都聚锦商贸有限公司部分土地及土地变更相关事宜的批复-已转换未写</t>
    <phoneticPr fontId="228" type="noConversion"/>
  </si>
  <si>
    <t>郫府函[2014]367号</t>
    <phoneticPr fontId="228" type="noConversion"/>
  </si>
  <si>
    <t>2014.12.31</t>
    <phoneticPr fontId="228" type="noConversion"/>
  </si>
  <si>
    <t>2007.10.11</t>
    <phoneticPr fontId="228" type="noConversion"/>
  </si>
  <si>
    <t>2008-45《成都市国有土地使用权出让合同》附件-已写</t>
    <phoneticPr fontId="228" type="noConversion"/>
  </si>
  <si>
    <t>2007-37《成都市国有土地使用权出让合同》</t>
    <phoneticPr fontId="228" type="noConversion"/>
  </si>
  <si>
    <t>工业改住宅</t>
    <phoneticPr fontId="228" type="noConversion"/>
  </si>
  <si>
    <t>2008.12.5</t>
    <phoneticPr fontId="228" type="noConversion"/>
  </si>
  <si>
    <t>2002.11.1</t>
    <phoneticPr fontId="228" type="noConversion"/>
  </si>
  <si>
    <t>2006.3.21</t>
    <phoneticPr fontId="228" type="noConversion"/>
  </si>
  <si>
    <t>合同信息</t>
    <phoneticPr fontId="228" type="noConversion"/>
  </si>
  <si>
    <t>补充合同</t>
    <phoneticPr fontId="228" type="noConversion"/>
  </si>
  <si>
    <t>1地块</t>
  </si>
  <si>
    <t>2地块</t>
  </si>
  <si>
    <t>3地块</t>
  </si>
  <si>
    <t>4-1地块</t>
  </si>
  <si>
    <t>4-2地块</t>
  </si>
  <si>
    <t>项目净用地面积</t>
  </si>
  <si>
    <t>㎡</t>
  </si>
  <si>
    <t>总建筑面积</t>
  </si>
  <si>
    <t>含架空层建筑面积，含地下室面积</t>
  </si>
  <si>
    <t>地上计容建筑面积</t>
  </si>
  <si>
    <t>其中</t>
  </si>
  <si>
    <t>T6高层</t>
  </si>
  <si>
    <t>T4高层</t>
  </si>
  <si>
    <t>T2洋房</t>
  </si>
  <si>
    <t>别墅</t>
  </si>
  <si>
    <t>公寓</t>
  </si>
  <si>
    <t>配套用房面积</t>
  </si>
  <si>
    <t>社区用房</t>
  </si>
  <si>
    <t>根据规划条件要求填写设置</t>
  </si>
  <si>
    <t>物业用房</t>
  </si>
  <si>
    <t>物业服务用房按照计容建筑面积在10 万平方米以上，30万平方米以下，按总建筑面积3‰配置，且建筑面积不小于400平方米。</t>
  </si>
  <si>
    <t>门卫，消控、监控</t>
  </si>
  <si>
    <t>公厕</t>
  </si>
  <si>
    <t>文化活动室</t>
  </si>
  <si>
    <t>垃圾用房</t>
  </si>
  <si>
    <t>按住宅建筑面积的0.8‰配置， 且不小于20平方米</t>
  </si>
  <si>
    <t>幼儿园</t>
  </si>
  <si>
    <t>非住宅面积（可售）</t>
  </si>
  <si>
    <t>商业</t>
  </si>
  <si>
    <t>售楼部</t>
  </si>
  <si>
    <t>1层500㎡，2层300㎡</t>
  </si>
  <si>
    <t>SOHO</t>
  </si>
  <si>
    <t>层高？M</t>
  </si>
  <si>
    <t>地上不计容建筑面积</t>
  </si>
  <si>
    <t>架空层建筑面积</t>
  </si>
  <si>
    <t>地下室面积</t>
  </si>
  <si>
    <t>地下车库面积</t>
  </si>
  <si>
    <t>物管用房</t>
  </si>
  <si>
    <t>设备用房面积</t>
  </si>
  <si>
    <t>地下面积5%</t>
  </si>
  <si>
    <t>非机动车库面积</t>
  </si>
  <si>
    <t>单车位指标：1.50㎡/辆</t>
  </si>
  <si>
    <t>住宅赠送地下室面积</t>
  </si>
  <si>
    <t>地下室人防面积</t>
  </si>
  <si>
    <t>建筑密度</t>
  </si>
  <si>
    <t>住宅基底面积</t>
  </si>
  <si>
    <t>高层/洋房</t>
  </si>
  <si>
    <t>非住宅基底面积（可售）</t>
  </si>
  <si>
    <t>门卫（收发室）</t>
  </si>
  <si>
    <t>卫生间</t>
  </si>
  <si>
    <t>总基底面积</t>
  </si>
  <si>
    <t>限高</t>
  </si>
  <si>
    <t>m</t>
  </si>
  <si>
    <t>10-70M</t>
  </si>
  <si>
    <t>30-60</t>
  </si>
  <si>
    <t>10-30M</t>
  </si>
  <si>
    <t>20-60</t>
  </si>
  <si>
    <t>绿地率</t>
  </si>
  <si>
    <t>不小于35%</t>
  </si>
  <si>
    <t>电梯数量</t>
  </si>
  <si>
    <t>台</t>
  </si>
  <si>
    <t>高层（T6）</t>
  </si>
  <si>
    <t>每个单元2部电梯</t>
  </si>
  <si>
    <t>高层（T4）</t>
  </si>
  <si>
    <t>每个单元 2部电梯</t>
  </si>
  <si>
    <t>洋房（T2）</t>
  </si>
  <si>
    <t>每个单元 1部电梯</t>
  </si>
  <si>
    <t>每个单元 - 部电梯</t>
  </si>
  <si>
    <t>每个单元 3部电梯</t>
  </si>
  <si>
    <t>住宅户数</t>
  </si>
  <si>
    <t>户</t>
  </si>
  <si>
    <t>高层</t>
  </si>
  <si>
    <t>洋房</t>
  </si>
  <si>
    <t>公寓户数</t>
  </si>
  <si>
    <t>LOFT</t>
  </si>
  <si>
    <t>机动车位</t>
  </si>
  <si>
    <t>辆</t>
  </si>
  <si>
    <t>其中普通车位:5662个，人防车位：1734个</t>
    <phoneticPr fontId="228" type="noConversion"/>
  </si>
  <si>
    <t>二环路以外，1.2车位/100㎡建筑面积；</t>
  </si>
  <si>
    <t>商业、物管用房</t>
  </si>
  <si>
    <t>二环路以外，0.8车位/100㎡建筑面积</t>
  </si>
  <si>
    <t>地上</t>
  </si>
  <si>
    <t>地下</t>
  </si>
  <si>
    <t>非机动车位</t>
  </si>
  <si>
    <t>住宅按1辆/100㎡建筑面积</t>
  </si>
  <si>
    <t>办公按1辆/100㎡、商业按1辆/100㎡配置</t>
  </si>
  <si>
    <t>住宅主楼地下</t>
  </si>
  <si>
    <r>
      <t>普通单车位指标：36.00</t>
    </r>
    <r>
      <rPr>
        <sz val="10"/>
        <color theme="1"/>
        <rFont val="宋体"/>
        <family val="3"/>
        <charset val="134"/>
      </rPr>
      <t>㎡</t>
    </r>
    <r>
      <rPr>
        <sz val="10"/>
        <color theme="1"/>
        <rFont val="微软雅黑"/>
        <family val="2"/>
        <charset val="134"/>
      </rPr>
      <t>/辆</t>
    </r>
  </si>
  <si>
    <t xml:space="preserve">新建10层含以上或者基础埋深3米(含)以上的民用建筑，按照地面首层建筑面积修建6级(含)以上防空地下室；其他按地面建筑总面积的百分之二统一规划修建防空地下室；
</t>
    <phoneticPr fontId="228" type="noConversion"/>
  </si>
  <si>
    <t>住宅</t>
    <phoneticPr fontId="228" type="noConversion"/>
  </si>
  <si>
    <t>商业</t>
    <phoneticPr fontId="228" type="noConversion"/>
  </si>
  <si>
    <t>面积</t>
    <phoneticPr fontId="228" type="noConversion"/>
  </si>
  <si>
    <t>住宅终止日期</t>
    <phoneticPr fontId="228" type="noConversion"/>
  </si>
  <si>
    <t>商业终止日期</t>
    <phoneticPr fontId="228" type="noConversion"/>
  </si>
  <si>
    <t>编号</t>
    <phoneticPr fontId="228" type="noConversion"/>
  </si>
  <si>
    <t>用途</t>
    <phoneticPr fontId="228" type="noConversion"/>
  </si>
  <si>
    <t>2019-1-0121</t>
    <phoneticPr fontId="6" type="noConversion"/>
  </si>
  <si>
    <t>郑燚</t>
  </si>
  <si>
    <t>王鹏</t>
  </si>
  <si>
    <t>五矿信托有限公司</t>
    <phoneticPr fontId="6" type="noConversion"/>
  </si>
  <si>
    <t>成都聚锦商务有限公司</t>
    <phoneticPr fontId="6" type="noConversion"/>
  </si>
  <si>
    <t>抵押</t>
  </si>
  <si>
    <t>抵押价格</t>
  </si>
  <si>
    <t>其他：</t>
  </si>
  <si>
    <t>四川省成都市</t>
    <phoneticPr fontId="6" type="noConversion"/>
  </si>
  <si>
    <t>郫都区（原郫县）红光镇护国村一社、郫筒镇鹃城村十社2号地</t>
    <phoneticPr fontId="6" type="noConversion"/>
  </si>
  <si>
    <t>企业</t>
  </si>
  <si>
    <t>住宅</t>
    <phoneticPr fontId="6" type="noConversion"/>
  </si>
  <si>
    <t>住宅、商业、地下车库</t>
    <phoneticPr fontId="6" type="noConversion"/>
  </si>
  <si>
    <t>项目技术指标一览表</t>
    <phoneticPr fontId="228" type="noConversion"/>
  </si>
  <si>
    <t>《项目技术指标一览表》</t>
    <phoneticPr fontId="6" type="noConversion"/>
  </si>
  <si>
    <t>一致</t>
  </si>
  <si>
    <t>符合</t>
  </si>
  <si>
    <t>出让</t>
  </si>
  <si>
    <t>车库</t>
  </si>
  <si>
    <t>居住项目</t>
  </si>
  <si>
    <t>无</t>
  </si>
  <si>
    <t>否</t>
  </si>
  <si>
    <t>场地平整</t>
  </si>
  <si>
    <t>平整</t>
  </si>
  <si>
    <t>通路</t>
  </si>
  <si>
    <t>通电</t>
  </si>
  <si>
    <t>通上水</t>
  </si>
  <si>
    <t>平层住宅</t>
  </si>
  <si>
    <t>地下车库</t>
    <phoneticPr fontId="7" type="noConversion"/>
  </si>
  <si>
    <t>高层住宅</t>
    <phoneticPr fontId="7" type="noConversion"/>
  </si>
  <si>
    <t>洋房住宅</t>
    <phoneticPr fontId="7" type="noConversion"/>
  </si>
  <si>
    <t>不动产收益法</t>
  </si>
  <si>
    <t>土地（套用方法）</t>
  </si>
  <si>
    <t>自定义</t>
  </si>
  <si>
    <t>按租金收入计税</t>
  </si>
  <si>
    <t>钢混</t>
  </si>
  <si>
    <t>请录依据文件名称：《关于调整成都市城市基础设施配套费标准的通知》（川发改价格〔2012〕1387号）</t>
    <phoneticPr fontId="3" type="noConversion"/>
  </si>
  <si>
    <t>其他省市请录依据文件名称：《郫县人民政府关于调整城镇土地使用税税额标准的通知》</t>
    <phoneticPr fontId="3" type="noConversion"/>
  </si>
  <si>
    <t>一般</t>
    <phoneticPr fontId="21" type="noConversion"/>
  </si>
  <si>
    <t>一般</t>
    <phoneticPr fontId="21" type="noConversion"/>
  </si>
  <si>
    <t>一般</t>
    <phoneticPr fontId="21" type="noConversion"/>
  </si>
  <si>
    <t>六通</t>
    <phoneticPr fontId="21" type="noConversion"/>
  </si>
  <si>
    <t>支路</t>
    <phoneticPr fontId="21" type="noConversion"/>
  </si>
  <si>
    <t>双面临街</t>
  </si>
  <si>
    <t>比较法-住宅、综合</t>
  </si>
  <si>
    <t>剩余法-待开发</t>
  </si>
  <si>
    <t>土地</t>
  </si>
  <si>
    <t>注销后放款</t>
  </si>
  <si>
    <t>地块名称</t>
  </si>
  <si>
    <t>城市</t>
  </si>
  <si>
    <t>用地性质</t>
  </si>
  <si>
    <t>建设用地面积(㎡)</t>
  </si>
  <si>
    <t>规划建筑面积(㎡)</t>
  </si>
  <si>
    <t>出让方式</t>
  </si>
  <si>
    <t>截止日期</t>
  </si>
  <si>
    <t>起始价(万元)</t>
  </si>
  <si>
    <t>成交价(万元)</t>
  </si>
  <si>
    <t>溢价率</t>
  </si>
  <si>
    <t>受让单位</t>
  </si>
  <si>
    <t>土地星级</t>
  </si>
  <si>
    <t>PD2018-23(菁蓉湖B片区地块)</t>
  </si>
  <si>
    <t>成都市</t>
  </si>
  <si>
    <t>综合用地(含住宅)</t>
  </si>
  <si>
    <t>①号地块:容积率≤3;②号地块:容积率≤2.5且≥1;③号地块:容积率≤2.5且≥1;④号地块:容积率≤2。</t>
  </si>
  <si>
    <t>拍卖</t>
  </si>
  <si>
    <t>2019-02-20</t>
  </si>
  <si>
    <t>成都华通成科技有限公司</t>
  </si>
  <si>
    <t>2星</t>
  </si>
  <si>
    <t>郫都区郫筒街道望丛社区集体、郫筒镇晨光社区集体,郫筒镇晨光村集体,郫筒镇晨光村村委会</t>
  </si>
  <si>
    <t>①号地块:≤2.5且≥1(停车楼不计入容积率)②号地块:≤2.4</t>
  </si>
  <si>
    <t>2019-01-09</t>
  </si>
  <si>
    <t>成都锦泉企业管理咨询有限公司</t>
  </si>
  <si>
    <t>4星</t>
  </si>
  <si>
    <t>郫都区郫筒镇晨光村二社、三社、双喜村一社</t>
  </si>
  <si>
    <t>住宅用地</t>
  </si>
  <si>
    <t>①号地块:容积率≤2且≥1;②号地块:结合方案合理性确定</t>
  </si>
  <si>
    <t>2018-12-27</t>
  </si>
  <si>
    <t>成都市花样年房地产开发有限公司</t>
  </si>
  <si>
    <t>郫都区安德镇泉水村五社、六社</t>
  </si>
  <si>
    <t>①号地块:容积率≤1.5且≥1;②号地块:容积率≤2.4</t>
  </si>
  <si>
    <t>2018-12-12</t>
  </si>
  <si>
    <t>成都人居蜀兴置业有限公司</t>
  </si>
  <si>
    <t>1星</t>
  </si>
  <si>
    <t>成都市郫都区安德街道望乐社区集体、交通村三社</t>
  </si>
  <si>
    <t>＞1.0且≤2.2</t>
  </si>
  <si>
    <t>2018-11-28</t>
  </si>
  <si>
    <t>成都合利房地产开发有限公司</t>
  </si>
  <si>
    <t>郫都区郫筒镇凉水村二社、三社,郫筒街道成灌东路社区集体,郫筒镇天台村四社、红光镇济阳村集体</t>
  </si>
  <si>
    <t>①号地块容积率≤2且≥1</t>
  </si>
  <si>
    <t>2018-10-31</t>
  </si>
  <si>
    <t>广州市时代企业地产投资有限公司</t>
  </si>
  <si>
    <t>5星</t>
  </si>
  <si>
    <t>郫都区团结镇永定村四社、石堤村十一社</t>
  </si>
  <si>
    <t>①号地块容积率≤1.5且≥1</t>
  </si>
  <si>
    <t>2018-10-11</t>
  </si>
  <si>
    <t>四川传建房地产开发有限公司</t>
  </si>
  <si>
    <t>郫都区安德镇望陆社区居委会、望陆社区集体、安德社区三社、黄烟村五社</t>
  </si>
  <si>
    <t>①号地块:容积率≤1.5且≥1</t>
  </si>
  <si>
    <t>2018-08-29</t>
  </si>
  <si>
    <t>中山富浩投资有限公司</t>
  </si>
  <si>
    <t>郫都区安德镇望陆社区居委会、望陆社区集体、安德社区三社</t>
  </si>
  <si>
    <t>①号地块:容积率≥1且≤1.5</t>
  </si>
  <si>
    <t>郫都区犀浦镇龙吟村2、4社</t>
  </si>
  <si>
    <t>①号地块:不大于3且不小于1;</t>
  </si>
  <si>
    <t>2018-08-01</t>
  </si>
  <si>
    <t>成都科甲龙兴华盛房地产开发有限公司</t>
  </si>
  <si>
    <t>蒲江县鹤山街道影视学院对面</t>
  </si>
  <si>
    <t>＞1.0且≤2.0</t>
  </si>
  <si>
    <t>2018-07-17</t>
  </si>
  <si>
    <t>成都市铭都恒泰实业有限公司</t>
  </si>
  <si>
    <t>蒲江县寿安镇(蒲江河以南、德蒲路西侧)</t>
  </si>
  <si>
    <t>＞1.0且≤1.8</t>
  </si>
  <si>
    <t>蒲江县裕荣房地产开发有限公司(华夏幸福)</t>
  </si>
  <si>
    <t>蒲江县寿安镇(蒲江河以南、德蒲路东侧)</t>
  </si>
  <si>
    <t>蒲江县裕盛房地产开发有限公司(华夏幸福)</t>
  </si>
  <si>
    <t>成都市郫都区友爱街道春台村1社、2社、顺安村8社</t>
  </si>
  <si>
    <t>＞1.0且≤1.5</t>
  </si>
  <si>
    <t>2018-06-22</t>
  </si>
  <si>
    <t>成都峰壕置业有限公司</t>
  </si>
  <si>
    <t>郫都区德源镇清江村二社、五社</t>
  </si>
  <si>
    <t>①号地块:不大于1.5且不小于1</t>
  </si>
  <si>
    <t>2018-06-14</t>
  </si>
  <si>
    <t>郫都区德源镇清江村二社、三社、花石村一社</t>
  </si>
  <si>
    <t>①号地块:≤2.5且≥1;②号地块:≤3</t>
  </si>
  <si>
    <t>综合容积率2.45</t>
  </si>
  <si>
    <t>2018-06-05</t>
  </si>
  <si>
    <t>成都碧桂园富高置业有限公司</t>
  </si>
  <si>
    <t>成都市郫都区三道堰街道青杠树村1社、2社</t>
  </si>
  <si>
    <t>＞1.0且≤1.2</t>
  </si>
  <si>
    <t>2018-04-04</t>
  </si>
  <si>
    <t>成都和盟置地有限公司</t>
  </si>
  <si>
    <t>郫都区古城镇马街村3、4、6、7社,水梨村7社</t>
  </si>
  <si>
    <t>①号地块＞1.0且≤2.0</t>
  </si>
  <si>
    <t>2017-12-26</t>
  </si>
  <si>
    <t>成都瑞和房地产开发有限公司</t>
  </si>
  <si>
    <t>郫都区犀浦镇梓潼村4社</t>
  </si>
  <si>
    <t>成都华邑房地产开发有限公司</t>
  </si>
  <si>
    <t>郫都区红光镇社区集体、合兴村四社、铁门社区一社、犀浦镇犀浦村集体</t>
  </si>
  <si>
    <t>①号地块＞1.0且≤2.0;②号地块≤2.4</t>
  </si>
  <si>
    <t>成都领地泛太房地产开发有限公司</t>
  </si>
  <si>
    <t>①号地块＞1.0且≤2.0(计入容积率的建筑面积大于44976平方米且不大于89950平方米)</t>
  </si>
  <si>
    <t>2017-10-17</t>
  </si>
  <si>
    <t>成都万科房地产有限公司</t>
  </si>
  <si>
    <t>①号地块容积率＞1.0且≤2.0(计入容积率的建筑面积大于10775平方米且不大于21548平方米)②号地块容积率结合方案合理性确定(建筑面积不小于2450平方米;最小规模为9班,270人)。</t>
  </si>
  <si>
    <t>郫都区郫筒街道晨光村三社、五社、双喜村一社</t>
  </si>
  <si>
    <t>①号地块容积率＞1.0且≤2.5;②号地块容积率≤2.4</t>
  </si>
  <si>
    <t>成都人居置业有限公司</t>
  </si>
  <si>
    <t>郫都区犀浦镇龙吟村6社</t>
  </si>
  <si>
    <t>1号地块＞1.0且≤2.9</t>
  </si>
  <si>
    <t>2017-08-22</t>
  </si>
  <si>
    <t>长旺国际发展有限公司</t>
    <phoneticPr fontId="3" type="noConversion"/>
  </si>
  <si>
    <t>郫都区郫筒镇街道一里村一社、城关村三社</t>
  </si>
  <si>
    <t>1号地块＞1.0且≤2.5;2号地块≤2.4</t>
  </si>
  <si>
    <t>北京金隅大成开发有限公司</t>
  </si>
  <si>
    <t>郫都区犀浦镇五粮村1社</t>
  </si>
  <si>
    <t>＞1.0且≤2.4</t>
  </si>
  <si>
    <t>远洋朗基置业有限公司</t>
  </si>
  <si>
    <t>郫县红光镇金土村一二社、三观村四社、仪隆村一社</t>
  </si>
  <si>
    <t>大于1并且小于或等于2.5</t>
  </si>
  <si>
    <t>2016-09-29</t>
  </si>
  <si>
    <t>成都银宇置业有限公司</t>
  </si>
  <si>
    <t>0星</t>
  </si>
  <si>
    <t>郫县安靖镇喜安村5社</t>
  </si>
  <si>
    <t>大于1并且小于或等于3.67、大于1并且小于或等于3.55</t>
  </si>
  <si>
    <t>2016-09-26</t>
  </si>
  <si>
    <t>成都安渝项目投资有限公司</t>
  </si>
  <si>
    <t>郫县红光镇金土村二社、仪隆村一社</t>
  </si>
  <si>
    <t>2016-09-02</t>
  </si>
  <si>
    <t>郫县国土资源局</t>
  </si>
  <si>
    <t>郫县郫筒镇双喜村一、二、三社,晨光村三、六社,书院村一社</t>
  </si>
  <si>
    <t>＞1且≤2.5</t>
  </si>
  <si>
    <t>2016-07-27</t>
  </si>
  <si>
    <t>成都望丛房地产开发有限公司</t>
  </si>
  <si>
    <t>郫县红光镇八圣村八社</t>
  </si>
  <si>
    <t>2016-07-21</t>
  </si>
  <si>
    <t>广州市荔园置业发展集团有限公司</t>
  </si>
  <si>
    <t>郫县犀浦镇龙吟村五、六社,万福村二社</t>
  </si>
  <si>
    <t>＞1且≤3</t>
  </si>
  <si>
    <t>2016-05-19</t>
  </si>
  <si>
    <t>成都朗基地产有限公司</t>
  </si>
  <si>
    <t>计算容积率</t>
    <phoneticPr fontId="228" type="noConversion"/>
  </si>
  <si>
    <t>成交楼面价(元/㎡)</t>
    <phoneticPr fontId="228" type="noConversion"/>
  </si>
  <si>
    <t>起始楼面地价(元/㎡)</t>
    <phoneticPr fontId="228" type="noConversion"/>
  </si>
  <si>
    <t>郫都区红光镇合兴村四、七社,铁门村一社、社区集体</t>
    <phoneticPr fontId="228" type="noConversion"/>
  </si>
  <si>
    <t>http://www.sohu.com/a/193257259_667312</t>
    <phoneticPr fontId="228" type="noConversion"/>
  </si>
  <si>
    <t>郫都区犀浦镇万福村四社、梓潼村四社、龙吟村5组</t>
    <phoneticPr fontId="228" type="noConversion"/>
  </si>
  <si>
    <r>
      <rPr>
        <sz val="11"/>
        <rFont val="仿宋_GB2312"/>
        <family val="3"/>
        <charset val="134"/>
      </rPr>
      <t>项目位置</t>
    </r>
    <phoneticPr fontId="3" type="noConversion"/>
  </si>
  <si>
    <t>正常</t>
  </si>
  <si>
    <t>高溢价率</t>
    <phoneticPr fontId="26" type="noConversion"/>
  </si>
  <si>
    <t>低溢价率</t>
  </si>
  <si>
    <t>低溢价率</t>
    <phoneticPr fontId="26" type="noConversion"/>
  </si>
  <si>
    <t>住宅</t>
    <phoneticPr fontId="26" type="noConversion"/>
  </si>
  <si>
    <t>住宅、商业</t>
  </si>
  <si>
    <t>住宅、商业</t>
    <phoneticPr fontId="26" type="noConversion"/>
  </si>
  <si>
    <t>是</t>
    <phoneticPr fontId="26" type="noConversion"/>
  </si>
  <si>
    <t>否</t>
    <phoneticPr fontId="26" type="noConversion"/>
  </si>
  <si>
    <t>主干道</t>
  </si>
  <si>
    <t>主干道</t>
    <phoneticPr fontId="26" type="noConversion"/>
  </si>
  <si>
    <t>次干道</t>
  </si>
  <si>
    <t>次干道</t>
    <phoneticPr fontId="26" type="noConversion"/>
  </si>
  <si>
    <t>支路</t>
  </si>
  <si>
    <t>支路</t>
    <phoneticPr fontId="26" type="noConversion"/>
  </si>
  <si>
    <t>规则</t>
  </si>
  <si>
    <t>规则</t>
    <phoneticPr fontId="26" type="noConversion"/>
  </si>
  <si>
    <t>较规则</t>
  </si>
  <si>
    <t>较规则</t>
    <phoneticPr fontId="26" type="noConversion"/>
  </si>
  <si>
    <t>较不规则</t>
  </si>
  <si>
    <t>较不规则</t>
    <phoneticPr fontId="26" type="noConversion"/>
  </si>
  <si>
    <t>不规则</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</si>
  <si>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</si>
  <si>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</si>
  <si>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</si>
  <si>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</si>
  <si>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</si>
  <si>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</si>
  <si>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</si>
  <si>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</si>
  <si>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</si>
  <si>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</si>
  <si>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</si>
  <si>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</si>
  <si>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</si>
  <si>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高层住宅</t>
  </si>
  <si>
    <t>洋房住宅</t>
  </si>
  <si>
    <t>70</t>
    <phoneticPr fontId="26" type="noConversion"/>
  </si>
  <si>
    <t>楼面地价</t>
  </si>
  <si>
    <r>
      <t>20%</t>
    </r>
    <r>
      <rPr>
        <sz val="11"/>
        <color indexed="8"/>
        <rFont val="宋体"/>
        <family val="3"/>
        <charset val="134"/>
      </rPr>
      <t>以内为正常</t>
    </r>
    <phoneticPr fontId="26" type="noConversion"/>
  </si>
  <si>
    <r>
      <t>20-50</t>
    </r>
    <r>
      <rPr>
        <sz val="11"/>
        <color indexed="8"/>
        <rFont val="宋体"/>
        <family val="3"/>
        <charset val="134"/>
      </rPr>
      <t>为低溢价率</t>
    </r>
    <phoneticPr fontId="26" type="noConversion"/>
  </si>
  <si>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</si>
  <si>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较好</t>
    <phoneticPr fontId="21" type="noConversion"/>
  </si>
  <si>
    <t>单面临街</t>
  </si>
  <si>
    <t>售价</t>
  </si>
  <si>
    <t>花样年香门第</t>
    <phoneticPr fontId="3" type="noConversion"/>
  </si>
  <si>
    <r>
      <rPr>
        <sz val="11"/>
        <rFont val="仿宋_GB2312"/>
        <family val="3"/>
        <charset val="134"/>
      </rPr>
      <t>项目位置</t>
    </r>
    <phoneticPr fontId="3" type="noConversion"/>
  </si>
  <si>
    <t>住宅</t>
    <phoneticPr fontId="21" type="noConversion"/>
  </si>
  <si>
    <t>50-60（含）</t>
  </si>
  <si>
    <t>60-70（含）</t>
  </si>
  <si>
    <t>支路</t>
    <phoneticPr fontId="21" type="noConversion"/>
  </si>
  <si>
    <t>主干道</t>
    <phoneticPr fontId="21" type="noConversion"/>
  </si>
  <si>
    <t>次干道</t>
    <phoneticPr fontId="21" type="noConversion"/>
  </si>
  <si>
    <t>高层</t>
    <phoneticPr fontId="21" type="noConversion"/>
  </si>
  <si>
    <t>洋房</t>
    <phoneticPr fontId="21" type="noConversion"/>
  </si>
  <si>
    <t>钢混</t>
    <phoneticPr fontId="21" type="noConversion"/>
  </si>
  <si>
    <t>砖混</t>
    <phoneticPr fontId="21" type="noConversion"/>
  </si>
  <si>
    <t>高端</t>
    <phoneticPr fontId="21" type="noConversion"/>
  </si>
  <si>
    <t>中端</t>
    <phoneticPr fontId="21" type="noConversion"/>
  </si>
  <si>
    <t>低端</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</si>
  <si>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</si>
  <si>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</si>
  <si>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</si>
  <si>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</si>
  <si>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</si>
  <si>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</si>
  <si>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</si>
  <si>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</si>
  <si>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</si>
  <si>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</si>
  <si>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</si>
  <si>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无</t>
    <phoneticPr fontId="21" type="noConversion"/>
  </si>
  <si>
    <t>六通</t>
    <phoneticPr fontId="21" type="noConversion"/>
  </si>
  <si>
    <t>五通</t>
    <phoneticPr fontId="21" type="noConversion"/>
  </si>
  <si>
    <t>四通</t>
    <phoneticPr fontId="21" type="noConversion"/>
  </si>
  <si>
    <t>三通</t>
    <phoneticPr fontId="21" type="noConversion"/>
  </si>
  <si>
    <r>
      <rPr>
        <b/>
        <sz val="11"/>
        <rFont val="仿宋_GB2312"/>
        <family val="3"/>
        <charset val="134"/>
      </rPr>
      <t>估价对象普通高层用房的比较价格（楼面单价，元</t>
    </r>
    <r>
      <rPr>
        <b/>
        <sz val="11"/>
        <rFont val="Arial"/>
        <family val="2"/>
      </rPr>
      <t>/</t>
    </r>
    <r>
      <rPr>
        <b/>
        <sz val="11"/>
        <rFont val="仿宋_GB2312"/>
        <family val="3"/>
        <charset val="134"/>
      </rPr>
      <t>平方米）</t>
    </r>
    <phoneticPr fontId="3" type="noConversion"/>
  </si>
  <si>
    <t>海骏达蜀都1号</t>
    <phoneticPr fontId="3" type="noConversion"/>
  </si>
  <si>
    <t>荔园悦享花醍</t>
    <phoneticPr fontId="3" type="noConversion"/>
  </si>
  <si>
    <t>市调结果</t>
    <phoneticPr fontId="228" type="noConversion"/>
  </si>
  <si>
    <t>郫都区犀浦镇梓潼村3社</t>
    <phoneticPr fontId="228" type="noConversion"/>
  </si>
  <si>
    <t>自然较好，人文较差，总体一般</t>
    <phoneticPr fontId="21" type="noConversion"/>
  </si>
  <si>
    <t>郫都区房地产市场供不应求，红光镇、郫筒镇、犀浦镇、近期推出住宅楼盘数量较少，基本属于零库存状态，去化率较高。二手房0.9至1.1万/平方米，一手房于2018年年底，2019年年初推出均价约为1万/平方米。万达在售公寓0.75元/平方米毛坯，1万/平方米精装，定向回购包租10年，报酬率6%左右，租金50元/月·平方米。电话市调三案例均已售罄，成交价略高于房天下显示价格。</t>
    <phoneticPr fontId="228" type="noConversion"/>
  </si>
  <si>
    <t>中航城2号地</t>
    <phoneticPr fontId="3" type="noConversion"/>
  </si>
  <si>
    <t>中航城2号地</t>
    <phoneticPr fontId="3" type="noConversion"/>
  </si>
  <si>
    <t>项目全部</t>
  </si>
  <si>
    <t>情况2</t>
  </si>
  <si>
    <t>自行开发建设</t>
  </si>
  <si>
    <t>《国有土地使用证》郫国用（2016）第906号]</t>
    <phoneticPr fontId="6" type="noConversion"/>
  </si>
  <si>
    <t>郫国用（2016）第906号</t>
    <phoneticPr fontId="228" type="noConversion"/>
  </si>
  <si>
    <t>郫国用（2016）第899号</t>
    <phoneticPr fontId="228" type="noConversion"/>
  </si>
  <si>
    <t>郫国用（2016）第904号</t>
    <phoneticPr fontId="228" type="noConversion"/>
  </si>
  <si>
    <t>郫国用（2016）第902号</t>
    <phoneticPr fontId="228" type="noConversion"/>
  </si>
  <si>
    <t>郫国土[2002]出让合同第126号</t>
    <phoneticPr fontId="228" type="noConversion"/>
  </si>
  <si>
    <t>2006-00717</t>
    <phoneticPr fontId="228" type="noConversion"/>
  </si>
  <si>
    <t>郫国土[2001]出让合同第113号</t>
    <phoneticPr fontId="228" type="noConversion"/>
  </si>
  <si>
    <t>2007-0084</t>
    <phoneticPr fontId="228" type="noConversion"/>
  </si>
  <si>
    <t>类别</t>
  </si>
  <si>
    <t>项目类型</t>
  </si>
  <si>
    <t>经营性</t>
  </si>
  <si>
    <t>公共配套及物业（住宅）</t>
  </si>
  <si>
    <t>合计</t>
    <phoneticPr fontId="228" type="noConversion"/>
  </si>
  <si>
    <t>洋房</t>
    <phoneticPr fontId="228" type="noConversion"/>
  </si>
  <si>
    <t>类别</t>
    <phoneticPr fontId="228" type="noConversion"/>
  </si>
  <si>
    <t>《国有土地使用证》证号</t>
    <phoneticPr fontId="228" type="noConversion"/>
  </si>
  <si>
    <t>估价对象1地块一</t>
    <phoneticPr fontId="228" type="noConversion"/>
  </si>
  <si>
    <t>估价对象1地块二</t>
    <phoneticPr fontId="228" type="noConversion"/>
  </si>
  <si>
    <t>估价对象1地块三</t>
    <phoneticPr fontId="228" type="noConversion"/>
  </si>
  <si>
    <t>规划建筑面积</t>
    <phoneticPr fontId="228" type="noConversion"/>
  </si>
  <si>
    <t>出让国有建设用地使用权面积</t>
    <phoneticPr fontId="228" type="noConversion"/>
  </si>
  <si>
    <t>配套商业用房</t>
    <phoneticPr fontId="228" type="noConversion"/>
  </si>
  <si>
    <t>总计</t>
    <phoneticPr fontId="228" type="noConversion"/>
  </si>
  <si>
    <t>估价对象</t>
    <phoneticPr fontId="228" type="noConversion"/>
  </si>
  <si>
    <t>——</t>
    <phoneticPr fontId="228" type="noConversion"/>
  </si>
  <si>
    <t>估价对象2</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</si>
</sst>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theme="1"/>
      <name val="宋体"/>
      <family val="3"/>
      <charset val="134"/>
      <scheme val="minor"/>
    </font>
    <font>
      <sz val="11"/>
      <color theme="1"/>
      <name val="宋体"/>
      <family val="3"/>
      <charset val="134"/>
      <scheme val="minor"/>
    </font>
    <font>
      <b/>
      <sz val="10"/>
      <color rgb="FFFF0000"/>
      <name val="宋体"/>
      <family val="3"/>
      <charset val="134"/>
      <scheme val="minor"/>
    </font>
    <font>
      <sz val="10"/>
      <color theme="1"/>
      <name val="微软雅黑"/>
      <family val="2"/>
      <charset val="134"/>
    </font>
    <font>
      <sz val="10"/>
      <color rgb="FFFF0000"/>
      <name val="微软雅黑"/>
      <family val="2"/>
      <charset val="134"/>
    </font>
    <font>
      <sz val="10"/>
      <name val="微软雅黑"/>
      <family val="2"/>
      <charset val="134"/>
    </font>
    <font>
      <b/>
      <sz val="10"/>
      <name val="宋体"/>
      <family val="3"/>
      <charset val="134"/>
      <scheme val="min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cellStyleXfs>
  <cellXfs count="36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64" fillId="0" borderId="0" xfId="0" applyFont="1" applyAlignment="1">
      <alignment horizontal="center" vertical="center"/>
    </xf>
    <xf numFmtId="0" fontId="164" fillId="0" borderId="2" xfId="0" applyFont="1" applyBorder="1" applyAlignment="1">
      <alignment horizontal="center" vertical="center" wrapText="1"/>
    </xf>
    <xf numFmtId="0" fontId="164" fillId="0" borderId="0" xfId="0" applyFont="1" applyBorder="1" applyAlignment="1">
      <alignment horizontal="center" vertical="center" wrapText="1"/>
    </xf>
    <xf numFmtId="0" fontId="0" fillId="0" borderId="0" xfId="0" applyBorder="1">
      <alignment vertical="center"/>
    </xf>
    <xf numFmtId="0" fontId="169" fillId="0" borderId="2" xfId="0" applyFont="1" applyBorder="1" applyAlignment="1">
      <alignment horizontal="center"/>
    </xf>
    <xf numFmtId="0" fontId="275" fillId="0" borderId="2" xfId="0" applyFont="1" applyBorder="1" applyAlignment="1">
      <alignment horizontal="center"/>
    </xf>
    <xf numFmtId="0" fontId="275" fillId="0" borderId="2" xfId="0" applyNumberFormat="1" applyFont="1" applyBorder="1" applyAlignment="1">
      <alignment horizontal="center"/>
    </xf>
    <xf numFmtId="0" fontId="164" fillId="0" borderId="0" xfId="0" applyFont="1" applyAlignment="1"/>
    <xf numFmtId="0" fontId="276" fillId="0" borderId="2" xfId="0" applyFont="1" applyFill="1" applyBorder="1" applyAlignment="1">
      <alignment horizontal="center" vertical="center"/>
    </xf>
    <xf numFmtId="177" fontId="276" fillId="0" borderId="2" xfId="0" applyNumberFormat="1" applyFont="1" applyFill="1" applyBorder="1" applyAlignment="1" applyProtection="1">
      <alignment horizontal="center" vertical="center"/>
      <protection locked="0"/>
    </xf>
    <xf numFmtId="180" fontId="276" fillId="0" borderId="2" xfId="0" applyNumberFormat="1" applyFont="1" applyFill="1" applyBorder="1" applyAlignment="1" applyProtection="1">
      <alignment horizontal="center" vertical="center"/>
      <protection locked="0"/>
    </xf>
    <xf numFmtId="177" fontId="276" fillId="9" borderId="2" xfId="0" applyNumberFormat="1" applyFont="1" applyFill="1" applyBorder="1" applyAlignment="1">
      <alignment horizontal="center" vertical="center"/>
    </xf>
    <xf numFmtId="0" fontId="276" fillId="0" borderId="2" xfId="0" applyFont="1" applyFill="1" applyBorder="1" applyAlignment="1" applyProtection="1">
      <alignment horizontal="center" vertical="center"/>
      <protection locked="0"/>
    </xf>
    <xf numFmtId="177" fontId="276" fillId="0" borderId="2" xfId="0" applyNumberFormat="1" applyFont="1" applyFill="1" applyBorder="1" applyAlignment="1">
      <alignment horizontal="center" vertical="center"/>
    </xf>
    <xf numFmtId="0" fontId="276" fillId="0" borderId="2" xfId="0" applyFont="1" applyFill="1" applyBorder="1" applyAlignment="1" applyProtection="1">
      <alignment horizontal="center" vertical="center" wrapText="1"/>
      <protection locked="0"/>
    </xf>
    <xf numFmtId="0" fontId="276" fillId="0" borderId="10" xfId="0" applyFont="1" applyFill="1" applyBorder="1" applyAlignment="1">
      <alignment horizontal="center" vertical="center"/>
    </xf>
    <xf numFmtId="0" fontId="276" fillId="0" borderId="2" xfId="0" applyFont="1" applyFill="1" applyBorder="1" applyAlignment="1">
      <alignment horizontal="center" vertical="center" wrapText="1"/>
    </xf>
    <xf numFmtId="0" fontId="276" fillId="0" borderId="2" xfId="0" applyFont="1" applyFill="1" applyBorder="1" applyAlignment="1" applyProtection="1">
      <alignment horizontal="left" vertical="center" wrapText="1"/>
      <protection locked="0"/>
    </xf>
    <xf numFmtId="180" fontId="276" fillId="0" borderId="2" xfId="0" applyNumberFormat="1" applyFont="1" applyFill="1" applyBorder="1" applyAlignment="1" applyProtection="1">
      <alignment horizontal="center" vertical="center" wrapText="1"/>
      <protection locked="0"/>
    </xf>
    <xf numFmtId="178" fontId="276" fillId="6" borderId="2" xfId="0" applyNumberFormat="1" applyFont="1" applyFill="1" applyBorder="1" applyAlignment="1" applyProtection="1">
      <alignment horizontal="center" vertical="center"/>
      <protection locked="0"/>
    </xf>
    <xf numFmtId="178" fontId="276" fillId="0" borderId="2" xfId="0" applyNumberFormat="1" applyFont="1" applyFill="1" applyBorder="1" applyAlignment="1" applyProtection="1">
      <alignment horizontal="center" vertical="center"/>
      <protection locked="0"/>
    </xf>
    <xf numFmtId="0" fontId="276" fillId="0" borderId="2" xfId="0" applyFont="1" applyFill="1" applyBorder="1" applyAlignment="1" applyProtection="1">
      <alignment horizontal="center" vertical="top" wrapText="1"/>
      <protection locked="0"/>
    </xf>
    <xf numFmtId="178" fontId="276" fillId="0" borderId="2" xfId="0" applyNumberFormat="1" applyFont="1" applyFill="1" applyBorder="1" applyAlignment="1">
      <alignment horizontal="center" vertical="center"/>
    </xf>
    <xf numFmtId="10" fontId="276" fillId="0" borderId="2" xfId="16" applyNumberFormat="1" applyFont="1" applyFill="1" applyBorder="1" applyAlignment="1" applyProtection="1">
      <alignment horizontal="center" vertical="center"/>
      <protection locked="0"/>
    </xf>
    <xf numFmtId="180" fontId="276" fillId="0" borderId="2" xfId="0" applyNumberFormat="1" applyFont="1" applyFill="1" applyBorder="1" applyAlignment="1">
      <alignment horizontal="center" vertical="center"/>
    </xf>
    <xf numFmtId="10" fontId="276" fillId="0" borderId="2" xfId="16" applyNumberFormat="1" applyFont="1" applyFill="1" applyBorder="1" applyAlignment="1">
      <alignment horizontal="center" vertical="center"/>
    </xf>
    <xf numFmtId="0" fontId="277" fillId="0" borderId="2" xfId="0" applyFont="1" applyFill="1" applyBorder="1" applyAlignment="1">
      <alignment horizontal="center" vertical="center"/>
    </xf>
    <xf numFmtId="179" fontId="276" fillId="0" borderId="2" xfId="0" applyNumberFormat="1" applyFont="1" applyFill="1" applyBorder="1" applyAlignment="1" applyProtection="1">
      <alignment horizontal="center" vertical="center"/>
      <protection locked="0"/>
    </xf>
    <xf numFmtId="180" fontId="278" fillId="0" borderId="2" xfId="0" applyNumberFormat="1" applyFont="1" applyFill="1" applyBorder="1" applyAlignment="1">
      <alignment horizontal="center" vertical="center"/>
    </xf>
    <xf numFmtId="1" fontId="276" fillId="0" borderId="2" xfId="0" applyNumberFormat="1" applyFont="1" applyFill="1" applyBorder="1" applyAlignment="1" applyProtection="1">
      <alignment horizontal="center" vertical="center"/>
      <protection locked="0"/>
    </xf>
    <xf numFmtId="1" fontId="276" fillId="9" borderId="2" xfId="0" applyNumberFormat="1" applyFont="1" applyFill="1" applyBorder="1" applyAlignment="1">
      <alignment horizontal="center" vertical="center"/>
    </xf>
    <xf numFmtId="0" fontId="276" fillId="0" borderId="2" xfId="0" applyFont="1" applyFill="1" applyBorder="1" applyAlignment="1">
      <alignment vertical="center"/>
    </xf>
    <xf numFmtId="1" fontId="276" fillId="9" borderId="2" xfId="0" applyNumberFormat="1" applyFont="1" applyFill="1" applyBorder="1" applyAlignment="1" applyProtection="1">
      <alignment horizontal="center" vertical="center"/>
      <protection locked="0"/>
    </xf>
    <xf numFmtId="178" fontId="276" fillId="9" borderId="2" xfId="0" applyNumberFormat="1" applyFont="1" applyFill="1" applyBorder="1" applyAlignment="1">
      <alignment horizontal="center" vertical="center" wrapText="1"/>
    </xf>
    <xf numFmtId="178" fontId="276" fillId="9" borderId="2" xfId="0" applyNumberFormat="1" applyFont="1" applyFill="1" applyBorder="1" applyAlignment="1">
      <alignment horizontal="center" vertical="center"/>
    </xf>
    <xf numFmtId="178" fontId="276" fillId="9" borderId="2" xfId="0" applyNumberFormat="1" applyFont="1" applyFill="1" applyBorder="1" applyAlignment="1" applyProtection="1">
      <alignment horizontal="center" vertical="center"/>
      <protection locked="0"/>
    </xf>
    <xf numFmtId="0" fontId="279" fillId="0" borderId="2" xfId="0" applyFont="1" applyBorder="1" applyAlignment="1">
      <alignment horizontal="center"/>
    </xf>
    <xf numFmtId="0" fontId="279" fillId="0" borderId="2" xfId="0" applyNumberFormat="1" applyFont="1" applyBorder="1" applyAlignment="1">
      <alignment horizontal="center"/>
    </xf>
    <xf numFmtId="14" fontId="164" fillId="0" borderId="0" xfId="0" applyNumberFormat="1" applyFont="1" applyAlignment="1">
      <alignment horizontal="center" vertical="center"/>
    </xf>
    <xf numFmtId="49" fontId="140" fillId="0" borderId="17" xfId="0" applyNumberFormat="1" applyFont="1" applyFill="1" applyBorder="1" applyAlignment="1" applyProtection="1">
      <alignment horizontal="left" vertical="center"/>
      <protection locked="0"/>
    </xf>
    <xf numFmtId="0" fontId="140" fillId="5" borderId="10" xfId="0" applyFont="1" applyFill="1" applyBorder="1" applyAlignment="1" applyProtection="1">
      <alignment vertical="center" wrapText="1"/>
    </xf>
    <xf numFmtId="0" fontId="140" fillId="5" borderId="2" xfId="0" applyFont="1" applyFill="1" applyBorder="1" applyAlignment="1" applyProtection="1">
      <alignment vertical="center" wrapText="1"/>
    </xf>
    <xf numFmtId="0" fontId="20" fillId="5" borderId="0" xfId="0" applyFont="1" applyFill="1" applyAlignment="1" applyProtection="1">
      <alignment vertical="center" wrapText="1"/>
      <protection locked="0"/>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280"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0" fillId="0" borderId="0" xfId="0" applyAlignment="1">
      <alignment wrapText="1"/>
    </xf>
    <xf numFmtId="0" fontId="273" fillId="0" borderId="0" xfId="0" applyFont="1" applyAlignment="1">
      <alignment horizontal="center" vertical="center" wrapText="1"/>
    </xf>
    <xf numFmtId="0" fontId="273" fillId="0" borderId="0" xfId="0" applyFont="1" applyAlignment="1"/>
    <xf numFmtId="0" fontId="127" fillId="0" borderId="0" xfId="0" applyFont="1" applyAlignment="1">
      <alignment horizontal="center" vertical="center" wrapText="1"/>
    </xf>
    <xf numFmtId="0" fontId="164" fillId="0" borderId="0" xfId="0" applyFont="1" applyAlignment="1">
      <alignment horizontal="center" vertical="center" wrapText="1"/>
    </xf>
    <xf numFmtId="0" fontId="164" fillId="9" borderId="0" xfId="0" applyFont="1" applyFill="1" applyAlignment="1">
      <alignment horizontal="center" vertical="center" wrapText="1"/>
    </xf>
    <xf numFmtId="0" fontId="0" fillId="9" borderId="0" xfId="0" applyFill="1" applyAlignment="1"/>
    <xf numFmtId="0" fontId="164" fillId="0" borderId="0" xfId="0" applyFont="1" applyFill="1" applyAlignment="1">
      <alignment horizontal="center" vertical="center" wrapText="1"/>
    </xf>
    <xf numFmtId="0" fontId="0" fillId="0"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lignment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177" fontId="276" fillId="17" borderId="2" xfId="0" applyNumberFormat="1" applyFont="1" applyFill="1" applyBorder="1" applyAlignment="1">
      <alignment horizontal="center" vertical="center"/>
    </xf>
    <xf numFmtId="177" fontId="164" fillId="0" borderId="0" xfId="0" applyNumberFormat="1" applyFont="1" applyAlignment="1"/>
    <xf numFmtId="0" fontId="71" fillId="0" borderId="2" xfId="0" applyFont="1" applyFill="1" applyBorder="1" applyAlignment="1" applyProtection="1">
      <alignment horizontal="left" vertical="center"/>
    </xf>
    <xf numFmtId="0" fontId="52" fillId="0" borderId="2" xfId="0" applyFont="1" applyFill="1" applyBorder="1" applyAlignment="1" applyProtection="1">
      <alignment horizontal="left" vertical="center"/>
    </xf>
    <xf numFmtId="177" fontId="84" fillId="0" borderId="2" xfId="2" applyNumberFormat="1" applyFont="1" applyFill="1" applyBorder="1" applyAlignment="1" applyProtection="1">
      <alignment horizontal="left" vertical="center"/>
    </xf>
    <xf numFmtId="178" fontId="11" fillId="0" borderId="2" xfId="2" applyNumberFormat="1" applyFont="1" applyFill="1" applyBorder="1" applyAlignment="1" applyProtection="1">
      <alignment horizontal="left" vertical="center"/>
      <protection locked="0" hidden="1"/>
    </xf>
    <xf numFmtId="177" fontId="71" fillId="0" borderId="2" xfId="0" applyNumberFormat="1" applyFont="1" applyFill="1" applyBorder="1" applyAlignment="1" applyProtection="1">
      <alignment horizontal="left" vertical="center"/>
    </xf>
    <xf numFmtId="0" fontId="76" fillId="0" borderId="2" xfId="0" applyFont="1" applyFill="1" applyBorder="1" applyAlignment="1" applyProtection="1">
      <alignment horizontal="left" vertical="center"/>
      <protection locked="0"/>
    </xf>
    <xf numFmtId="180" fontId="75" fillId="0" borderId="2" xfId="0" applyNumberFormat="1" applyFont="1" applyFill="1" applyBorder="1" applyAlignment="1" applyProtection="1">
      <alignment horizontal="left" vertical="center"/>
    </xf>
    <xf numFmtId="0" fontId="164" fillId="0" borderId="2" xfId="0" applyFont="1" applyFill="1" applyBorder="1" applyAlignment="1">
      <alignment horizontal="left" vertical="center"/>
    </xf>
    <xf numFmtId="178" fontId="81" fillId="0" borderId="2" xfId="2" applyNumberFormat="1" applyFont="1" applyFill="1" applyBorder="1" applyAlignment="1" applyProtection="1">
      <alignment horizontal="left" vertical="center"/>
      <protection locked="0"/>
    </xf>
    <xf numFmtId="0" fontId="71" fillId="0" borderId="2" xfId="0" applyFont="1" applyFill="1" applyBorder="1" applyAlignment="1" applyProtection="1">
      <alignment horizontal="left" vertical="center"/>
      <protection locked="0"/>
    </xf>
    <xf numFmtId="180" fontId="164" fillId="0" borderId="2" xfId="0" applyNumberFormat="1" applyFont="1" applyFill="1" applyBorder="1" applyAlignment="1">
      <alignment horizontal="lef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0" borderId="5" xfId="0" applyFont="1" applyFill="1" applyBorder="1" applyAlignment="1" applyProtection="1">
      <alignment vertical="center"/>
      <protection locked="0"/>
    </xf>
    <xf numFmtId="0" fontId="140" fillId="0" borderId="8" xfId="0" applyFont="1" applyFill="1" applyBorder="1" applyAlignment="1" applyProtection="1">
      <alignment vertical="center"/>
      <protection locked="0"/>
    </xf>
    <xf numFmtId="0" fontId="140" fillId="0" borderId="9" xfId="0" applyFont="1" applyFill="1" applyBorder="1" applyAlignment="1" applyProtection="1">
      <alignment vertical="center"/>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4" fillId="0" borderId="10" xfId="0" applyFont="1" applyFill="1" applyBorder="1" applyAlignment="1">
      <alignment horizontal="center" vertical="center"/>
    </xf>
    <xf numFmtId="0" fontId="164" fillId="0" borderId="3" xfId="0" applyFont="1" applyFill="1" applyBorder="1" applyAlignment="1">
      <alignment horizontal="center" vertical="center"/>
    </xf>
    <xf numFmtId="0" fontId="164" fillId="0" borderId="21" xfId="0" applyFont="1" applyFill="1" applyBorder="1" applyAlignment="1">
      <alignment horizontal="center" vertical="center"/>
    </xf>
    <xf numFmtId="0" fontId="164" fillId="0" borderId="10" xfId="0" applyFont="1" applyFill="1" applyBorder="1" applyAlignment="1">
      <alignment horizontal="center" vertical="center" wrapText="1"/>
    </xf>
    <xf numFmtId="0" fontId="164" fillId="0" borderId="3" xfId="0" applyFont="1" applyFill="1" applyBorder="1" applyAlignment="1">
      <alignment horizontal="center" vertical="center" wrapText="1"/>
    </xf>
    <xf numFmtId="0" fontId="164" fillId="0" borderId="21" xfId="0" applyFont="1" applyFill="1" applyBorder="1" applyAlignment="1">
      <alignment horizontal="center" vertical="center" wrapText="1"/>
    </xf>
    <xf numFmtId="0" fontId="71" fillId="0" borderId="2" xfId="0" applyFont="1" applyFill="1" applyBorder="1" applyAlignment="1" applyProtection="1">
      <alignment horizontal="left" vertical="center"/>
    </xf>
    <xf numFmtId="0" fontId="75" fillId="0" borderId="2" xfId="0" applyFont="1" applyFill="1" applyBorder="1" applyAlignment="1" applyProtection="1">
      <alignment horizontal="left" vertical="center"/>
    </xf>
    <xf numFmtId="180" fontId="71" fillId="0" borderId="2" xfId="0" applyNumberFormat="1" applyFont="1" applyFill="1" applyBorder="1" applyAlignment="1" applyProtection="1">
      <alignment horizontal="left" vertical="center"/>
    </xf>
    <xf numFmtId="0" fontId="164" fillId="0" borderId="2" xfId="0" applyFont="1" applyFill="1" applyBorder="1" applyAlignment="1">
      <alignment horizontal="left" vertical="center"/>
    </xf>
    <xf numFmtId="0" fontId="164" fillId="0" borderId="2" xfId="0" applyFont="1" applyFill="1" applyBorder="1" applyAlignment="1">
      <alignment horizontal="left" vertical="center" wrapText="1"/>
    </xf>
    <xf numFmtId="0" fontId="145" fillId="0" borderId="0" xfId="0" applyFont="1" applyAlignment="1">
      <alignment horizontal="center" vertical="center"/>
    </xf>
    <xf numFmtId="0" fontId="0" fillId="0" borderId="0" xfId="0" applyAlignment="1">
      <alignment horizontal="center" vertical="center"/>
    </xf>
    <xf numFmtId="0" fontId="273" fillId="0" borderId="2" xfId="0" applyFont="1" applyBorder="1" applyAlignment="1">
      <alignment horizontal="center" vertical="center"/>
    </xf>
    <xf numFmtId="0" fontId="273" fillId="0" borderId="5" xfId="0" applyFont="1" applyBorder="1" applyAlignment="1">
      <alignment horizontal="center" vertical="center"/>
    </xf>
    <xf numFmtId="0" fontId="273" fillId="0" borderId="8" xfId="0" applyFont="1" applyBorder="1" applyAlignment="1">
      <alignment horizontal="center" vertical="center"/>
    </xf>
    <xf numFmtId="0" fontId="273" fillId="0" borderId="9" xfId="0" applyFont="1" applyBorder="1" applyAlignment="1">
      <alignment horizontal="center" vertical="center"/>
    </xf>
    <xf numFmtId="0" fontId="133" fillId="0" borderId="2" xfId="0" applyFont="1" applyFill="1" applyBorder="1" applyAlignment="1" applyProtection="1">
      <alignment horizontal="left" vertical="center"/>
    </xf>
    <xf numFmtId="177" fontId="144" fillId="0" borderId="2" xfId="2" applyNumberFormat="1" applyFont="1" applyFill="1" applyBorder="1" applyAlignment="1" applyProtection="1">
      <alignment horizontal="left" vertical="center"/>
    </xf>
    <xf numFmtId="177" fontId="84" fillId="0" borderId="2" xfId="2" applyNumberFormat="1" applyFont="1" applyFill="1" applyBorder="1" applyAlignment="1" applyProtection="1">
      <alignment horizontal="left" vertical="center"/>
    </xf>
    <xf numFmtId="0" fontId="81" fillId="0" borderId="2" xfId="0" applyFont="1" applyFill="1" applyBorder="1" applyAlignment="1" applyProtection="1">
      <alignment horizontal="left" vertical="center" wrapText="1"/>
    </xf>
    <xf numFmtId="0" fontId="52" fillId="0" borderId="2" xfId="0" applyFont="1" applyFill="1" applyBorder="1" applyAlignment="1" applyProtection="1">
      <alignment horizontal="left" vertical="center"/>
    </xf>
    <xf numFmtId="0" fontId="169" fillId="0" borderId="5" xfId="0" applyFont="1" applyBorder="1" applyAlignment="1">
      <alignment horizontal="center"/>
    </xf>
    <xf numFmtId="0" fontId="169" fillId="0" borderId="8" xfId="0" applyFont="1" applyBorder="1" applyAlignment="1">
      <alignment horizontal="center"/>
    </xf>
    <xf numFmtId="0" fontId="169" fillId="0" borderId="9" xfId="0" applyFont="1" applyBorder="1" applyAlignment="1">
      <alignment horizontal="center"/>
    </xf>
    <xf numFmtId="0" fontId="276" fillId="0" borderId="2" xfId="0" applyFont="1" applyFill="1" applyBorder="1" applyAlignment="1">
      <alignment horizontal="center" vertical="center"/>
    </xf>
    <xf numFmtId="0" fontId="276" fillId="0" borderId="10" xfId="0" applyFont="1" applyFill="1" applyBorder="1" applyAlignment="1">
      <alignment horizontal="center" vertical="center"/>
    </xf>
    <xf numFmtId="0" fontId="276" fillId="0" borderId="3" xfId="0" applyFont="1" applyFill="1" applyBorder="1" applyAlignment="1">
      <alignment horizontal="center" vertical="center"/>
    </xf>
    <xf numFmtId="0" fontId="276" fillId="0" borderId="21" xfId="0" applyFont="1" applyFill="1" applyBorder="1" applyAlignment="1">
      <alignment horizontal="center" vertical="center"/>
    </xf>
    <xf numFmtId="0" fontId="276" fillId="0" borderId="2" xfId="0" applyFont="1" applyFill="1" applyBorder="1" applyAlignment="1">
      <alignment horizontal="center" vertical="center" wrapText="1"/>
    </xf>
    <xf numFmtId="0" fontId="276" fillId="0" borderId="5" xfId="0" applyFont="1" applyFill="1" applyBorder="1" applyAlignment="1">
      <alignment horizontal="center" vertical="center"/>
    </xf>
    <xf numFmtId="0" fontId="276" fillId="0" borderId="8" xfId="0" applyFont="1" applyFill="1" applyBorder="1" applyAlignment="1">
      <alignment horizontal="center" vertical="center"/>
    </xf>
    <xf numFmtId="0" fontId="276" fillId="0" borderId="9" xfId="0" applyFont="1" applyFill="1" applyBorder="1" applyAlignment="1">
      <alignment horizontal="center" vertical="center"/>
    </xf>
    <xf numFmtId="0" fontId="276" fillId="0" borderId="10" xfId="0" applyFont="1" applyFill="1" applyBorder="1" applyAlignment="1">
      <alignment horizontal="center" vertical="center" wrapText="1"/>
    </xf>
    <xf numFmtId="0" fontId="276" fillId="0" borderId="3" xfId="0" applyFont="1" applyFill="1" applyBorder="1" applyAlignment="1">
      <alignment horizontal="center" vertical="center" wrapText="1"/>
    </xf>
    <xf numFmtId="0" fontId="276" fillId="0" borderId="21" xfId="0" applyFont="1" applyFill="1" applyBorder="1" applyAlignment="1">
      <alignment horizontal="center" vertical="center" wrapText="1"/>
    </xf>
    <xf numFmtId="0" fontId="276" fillId="0" borderId="5" xfId="0" applyFont="1" applyFill="1" applyBorder="1" applyAlignment="1">
      <alignment horizontal="center" vertical="center" wrapText="1"/>
    </xf>
    <xf numFmtId="0" fontId="276" fillId="0" borderId="8" xfId="0" applyFont="1" applyFill="1" applyBorder="1" applyAlignment="1">
      <alignment horizontal="center" vertical="center" wrapText="1"/>
    </xf>
    <xf numFmtId="0" fontId="276" fillId="0" borderId="9" xfId="0" applyFont="1" applyFill="1" applyBorder="1" applyAlignment="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5" fillId="0" borderId="2" xfId="0" applyFont="1" applyBorder="1" applyAlignment="1">
      <alignment horizontal="center"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g"/><Relationship Id="rId1" Type="http://schemas.openxmlformats.org/officeDocument/2006/relationships/image" Target="../media/image9.jpg"/><Relationship Id="rId6" Type="http://schemas.openxmlformats.org/officeDocument/2006/relationships/image" Target="../media/image14.jpg"/><Relationship Id="rId5" Type="http://schemas.openxmlformats.org/officeDocument/2006/relationships/image" Target="../media/image13.jpg"/><Relationship Id="rId4" Type="http://schemas.openxmlformats.org/officeDocument/2006/relationships/image" Target="../media/image1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35</xdr:row>
      <xdr:rowOff>0</xdr:rowOff>
    </xdr:from>
    <xdr:to>
      <xdr:col>5</xdr:col>
      <xdr:colOff>564771</xdr:colOff>
      <xdr:row>67</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0287000"/>
          <a:ext cx="7651370" cy="5629275"/>
        </a:xfrm>
        <a:prstGeom prst="rect">
          <a:avLst/>
        </a:prstGeom>
      </xdr:spPr>
    </xdr:pic>
    <xdr:clientData/>
  </xdr:twoCellAnchor>
  <xdr:twoCellAnchor editAs="oneCell">
    <xdr:from>
      <xdr:col>0</xdr:col>
      <xdr:colOff>1</xdr:colOff>
      <xdr:row>69</xdr:row>
      <xdr:rowOff>1</xdr:rowOff>
    </xdr:from>
    <xdr:to>
      <xdr:col>5</xdr:col>
      <xdr:colOff>581025</xdr:colOff>
      <xdr:row>97</xdr:row>
      <xdr:rowOff>68676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6116301"/>
          <a:ext cx="7667624" cy="4869275"/>
        </a:xfrm>
        <a:prstGeom prst="rect">
          <a:avLst/>
        </a:prstGeom>
      </xdr:spPr>
    </xdr:pic>
    <xdr:clientData/>
  </xdr:twoCellAnchor>
  <xdr:twoCellAnchor editAs="oneCell">
    <xdr:from>
      <xdr:col>0</xdr:col>
      <xdr:colOff>1</xdr:colOff>
      <xdr:row>99</xdr:row>
      <xdr:rowOff>0</xdr:rowOff>
    </xdr:from>
    <xdr:to>
      <xdr:col>5</xdr:col>
      <xdr:colOff>590550</xdr:colOff>
      <xdr:row>129</xdr:row>
      <xdr:rowOff>58417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21259800"/>
          <a:ext cx="7677149" cy="5201917"/>
        </a:xfrm>
        <a:prstGeom prst="rect">
          <a:avLst/>
        </a:prstGeom>
      </xdr:spPr>
    </xdr:pic>
    <xdr:clientData/>
  </xdr:twoCellAnchor>
  <xdr:twoCellAnchor editAs="oneCell">
    <xdr:from>
      <xdr:col>6</xdr:col>
      <xdr:colOff>0</xdr:colOff>
      <xdr:row>35</xdr:row>
      <xdr:rowOff>0</xdr:rowOff>
    </xdr:from>
    <xdr:to>
      <xdr:col>14</xdr:col>
      <xdr:colOff>1031742</xdr:colOff>
      <xdr:row>67</xdr:row>
      <xdr:rowOff>152400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67725" y="5848350"/>
          <a:ext cx="7365867" cy="5638800"/>
        </a:xfrm>
        <a:prstGeom prst="rect">
          <a:avLst/>
        </a:prstGeom>
      </xdr:spPr>
    </xdr:pic>
    <xdr:clientData/>
  </xdr:twoCellAnchor>
  <xdr:twoCellAnchor editAs="oneCell">
    <xdr:from>
      <xdr:col>6</xdr:col>
      <xdr:colOff>0</xdr:colOff>
      <xdr:row>69</xdr:row>
      <xdr:rowOff>0</xdr:rowOff>
    </xdr:from>
    <xdr:to>
      <xdr:col>12</xdr:col>
      <xdr:colOff>200025</xdr:colOff>
      <xdr:row>82</xdr:row>
      <xdr:rowOff>114300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67725" y="11677650"/>
          <a:ext cx="5248275" cy="2343150"/>
        </a:xfrm>
        <a:prstGeom prst="rect">
          <a:avLst/>
        </a:prstGeom>
      </xdr:spPr>
    </xdr:pic>
    <xdr:clientData/>
  </xdr:twoCellAnchor>
  <xdr:twoCellAnchor editAs="oneCell">
    <xdr:from>
      <xdr:col>6</xdr:col>
      <xdr:colOff>0</xdr:colOff>
      <xdr:row>84</xdr:row>
      <xdr:rowOff>0</xdr:rowOff>
    </xdr:from>
    <xdr:to>
      <xdr:col>12</xdr:col>
      <xdr:colOff>314325</xdr:colOff>
      <xdr:row>96</xdr:row>
      <xdr:rowOff>47625</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467725" y="14249400"/>
          <a:ext cx="5362575" cy="2105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294190</xdr:colOff>
      <xdr:row>24</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5780590" cy="3962400"/>
        </a:xfrm>
        <a:prstGeom prst="rect">
          <a:avLst/>
        </a:prstGeom>
      </xdr:spPr>
    </xdr:pic>
    <xdr:clientData/>
  </xdr:twoCellAnchor>
  <xdr:twoCellAnchor editAs="oneCell">
    <xdr:from>
      <xdr:col>0</xdr:col>
      <xdr:colOff>0</xdr:colOff>
      <xdr:row>25</xdr:row>
      <xdr:rowOff>0</xdr:rowOff>
    </xdr:from>
    <xdr:to>
      <xdr:col>8</xdr:col>
      <xdr:colOff>428624</xdr:colOff>
      <xdr:row>55</xdr:row>
      <xdr:rowOff>51017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5915024" cy="5194517"/>
        </a:xfrm>
        <a:prstGeom prst="rect">
          <a:avLst/>
        </a:prstGeom>
      </xdr:spPr>
    </xdr:pic>
    <xdr:clientData/>
  </xdr:twoCellAnchor>
  <xdr:twoCellAnchor editAs="oneCell">
    <xdr:from>
      <xdr:col>0</xdr:col>
      <xdr:colOff>0</xdr:colOff>
      <xdr:row>57</xdr:row>
      <xdr:rowOff>114300</xdr:rowOff>
    </xdr:from>
    <xdr:to>
      <xdr:col>9</xdr:col>
      <xdr:colOff>70570</xdr:colOff>
      <xdr:row>88</xdr:row>
      <xdr:rowOff>57150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886950"/>
          <a:ext cx="6242770" cy="5257800"/>
        </a:xfrm>
        <a:prstGeom prst="rect">
          <a:avLst/>
        </a:prstGeom>
      </xdr:spPr>
    </xdr:pic>
    <xdr:clientData/>
  </xdr:twoCellAnchor>
  <xdr:twoCellAnchor editAs="oneCell">
    <xdr:from>
      <xdr:col>0</xdr:col>
      <xdr:colOff>9525</xdr:colOff>
      <xdr:row>90</xdr:row>
      <xdr:rowOff>76200</xdr:rowOff>
    </xdr:from>
    <xdr:to>
      <xdr:col>9</xdr:col>
      <xdr:colOff>79682</xdr:colOff>
      <xdr:row>123</xdr:row>
      <xdr:rowOff>142875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 y="15506700"/>
          <a:ext cx="6242357" cy="5724525"/>
        </a:xfrm>
        <a:prstGeom prst="rect">
          <a:avLst/>
        </a:prstGeom>
      </xdr:spPr>
    </xdr:pic>
    <xdr:clientData/>
  </xdr:twoCellAnchor>
  <xdr:twoCellAnchor editAs="oneCell">
    <xdr:from>
      <xdr:col>9</xdr:col>
      <xdr:colOff>0</xdr:colOff>
      <xdr:row>21</xdr:row>
      <xdr:rowOff>0</xdr:rowOff>
    </xdr:from>
    <xdr:to>
      <xdr:col>19</xdr:col>
      <xdr:colOff>259022</xdr:colOff>
      <xdr:row>53</xdr:row>
      <xdr:rowOff>38100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72200" y="3600450"/>
          <a:ext cx="7117022" cy="5524500"/>
        </a:xfrm>
        <a:prstGeom prst="rect">
          <a:avLst/>
        </a:prstGeom>
      </xdr:spPr>
    </xdr:pic>
    <xdr:clientData/>
  </xdr:twoCellAnchor>
  <xdr:twoCellAnchor editAs="oneCell">
    <xdr:from>
      <xdr:col>9</xdr:col>
      <xdr:colOff>9526</xdr:colOff>
      <xdr:row>54</xdr:row>
      <xdr:rowOff>57151</xdr:rowOff>
    </xdr:from>
    <xdr:to>
      <xdr:col>19</xdr:col>
      <xdr:colOff>314325</xdr:colOff>
      <xdr:row>82</xdr:row>
      <xdr:rowOff>114001</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181726" y="9315451"/>
          <a:ext cx="7162799" cy="4857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20;&#22359;4-1&#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37099;&#37117;&#21306;421&#20137;&#25910;&#24182;&#36141;&#36164;&#26009;/&#22320;&#22359;4-2&#21830;&#19994;&#20860;&#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20;&#22359;3&#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收益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186789.62999999998</v>
          </cell>
          <cell r="C14">
            <v>48336.14</v>
          </cell>
          <cell r="D14">
            <v>66467</v>
          </cell>
          <cell r="G14">
            <v>66467</v>
          </cell>
          <cell r="I14">
            <v>42026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比较法-商业"/>
      <sheetName val="不动产收益法 (商业)"/>
      <sheetName val="不动产收益法"/>
      <sheetName val="公寓案例"/>
      <sheetName val="住宅案例"/>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4">
          <cell r="B14">
            <v>115898.92</v>
          </cell>
          <cell r="C14">
            <v>32815.18</v>
          </cell>
          <cell r="D14">
            <v>41242</v>
          </cell>
          <cell r="G14">
            <v>41242</v>
          </cell>
          <cell r="I14">
            <v>26326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信息"/>
      <sheetName val="数据"/>
      <sheetName val="土地案例"/>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收益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81285.67</v>
          </cell>
          <cell r="C14">
            <v>35498.75</v>
          </cell>
          <cell r="D14">
            <v>31918</v>
          </cell>
          <cell r="I14">
            <v>20522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2653</v>
      </c>
      <c r="B1" s="2869" t="s">
        <v>2750</v>
      </c>
    </row>
    <row r="2" spans="1:55" s="2873" customFormat="1" ht="15" thickTop="1">
      <c r="A2" s="2871" t="s">
        <v>2657</v>
      </c>
      <c r="B2" s="2872" t="str">
        <f>'预评函-封皮'!B37</f>
        <v>四川省成都市郫都区（原郫县）红光镇护国村一社、郫筒镇鹃城村十社2号地出让国有建设用地使用权抵押价格预评估</v>
      </c>
      <c r="AX2" s="2874"/>
      <c r="AZ2" s="2874"/>
      <c r="BA2" s="2875"/>
      <c r="BC2" s="2875"/>
    </row>
    <row r="3" spans="1:55" s="2876" customFormat="1">
      <c r="A3" s="2855" t="s">
        <v>2658</v>
      </c>
      <c r="B3" s="2858" t="str">
        <f>'预评函-封皮'!B40</f>
        <v>成都聚锦商务有限公司</v>
      </c>
    </row>
    <row r="4" spans="1:55" s="2857" customFormat="1">
      <c r="A4" s="2855" t="s">
        <v>2659</v>
      </c>
      <c r="B4" s="2856" t="str">
        <f>'预评函-封皮'!B46</f>
        <v>郑燚、王鹏</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2660</v>
      </c>
      <c r="B5" s="2878" t="str">
        <f>'预评函-封皮'!B49</f>
        <v>康正预评字2019-1-0121号</v>
      </c>
    </row>
    <row r="6" spans="1:55" s="2879" customFormat="1" ht="15" thickTop="1">
      <c r="A6" s="2871" t="s">
        <v>2702</v>
      </c>
      <c r="B6" s="2872" t="str">
        <f>'预评函-1'!A4</f>
        <v>受贵公司委托，我公司对四川省成都市郫都区（原郫县）红光镇护国村一社、郫筒镇鹃城村十社2号地出让国有建设用地使用权抵押价格进行了预评估。</v>
      </c>
      <c r="AM6" s="2880"/>
    </row>
    <row r="7" spans="1:55" s="2854" customFormat="1">
      <c r="A7" s="2855" t="s">
        <v>2654</v>
      </c>
      <c r="B7" s="2856" t="str">
        <f>'预评函-1'!A6</f>
        <v>估价对象为成都聚锦商务有限公司使用的、位于四川省成都市郫都区（原郫县）红光镇护国村一社、郫筒镇鹃城村十社2号地出让国有建设用地使用权。根据，估价对象（分摊）出让国有建设用地使用权面积为73464.09平方米。根据，估价对象规划建筑面积为252351.54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2656</v>
      </c>
      <c r="B10" s="2856" t="str">
        <f>'预评函-1'!A11</f>
        <v>2019年3月5日（评估专业人员勘察现场之日）</v>
      </c>
    </row>
    <row r="11" spans="1:55" s="2854" customFormat="1">
      <c r="A11" s="2855" t="s">
        <v>2662</v>
      </c>
      <c r="B11" s="2856" t="str">
        <f>'预评函-1'!A14</f>
        <v>根据《国有土地使用证》郫国用（2016）第906号]，本次评估估价对象证载（地类）用途为住宅。</v>
      </c>
    </row>
    <row r="12" spans="1:55" s="2854" customFormat="1">
      <c r="A12" s="2855" t="s">
        <v>2663</v>
      </c>
      <c r="B12" s="2856" t="str">
        <f>'预评函-1'!A15</f>
        <v>本次评估设定用途即为证载用途住宅、商业、地下车库。</v>
      </c>
    </row>
    <row r="13" spans="1:55" s="2854" customFormat="1">
      <c r="A13" s="2855" t="s">
        <v>2664</v>
      </c>
      <c r="B13" s="2856" t="str">
        <f>'预评函-1'!A17</f>
        <v>根据委托估价方介绍及评估专业人员现场勘查，本次评估估价对象实际土地开发程度为红线外市政基础设施达“七通”（即通路、通电、通上水、、、、）、宗地红线内场地平整。</v>
      </c>
    </row>
    <row r="14" spans="1:55" s="2854" customFormat="1">
      <c r="A14" s="2855" t="s">
        <v>2665</v>
      </c>
      <c r="B14" s="2856" t="str">
        <f>'预评函-1'!A18</f>
        <v>本次评估设定土地开发程度为红线外市政基础设施达“七通”、宗地红线内场地平整。</v>
      </c>
    </row>
    <row r="15" spans="1:55" s="2854" customFormat="1">
      <c r="A15" s="2855" t="s">
        <v>2661</v>
      </c>
      <c r="B15" s="2856" t="str">
        <f>'预评函-1'!A20</f>
        <v>根据，估价对象（分摊）出让国有建设用地使用权面积为73464.09平方米。根据，估价对象规划建筑面积为252351.54平方米。</v>
      </c>
    </row>
    <row r="16" spans="1:55" s="2854" customFormat="1">
      <c r="A16" s="2855" t="s">
        <v>2666</v>
      </c>
      <c r="B16" s="2856" t="str">
        <f>'预评函-1'!A22</f>
        <v>本次估价对象为出让国有建设用地使用权，《国有土地使用证》郫国用（2016）第906号]证载土地终止日期为住宅2078年12月5日、商业2048年12月5日地下车库2058年12月5日。截至估价期日，出让国有建设用地使用权剩余土地使用年限为。</v>
      </c>
    </row>
    <row r="17" spans="1:48" s="2854" customFormat="1">
      <c r="A17" s="2855" t="s">
        <v>2667</v>
      </c>
      <c r="B17" s="2856" t="str">
        <f>'预评函-1'!A23</f>
        <v>本次评估设定估价对象剩余土地使用年限为。</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row>
    <row r="19" spans="1:48" s="2854" customFormat="1">
      <c r="A19" s="2855" t="s">
        <v>2669</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2670</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2671</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2672</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估价期日：2019年3月5日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t="str">
        <f>'预评函-2'!E5</f>
        <v>住宅</v>
      </c>
      <c r="AV32" s="2860"/>
    </row>
    <row r="33" spans="1:2">
      <c r="A33" s="2855" t="s">
        <v>2710</v>
      </c>
      <c r="B33" s="2856">
        <f>'预评函-2'!F5</f>
        <v>258</v>
      </c>
    </row>
    <row r="34" spans="1:2">
      <c r="A34" s="2855" t="s">
        <v>2711</v>
      </c>
      <c r="B34" s="2856" t="str">
        <f>'预评函-2'!G5</f>
        <v>住宅、商业、地下车库</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红线外七通、宗地红线内场地平整</v>
      </c>
    </row>
    <row r="39" spans="1:2">
      <c r="A39" s="2855" t="s">
        <v>2716</v>
      </c>
      <c r="B39" s="2856" t="str">
        <f>'预评函-2'!L5</f>
        <v>红线外七通、宗地红线内场地平整</v>
      </c>
    </row>
    <row r="40" spans="1:2">
      <c r="A40" s="2855" t="s">
        <v>2735</v>
      </c>
      <c r="B40" s="2856" t="str">
        <f>'预评函-2'!M3</f>
        <v>（剩余）土地使用年限/年</v>
      </c>
    </row>
    <row r="41" spans="1:2">
      <c r="A41" s="2855" t="s">
        <v>2717</v>
      </c>
      <c r="B41" s="2856">
        <f>'预评函-2'!M5</f>
        <v>0</v>
      </c>
    </row>
    <row r="42" spans="1:2">
      <c r="A42" s="2855" t="s">
        <v>2736</v>
      </c>
      <c r="B42" s="2856" t="str">
        <f>'预评函-2'!N3</f>
        <v>（分摊）出让国有建设用地使用权面积/㎡</v>
      </c>
    </row>
    <row r="43" spans="1:2">
      <c r="A43" s="2855" t="s">
        <v>2718</v>
      </c>
      <c r="B43" s="2856">
        <f>'预评函-2'!N5</f>
        <v>73464.09</v>
      </c>
    </row>
    <row r="44" spans="1:2">
      <c r="A44" s="2855" t="s">
        <v>2737</v>
      </c>
      <c r="B44" s="2856" t="str">
        <f>'预评函-2'!O3</f>
        <v>规划建筑面积/㎡</v>
      </c>
    </row>
    <row r="45" spans="1:2">
      <c r="A45" s="2855" t="s">
        <v>2719</v>
      </c>
      <c r="B45" s="2856">
        <f>'预评函-2'!O5</f>
        <v>252351.54</v>
      </c>
    </row>
    <row r="46" spans="1:2">
      <c r="A46" s="2855" t="s">
        <v>2720</v>
      </c>
      <c r="B46" s="2856">
        <f ca="1">'预评函-2'!P5</f>
        <v>12574</v>
      </c>
    </row>
    <row r="47" spans="1:2">
      <c r="A47" s="2855" t="s">
        <v>2721</v>
      </c>
      <c r="B47" s="2856">
        <f ca="1">'预评函-2'!Q5</f>
        <v>3661</v>
      </c>
    </row>
    <row r="48" spans="1:2">
      <c r="A48" s="2855" t="s">
        <v>2722</v>
      </c>
      <c r="B48" s="2856">
        <f ca="1">'预评函-2'!R5</f>
        <v>92374</v>
      </c>
    </row>
    <row r="49" spans="1:2">
      <c r="A49" s="2855" t="s">
        <v>2738</v>
      </c>
      <c r="B49" s="2856" t="str">
        <f>'预评函-2'!A6</f>
        <v>抵押价格</v>
      </c>
    </row>
    <row r="50" spans="1:2">
      <c r="A50" s="2855" t="s">
        <v>2723</v>
      </c>
      <c r="B50" s="2856">
        <f ca="1">'预评函-2'!R6</f>
        <v>92374</v>
      </c>
    </row>
    <row r="51" spans="1:2">
      <c r="A51" s="2855" t="s">
        <v>2739</v>
      </c>
      <c r="B51" s="2856" t="str">
        <f>'预评函-2'!A7</f>
        <v>——</v>
      </c>
    </row>
    <row r="52" spans="1:2">
      <c r="A52" s="2855" t="s">
        <v>2724</v>
      </c>
      <c r="B52" s="2856" t="str">
        <f>'预评函-2'!R7</f>
        <v>——</v>
      </c>
    </row>
    <row r="53" spans="1:2">
      <c r="A53" s="2855" t="s">
        <v>2740</v>
      </c>
      <c r="B53" s="2856" t="str">
        <f>'预评函-2'!A8</f>
        <v>抵押净值</v>
      </c>
    </row>
    <row r="54" spans="1:2" s="2870" customFormat="1" ht="15" thickBot="1">
      <c r="A54" s="2877" t="s">
        <v>2725</v>
      </c>
      <c r="B54" s="2878">
        <f ca="1">'预评函-2'!R8</f>
        <v>34842</v>
      </c>
    </row>
    <row r="55" spans="1:2" ht="15" thickTop="1">
      <c r="A55" s="2866" t="s">
        <v>2675</v>
      </c>
      <c r="B55" s="2867" t="str">
        <f>'预评函-3'!A2</f>
        <v>1.权利限制：根据估价对象《不动产权证书》原件、《国有土地使用权》复印件，截至估价期日，估价对象抵押权未见登记。未设定租赁等其他他项权利。</v>
      </c>
    </row>
    <row r="56" spans="1:2">
      <c r="A56" s="2855" t="s">
        <v>2676</v>
      </c>
      <c r="B56" s="2856" t="str">
        <f>'预评函-3'!A3</f>
        <v>2.基础设施条件：估价对象实际开发程度为红线外七通、宗地红线内场地平整；本次评估设定开发程度为红线外七通、宗地红线内场地平整。</v>
      </c>
    </row>
    <row r="57" spans="1:2">
      <c r="A57" s="2855" t="s">
        <v>2677</v>
      </c>
      <c r="B57" s="2856" t="str">
        <f>'预评函-3'!A4</f>
        <v>3.估价规划限制条件：详见。</v>
      </c>
    </row>
    <row r="58" spans="1:2" s="2870" customFormat="1" ht="15" thickBot="1">
      <c r="A58" s="2877" t="s">
        <v>2726</v>
      </c>
      <c r="B58" s="2878" t="str">
        <f>'预评函-3'!A5</f>
        <v>4.影响价格的其他限定条件：无。</v>
      </c>
    </row>
    <row r="59" spans="1:2" ht="15" thickTop="1">
      <c r="A59" s="2866" t="s">
        <v>2678</v>
      </c>
      <c r="B59" s="2867" t="str">
        <f>'预评函-3'!A8</f>
        <v>2.本《评估意见函》仅供金融机构进行内部审核使用，不做其他目的之用。</v>
      </c>
    </row>
    <row r="60" spans="1:2">
      <c r="A60" s="2855" t="s">
        <v>2679</v>
      </c>
      <c r="B60" s="2856" t="str">
        <f>'预评函-3'!A9</f>
        <v>3.抵押双方在办理抵押登记手续时，应使用本公司出具的正式《土地估价报告》，特提请报告使用者注意。</v>
      </c>
    </row>
    <row r="61" spans="1:2">
      <c r="A61" s="2855" t="s">
        <v>2681</v>
      </c>
      <c r="B61" s="2856" t="str">
        <f>'预评函-3'!A10</f>
        <v>4.估价师所知悉的法定优先受偿款情况为：</v>
      </c>
    </row>
    <row r="62" spans="1:2">
      <c r="A62" s="2855" t="s">
        <v>2680</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综上，本次评估不存在估价师知悉的法定优先受偿款</v>
      </c>
    </row>
    <row r="66" spans="1:2">
      <c r="A66" s="2855" t="s">
        <v>2685</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2689</v>
      </c>
      <c r="B68" s="2881">
        <f>'预评函-3'!D30</f>
        <v>42558</v>
      </c>
    </row>
    <row r="69" spans="1:2" ht="15" thickTop="1">
      <c r="A69" s="2866" t="s">
        <v>2687</v>
      </c>
      <c r="B69" s="2867" t="str">
        <f>'预评函-3'!A20</f>
        <v>郑燚</v>
      </c>
    </row>
    <row r="70" spans="1:2">
      <c r="A70" s="2855" t="s">
        <v>2687</v>
      </c>
      <c r="B70" s="2862">
        <f ca="1">'预评函-3'!B20</f>
        <v>2014110011</v>
      </c>
    </row>
    <row r="71" spans="1:2">
      <c r="A71" s="2855" t="s">
        <v>2688</v>
      </c>
      <c r="B71" s="2856" t="str">
        <f>'预评函-3'!A21</f>
        <v>王鹏</v>
      </c>
    </row>
    <row r="72" spans="1:2" s="2870" customFormat="1" ht="15" thickBot="1">
      <c r="A72" s="2877" t="s">
        <v>2688</v>
      </c>
      <c r="B72" s="2883">
        <f ca="1">'预评函-3'!B21</f>
        <v>2002110030</v>
      </c>
    </row>
    <row r="73" spans="1:2" ht="15"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6" sqref="F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1936</v>
      </c>
      <c r="B1" s="3300" t="str">
        <f>IF(B10="北京市","北京市",C10)&amp;F10&amp;B16&amp;"国有建设用地使用权"&amp;B9&amp;"预评估"</f>
        <v>四川省成都市郫都区（原郫县）红光镇护国村一社、郫筒镇鹃城村十社2号地出让国有建设用地使用权抵押价格预评估</v>
      </c>
      <c r="C1" s="3301"/>
      <c r="D1" s="3301"/>
      <c r="E1" s="3301"/>
      <c r="F1" s="3301"/>
      <c r="G1" s="3301"/>
      <c r="H1" s="3301"/>
      <c r="I1" s="3302"/>
      <c r="J1" s="1692"/>
      <c r="K1" s="2433" t="str">
        <f>IF(B10="北京市","北京市",C10)&amp;F10&amp;B16&amp;"国有建设用地使用权"&amp;B9</f>
        <v>四川省成都市郫都区（原郫县）红光镇护国村一社、郫筒镇鹃城村十社2号地出让国有建设用地使用权抵押价格</v>
      </c>
      <c r="L1" s="1721"/>
      <c r="M1" s="1721"/>
      <c r="N1" s="1692"/>
      <c r="O1" s="1693"/>
      <c r="P1" s="1692"/>
      <c r="Q1" s="1692"/>
      <c r="R1" s="1692"/>
      <c r="S1" s="1692"/>
      <c r="T1" s="1692"/>
      <c r="U1" s="1692"/>
    </row>
    <row r="2" spans="1:21">
      <c r="A2" s="1659" t="s">
        <v>1937</v>
      </c>
      <c r="B2" s="1840" t="s">
        <v>3114</v>
      </c>
      <c r="D2" s="1692"/>
      <c r="E2" s="1692"/>
      <c r="F2" s="1692"/>
      <c r="G2" s="1692"/>
      <c r="H2" s="1659"/>
      <c r="I2" s="1693"/>
      <c r="J2" s="1692"/>
      <c r="K2" s="2433" t="str">
        <f>IF(B10="北京市","北京市",C10)&amp;F10&amp;B16&amp;"国有建设用地使用权"</f>
        <v>四川省成都市郫都区（原郫县）红光镇护国村一社、郫筒镇鹃城村十社2号地出让国有建设用地使用权</v>
      </c>
      <c r="L2" s="1721"/>
      <c r="M2" s="1721"/>
      <c r="N2" s="1692"/>
      <c r="O2" s="1693"/>
      <c r="P2" s="1692"/>
      <c r="Q2" s="1692"/>
      <c r="R2" s="1692"/>
      <c r="S2" s="1692"/>
      <c r="T2" s="1692"/>
      <c r="U2" s="1692"/>
    </row>
    <row r="3" spans="1:21">
      <c r="A3" s="1660" t="s">
        <v>1938</v>
      </c>
      <c r="B3" s="1661">
        <v>43529</v>
      </c>
      <c r="C3" s="3213" t="s">
        <v>1994</v>
      </c>
      <c r="D3" s="1661">
        <f>B3</f>
        <v>43529</v>
      </c>
      <c r="E3" s="1692"/>
      <c r="F3" s="1692"/>
      <c r="G3" s="1692"/>
      <c r="H3" s="1659"/>
      <c r="I3" s="1693"/>
      <c r="J3" s="1692"/>
      <c r="K3" s="1772"/>
      <c r="L3" s="1721"/>
      <c r="M3" s="1721"/>
      <c r="N3" s="1692"/>
      <c r="O3" s="1693"/>
      <c r="P3" s="1692"/>
      <c r="Q3" s="1692"/>
      <c r="R3" s="1692"/>
      <c r="S3" s="1692"/>
      <c r="T3" s="1692"/>
      <c r="U3" s="1692"/>
    </row>
    <row r="4" spans="1:21" ht="15" thickBot="1">
      <c r="A4" s="1663" t="s">
        <v>1939</v>
      </c>
      <c r="B4" s="1841" t="s">
        <v>3115</v>
      </c>
      <c r="C4" s="1844">
        <f ca="1">SUMIF(土地估价师,B4,估价师及机构信息!E3:E24)</f>
        <v>2014110011</v>
      </c>
      <c r="D4" s="1841" t="s">
        <v>3116</v>
      </c>
      <c r="E4" s="1844">
        <f ca="1">SUMIF(土地估价师,D4,估价师及机构信息!E3:E24)</f>
        <v>2002110030</v>
      </c>
      <c r="F4" s="1841" t="s">
        <v>950</v>
      </c>
      <c r="G4" s="1844">
        <f>SUMIF(土地估价师,F4,估价师及机构信息!E3:E24)</f>
        <v>0</v>
      </c>
      <c r="H4" s="1841" t="s">
        <v>950</v>
      </c>
      <c r="I4" s="1844">
        <f>SUMIF(土地估价师,H4,估价师及机构信息!E3:E24)</f>
        <v>0</v>
      </c>
      <c r="J4" s="1692"/>
      <c r="K4" s="2433" t="str">
        <f>IF(AND(F4="——",H4="——"),B4&amp;"、"&amp;D4,IF(AND(F4&lt;&gt;"——",H4="——"),B4&amp;"、"&amp;D4&amp;"、"&amp;F4,B4&amp;"、"&amp;D4&amp;"、"&amp;F4&amp;"、"&amp;H4))</f>
        <v>郑燚、王鹏</v>
      </c>
      <c r="L4" s="1721"/>
      <c r="M4" s="1721"/>
      <c r="N4" s="1692"/>
      <c r="O4" s="1693"/>
      <c r="P4" s="1692"/>
      <c r="Q4" s="1692"/>
      <c r="R4" s="1692"/>
      <c r="S4" s="1692"/>
      <c r="T4" s="1692"/>
      <c r="U4" s="1692"/>
    </row>
    <row r="5" spans="1:21" ht="15" thickTop="1">
      <c r="A5" s="1664" t="s">
        <v>1940</v>
      </c>
      <c r="B5" s="1787" t="s">
        <v>3118</v>
      </c>
      <c r="C5" s="1665"/>
      <c r="D5" s="1666"/>
      <c r="E5" s="1692"/>
      <c r="F5" s="1692"/>
      <c r="G5" s="1692"/>
      <c r="H5" s="1659"/>
      <c r="I5" s="1693"/>
      <c r="J5" s="1692"/>
      <c r="K5" s="1772"/>
      <c r="L5" s="1721"/>
      <c r="M5" s="1721"/>
      <c r="N5" s="1692"/>
      <c r="O5" s="1693"/>
      <c r="P5" s="1692"/>
      <c r="Q5" s="1692"/>
      <c r="R5" s="1692"/>
      <c r="S5" s="1692"/>
      <c r="T5" s="1692"/>
      <c r="U5" s="1692"/>
    </row>
    <row r="6" spans="1:21" ht="26.25">
      <c r="A6" s="1662" t="s">
        <v>2703</v>
      </c>
      <c r="B6" s="1787" t="s">
        <v>3117</v>
      </c>
      <c r="C6" s="1759"/>
      <c r="D6" s="1667"/>
      <c r="E6" s="1692"/>
      <c r="F6" s="1692"/>
      <c r="G6" s="1692"/>
      <c r="H6" s="1659"/>
      <c r="I6" s="1693"/>
      <c r="J6" s="1692"/>
      <c r="K6" s="3030" t="str">
        <f>IF(COUNTIF(B6,"*上海银行*"),"上海银行","")</f>
        <v/>
      </c>
      <c r="L6" s="1721"/>
      <c r="M6" s="1721"/>
      <c r="N6" s="1692"/>
      <c r="O6" s="1693"/>
      <c r="P6" s="1692"/>
      <c r="Q6" s="1692"/>
      <c r="R6" s="1692"/>
      <c r="S6" s="1692"/>
      <c r="T6" s="1692"/>
      <c r="U6" s="1692"/>
    </row>
    <row r="7" spans="1:21">
      <c r="A7" s="1668" t="s">
        <v>2704</v>
      </c>
      <c r="B7" s="1787" t="s">
        <v>3118</v>
      </c>
      <c r="C7" s="1759"/>
      <c r="D7" s="1667"/>
      <c r="E7" s="1692"/>
      <c r="F7" s="1692"/>
      <c r="G7" s="1692"/>
      <c r="H7" s="1659"/>
      <c r="I7" s="1693"/>
      <c r="J7" s="1692"/>
      <c r="K7" s="1772"/>
      <c r="L7" s="1721"/>
      <c r="M7" s="1721"/>
      <c r="N7" s="1692"/>
      <c r="O7" s="1693"/>
      <c r="P7" s="1692"/>
      <c r="Q7" s="1692"/>
      <c r="R7" s="1692"/>
      <c r="S7" s="1692"/>
      <c r="T7" s="1692"/>
      <c r="U7" s="1692"/>
    </row>
    <row r="8" spans="1:21">
      <c r="A8" s="1668" t="s">
        <v>1941</v>
      </c>
      <c r="B8" s="1669" t="s">
        <v>3119</v>
      </c>
      <c r="C8" s="1670"/>
      <c r="D8" s="3306" t="s">
        <v>1943</v>
      </c>
      <c r="E8" s="1842" t="s">
        <v>3120</v>
      </c>
      <c r="F8" s="1671"/>
      <c r="G8" s="1659"/>
      <c r="H8" s="1659"/>
      <c r="I8" s="1705"/>
      <c r="J8" s="1692"/>
      <c r="K8" s="1772"/>
      <c r="L8" s="1721"/>
      <c r="M8" s="1721"/>
      <c r="N8" s="1692"/>
      <c r="O8" s="1693"/>
      <c r="P8" s="1692"/>
      <c r="Q8" s="1692"/>
      <c r="R8" s="1692"/>
      <c r="S8" s="1692"/>
      <c r="T8" s="1692"/>
      <c r="U8" s="1692"/>
    </row>
    <row r="9" spans="1:21" ht="15" thickBot="1">
      <c r="A9" s="1672" t="s">
        <v>1942</v>
      </c>
      <c r="B9" s="1673" t="s">
        <v>3120</v>
      </c>
      <c r="C9" s="1674"/>
      <c r="D9" s="3307"/>
      <c r="E9" s="1673" t="s">
        <v>2851</v>
      </c>
      <c r="F9" s="1745"/>
      <c r="G9" s="1740"/>
      <c r="H9" s="1740"/>
      <c r="I9" s="1741"/>
      <c r="J9" s="1692"/>
      <c r="K9" s="1772"/>
      <c r="L9" s="1721"/>
      <c r="M9" s="1721"/>
      <c r="N9" s="1692"/>
      <c r="O9" s="1693"/>
      <c r="P9" s="1692"/>
      <c r="Q9" s="1692"/>
      <c r="R9" s="1692"/>
      <c r="S9" s="1692"/>
      <c r="T9" s="1692"/>
      <c r="U9" s="1692"/>
    </row>
    <row r="10" spans="1:21" ht="15" thickTop="1">
      <c r="A10" s="1742" t="s">
        <v>1997</v>
      </c>
      <c r="B10" s="1717" t="s">
        <v>3121</v>
      </c>
      <c r="C10" s="1675" t="s">
        <v>3122</v>
      </c>
      <c r="D10" s="1666"/>
      <c r="E10" s="1676" t="s">
        <v>1945</v>
      </c>
      <c r="F10" s="3212" t="s">
        <v>3123</v>
      </c>
      <c r="G10" s="1743"/>
      <c r="H10" s="1744"/>
      <c r="I10" s="1666"/>
      <c r="J10" s="1692"/>
      <c r="K10" s="1772"/>
      <c r="L10" s="1721"/>
      <c r="M10" s="1721"/>
      <c r="N10" s="1692"/>
      <c r="O10" s="1693"/>
      <c r="P10" s="1692"/>
      <c r="Q10" s="1692"/>
      <c r="R10" s="1692"/>
      <c r="S10" s="1692"/>
      <c r="T10" s="1692"/>
      <c r="U10" s="1692"/>
    </row>
    <row r="11" spans="1:21" ht="28.5">
      <c r="A11" s="1695" t="s">
        <v>1998</v>
      </c>
      <c r="B11" s="1696" t="s">
        <v>3124</v>
      </c>
      <c r="C11" s="1677" t="str">
        <f>B7</f>
        <v>成都聚锦商务有限公司</v>
      </c>
      <c r="D11" s="1760"/>
      <c r="E11" s="1659"/>
      <c r="F11" s="1659"/>
      <c r="G11" s="1659"/>
      <c r="H11" s="1659"/>
      <c r="I11" s="1659"/>
      <c r="J11" s="1692"/>
      <c r="K11" s="1772"/>
      <c r="L11" s="1721"/>
      <c r="M11" s="1721"/>
      <c r="N11" s="1692"/>
      <c r="O11" s="1693"/>
      <c r="P11" s="1692"/>
      <c r="Q11" s="1692"/>
      <c r="R11" s="1692"/>
      <c r="S11" s="1692"/>
      <c r="T11" s="1692"/>
      <c r="U11" s="1692"/>
    </row>
    <row r="12" spans="1:21">
      <c r="A12" s="1783" t="s">
        <v>2056</v>
      </c>
      <c r="B12" s="3303" t="s">
        <v>3125</v>
      </c>
      <c r="C12" s="3304"/>
      <c r="D12" s="3305"/>
      <c r="E12" s="3214" t="s">
        <v>2059</v>
      </c>
      <c r="F12" s="3321" t="s">
        <v>3389</v>
      </c>
      <c r="G12" s="3322"/>
      <c r="H12" s="3322"/>
      <c r="I12" s="3323"/>
      <c r="J12" s="1692"/>
      <c r="K12" s="1772"/>
      <c r="L12" s="1721"/>
      <c r="M12" s="1721"/>
      <c r="N12" s="1692"/>
      <c r="O12" s="1693"/>
      <c r="P12" s="1692"/>
      <c r="Q12" s="1692"/>
      <c r="R12" s="1692"/>
      <c r="S12" s="1692"/>
      <c r="T12" s="1692"/>
      <c r="U12" s="1692"/>
    </row>
    <row r="13" spans="1:21">
      <c r="A13" s="1685" t="s">
        <v>2057</v>
      </c>
      <c r="B13" s="3303" t="s">
        <v>3126</v>
      </c>
      <c r="C13" s="3304"/>
      <c r="D13" s="3305"/>
      <c r="E13" s="3214" t="s">
        <v>2059</v>
      </c>
      <c r="F13" s="3324" t="s">
        <v>3128</v>
      </c>
      <c r="G13" s="3325"/>
      <c r="H13" s="3325"/>
      <c r="I13" s="3326"/>
      <c r="J13" s="1692"/>
      <c r="K13" s="1772"/>
      <c r="L13" s="1721"/>
      <c r="M13" s="1721"/>
      <c r="N13" s="1692"/>
      <c r="O13" s="1693"/>
      <c r="P13" s="1692"/>
      <c r="Q13" s="1692"/>
      <c r="R13" s="1692"/>
      <c r="S13" s="1692"/>
      <c r="T13" s="1692"/>
      <c r="U13" s="1692"/>
    </row>
    <row r="14" spans="1:21">
      <c r="A14" s="1660" t="s">
        <v>2060</v>
      </c>
      <c r="B14" s="1697"/>
      <c r="C14" s="1843" t="s">
        <v>3129</v>
      </c>
      <c r="D14" s="1731" t="str">
        <f>IF(C14="不一致","是否符合证载地类范围","")</f>
        <v/>
      </c>
      <c r="E14" s="1697"/>
      <c r="F14" s="1788" t="s">
        <v>3130</v>
      </c>
      <c r="G14" s="1726"/>
      <c r="H14" s="1726"/>
      <c r="I14" s="1835"/>
      <c r="J14" s="1692"/>
      <c r="K14" s="1772"/>
      <c r="L14" s="1721"/>
      <c r="M14" s="1721"/>
      <c r="N14" s="1692"/>
      <c r="O14" s="1693"/>
      <c r="P14" s="1692"/>
      <c r="Q14" s="1692"/>
      <c r="R14" s="1692"/>
      <c r="S14" s="1692"/>
      <c r="T14" s="1692"/>
      <c r="U14" s="1692"/>
    </row>
    <row r="15" spans="1:21" hidden="1">
      <c r="A15" s="2623"/>
      <c r="B15" s="1662"/>
      <c r="C15" s="1662"/>
      <c r="D15" s="1764" t="s">
        <v>1948</v>
      </c>
      <c r="E15" s="1764" t="s">
        <v>1949</v>
      </c>
      <c r="F15" s="1764" t="s">
        <v>1950</v>
      </c>
      <c r="G15" s="1684" t="s">
        <v>1951</v>
      </c>
      <c r="H15" s="1684" t="s">
        <v>1952</v>
      </c>
      <c r="I15" s="1684" t="s">
        <v>1953</v>
      </c>
      <c r="J15" s="1692"/>
      <c r="K15" s="1772"/>
      <c r="L15" s="1721"/>
      <c r="M15" s="1721"/>
      <c r="N15" s="1692"/>
      <c r="O15" s="1693"/>
      <c r="P15" s="1692"/>
      <c r="Q15" s="1692"/>
      <c r="R15" s="1692"/>
      <c r="S15" s="1692"/>
      <c r="T15" s="1692"/>
      <c r="U15" s="1692"/>
    </row>
    <row r="16" spans="1:21" ht="42.75">
      <c r="A16" s="1678" t="s">
        <v>1946</v>
      </c>
      <c r="B16" s="1679" t="s">
        <v>3131</v>
      </c>
      <c r="C16" s="1697" t="s">
        <v>1947</v>
      </c>
      <c r="D16" s="2624" t="s">
        <v>1948</v>
      </c>
      <c r="E16" s="1720" t="s">
        <v>3046</v>
      </c>
      <c r="F16" s="1720"/>
      <c r="G16" s="1720" t="s">
        <v>35</v>
      </c>
      <c r="H16" s="1720"/>
      <c r="I16" s="1684" t="s">
        <v>1953</v>
      </c>
      <c r="J16" s="1692"/>
      <c r="K16" s="2434" t="str">
        <f>IF(D17="","",D16&amp;TEXT(D17,"yyyy年m月d日;;"))</f>
        <v>住宅2078年12月5日</v>
      </c>
      <c r="L16" s="1697" t="str">
        <f>IF(OR(K16="",M16=""),"","、")</f>
        <v>、</v>
      </c>
      <c r="M16" s="2434" t="str">
        <f>IF(E17="","",E16&amp;TEXT(E17,"yyyy年m月d日;;"))</f>
        <v>商业2048年12月5日</v>
      </c>
      <c r="N16" s="1697" t="str">
        <f>IF(OR(M16="",O16=""),"","、")</f>
        <v/>
      </c>
      <c r="O16" s="2434" t="str">
        <f>IF(F17="","",F16&amp;TEXT(F17,"yyyy年m月d日;;"))</f>
        <v/>
      </c>
      <c r="P16" s="1697" t="str">
        <f>IF(OR(O16="",Q16=""),"","、")</f>
        <v/>
      </c>
      <c r="Q16" s="2434" t="str">
        <f>IF(G17="","",G16&amp;TEXT(G17,"yyyy年m月d日;;"))</f>
        <v>地下车库2058年12月5日</v>
      </c>
      <c r="R16" s="1697" t="str">
        <f>IF(OR(Q16="",S16=""),"","、")</f>
        <v/>
      </c>
      <c r="S16" s="2434" t="str">
        <f>IF(H17="","",H16&amp;TEXT(H17,"yyyy年m月d日;;"))</f>
        <v/>
      </c>
      <c r="T16" s="1697" t="str">
        <f>IF(OR(S16="",U16=""),"","、")</f>
        <v/>
      </c>
      <c r="U16" s="2434" t="str">
        <f>IF(I17="","",I16&amp;TEXT(I17,"yyyy年m月d日;;"))</f>
        <v/>
      </c>
    </row>
    <row r="17" spans="1:21">
      <c r="A17" s="1761"/>
      <c r="B17" s="1680"/>
      <c r="C17" s="1681" t="s">
        <v>1954</v>
      </c>
      <c r="D17" s="1698">
        <f>信息!E22</f>
        <v>65354</v>
      </c>
      <c r="E17" s="1698">
        <f>信息!E23</f>
        <v>54397</v>
      </c>
      <c r="F17" s="1698"/>
      <c r="G17" s="1698">
        <v>58049</v>
      </c>
      <c r="H17" s="1698"/>
      <c r="I17" s="1698"/>
      <c r="J17" s="1692"/>
      <c r="K17" s="2433" t="str">
        <f>CONCATENATE(K16,L16,M16,N16,O16,P16,Q16,R16,S16,T16,,U16)</f>
        <v>住宅2078年12月5日、商业2048年12月5日地下车库2058年12月5日</v>
      </c>
      <c r="L17" s="1721"/>
      <c r="M17" s="1721"/>
      <c r="N17" s="1692"/>
      <c r="O17" s="1693"/>
      <c r="P17" s="1692"/>
      <c r="Q17" s="1692"/>
      <c r="R17" s="1692"/>
      <c r="S17" s="1692"/>
      <c r="T17" s="1692"/>
      <c r="U17" s="1692"/>
    </row>
    <row r="18" spans="1:21">
      <c r="A18" s="1761"/>
      <c r="B18" s="1680"/>
      <c r="C18" s="1681" t="s">
        <v>1955</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9" t="s">
        <v>1956</v>
      </c>
      <c r="D19" s="1756">
        <f>IF(B16="出让",IF(D17="","",ROUNDDOWN(MIN((D17-$D$3)/365,D18),2)),D18)</f>
        <v>59.79</v>
      </c>
      <c r="E19" s="1683">
        <f>IF(B16="出让",IF(E17="","",ROUNDDOWN(MIN((E17-$D$3)/365,E18),2)),E18)</f>
        <v>29.77</v>
      </c>
      <c r="F19" s="1683" t="str">
        <f>IF(B16="出让",IF(F17="","",ROUNDDOWN(MIN((F17-$D$3)/365,F18),2)),F18)</f>
        <v/>
      </c>
      <c r="G19" s="1683">
        <f>IF(B16="出让",IF(G17="","",ROUNDDOWN(MIN((G17-$D$3)/365,G18),2)),G18)</f>
        <v>39.78</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2058</v>
      </c>
      <c r="D20" s="3318"/>
      <c r="E20" s="3319"/>
      <c r="F20" s="3319"/>
      <c r="G20" s="3319"/>
      <c r="H20" s="3319"/>
      <c r="I20" s="3320"/>
      <c r="J20" s="1692"/>
      <c r="K20" s="1772"/>
      <c r="L20" s="1721"/>
      <c r="M20" s="1721"/>
      <c r="N20" s="1692"/>
      <c r="O20" s="1693"/>
      <c r="P20" s="1692"/>
      <c r="Q20" s="1692"/>
      <c r="R20" s="1692"/>
      <c r="S20" s="1692"/>
      <c r="T20" s="1692"/>
      <c r="U20" s="1692"/>
    </row>
    <row r="21" spans="1:21">
      <c r="A21" s="1761" t="s">
        <v>1957</v>
      </c>
      <c r="B21" s="1762" t="s">
        <v>1958</v>
      </c>
      <c r="C21" s="1757">
        <f>'数据-汇总表'!E3</f>
        <v>252351.54</v>
      </c>
      <c r="D21" s="1758" t="s">
        <v>1959</v>
      </c>
      <c r="E21" s="3308"/>
      <c r="F21" s="3309"/>
      <c r="G21" s="3309"/>
      <c r="H21" s="3309"/>
      <c r="I21" s="3310"/>
      <c r="J21" s="1692"/>
      <c r="K21" s="1772"/>
      <c r="L21" s="1721"/>
      <c r="M21" s="1721"/>
      <c r="N21" s="1692"/>
      <c r="O21" s="1693"/>
      <c r="P21" s="1692"/>
      <c r="Q21" s="1692"/>
      <c r="R21" s="1692"/>
      <c r="S21" s="1692"/>
      <c r="T21" s="1692"/>
      <c r="U21" s="1692"/>
    </row>
    <row r="22" spans="1:21">
      <c r="A22" s="3116" t="s">
        <v>950</v>
      </c>
      <c r="B22" s="1660" t="s">
        <v>1960</v>
      </c>
      <c r="C22" s="1684">
        <f>'数据-汇总表'!D3</f>
        <v>73464.09</v>
      </c>
      <c r="D22" s="1685" t="s">
        <v>1959</v>
      </c>
      <c r="E22" s="3308"/>
      <c r="F22" s="3309"/>
      <c r="G22" s="3309"/>
      <c r="H22" s="3309"/>
      <c r="I22" s="3310"/>
      <c r="J22" s="1692"/>
      <c r="K22" s="1772"/>
      <c r="L22" s="1721"/>
      <c r="M22" s="1721"/>
      <c r="N22" s="1692"/>
      <c r="O22" s="1693"/>
      <c r="P22" s="1692"/>
      <c r="Q22" s="1692"/>
      <c r="R22" s="1692"/>
      <c r="S22" s="1692"/>
      <c r="T22" s="1692"/>
      <c r="U22" s="1692"/>
    </row>
    <row r="23" spans="1:21" ht="43.5" thickBot="1">
      <c r="A23" s="1763" t="s">
        <v>1961</v>
      </c>
      <c r="B23" s="1699" t="s">
        <v>1962</v>
      </c>
      <c r="C23" s="1700" t="s">
        <v>950</v>
      </c>
      <c r="D23" s="1701" t="s">
        <v>1963</v>
      </c>
      <c r="E23" s="1702" t="s">
        <v>950</v>
      </c>
      <c r="F23" s="1703" t="str">
        <f>IF(AND(C23="是",E23="否"),"是否提供他项权证或相关说明","")</f>
        <v/>
      </c>
      <c r="G23" s="1704" t="s">
        <v>950</v>
      </c>
      <c r="H23" s="1692"/>
      <c r="I23" s="1705"/>
      <c r="J23" s="1692"/>
      <c r="K23" s="1772"/>
      <c r="L23" s="1721"/>
      <c r="M23" s="1721"/>
      <c r="N23" s="1692"/>
      <c r="O23" s="1693"/>
      <c r="P23" s="1692"/>
      <c r="Q23" s="1692"/>
      <c r="R23" s="1692"/>
      <c r="S23" s="1692"/>
      <c r="T23" s="1692"/>
      <c r="U23" s="1692"/>
    </row>
    <row r="24" spans="1:21">
      <c r="A24" s="1748" t="s">
        <v>1964</v>
      </c>
      <c r="B24" s="3311" t="s">
        <v>1965</v>
      </c>
      <c r="C24" s="3312"/>
      <c r="D24" s="3313" t="s">
        <v>1966</v>
      </c>
      <c r="E24" s="3314"/>
      <c r="F24" s="1706" t="s">
        <v>1967</v>
      </c>
      <c r="G24" s="1692"/>
      <c r="H24" s="1692"/>
      <c r="I24" s="1705"/>
      <c r="J24" s="1692"/>
      <c r="K24" s="3299" t="s">
        <v>1968</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2323</v>
      </c>
      <c r="C25" s="1707" t="s">
        <v>1969</v>
      </c>
      <c r="D25" s="1708"/>
      <c r="E25" s="1709" t="s">
        <v>950</v>
      </c>
      <c r="F25" s="1710"/>
      <c r="G25" s="1692"/>
      <c r="H25" s="1692"/>
      <c r="I25" s="1705"/>
      <c r="J25" s="1692"/>
      <c r="K25" s="3299"/>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1970</v>
      </c>
      <c r="C26" s="1707" t="s">
        <v>2324</v>
      </c>
      <c r="D26" s="1659"/>
      <c r="E26" s="1659"/>
      <c r="F26" s="1686"/>
      <c r="G26" s="1692"/>
      <c r="H26" s="1692"/>
      <c r="I26" s="1705"/>
      <c r="J26" s="1692"/>
      <c r="K26" s="3299"/>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1"/>
      <c r="N26" s="1692"/>
      <c r="O26" s="1693"/>
      <c r="P26" s="1692"/>
      <c r="Q26" s="1692"/>
      <c r="R26" s="1692"/>
      <c r="S26" s="1692"/>
      <c r="T26" s="1692"/>
      <c r="U26" s="1692"/>
    </row>
    <row r="27" spans="1:21">
      <c r="A27" s="1753" t="s">
        <v>1971</v>
      </c>
      <c r="B27" s="1751" t="s">
        <v>1972</v>
      </c>
      <c r="C27" s="1711"/>
      <c r="D27" s="2629" t="s">
        <v>1972</v>
      </c>
      <c r="E27" s="1712"/>
      <c r="F27" s="1686"/>
      <c r="G27" s="1692"/>
      <c r="H27" s="1692"/>
      <c r="I27" s="1705"/>
      <c r="J27" s="1692"/>
      <c r="K27" s="1772"/>
      <c r="L27" s="1721"/>
      <c r="M27" s="1721"/>
      <c r="N27" s="1692"/>
      <c r="O27" s="1693"/>
      <c r="P27" s="1692"/>
      <c r="Q27" s="1692"/>
      <c r="R27" s="1692"/>
      <c r="S27" s="1692"/>
      <c r="T27" s="1692"/>
      <c r="U27" s="1692"/>
    </row>
    <row r="28" spans="1:21">
      <c r="A28" s="1754"/>
      <c r="B28" s="1751" t="s">
        <v>1973</v>
      </c>
      <c r="C28" s="1713"/>
      <c r="D28" s="2630" t="s">
        <v>1973</v>
      </c>
      <c r="E28" s="1714"/>
      <c r="F28" s="1686"/>
      <c r="G28" s="1692"/>
      <c r="H28" s="1692"/>
      <c r="I28" s="1705"/>
      <c r="J28" s="1692"/>
      <c r="K28" s="1772"/>
      <c r="L28" s="1721"/>
      <c r="M28" s="1721"/>
      <c r="N28" s="1692"/>
      <c r="O28" s="1693"/>
      <c r="P28" s="1692"/>
      <c r="Q28" s="1692"/>
      <c r="R28" s="1692"/>
      <c r="S28" s="1692"/>
      <c r="T28" s="1692"/>
      <c r="U28" s="1692"/>
    </row>
    <row r="29" spans="1:21">
      <c r="A29" s="1754"/>
      <c r="B29" s="1751" t="s">
        <v>1974</v>
      </c>
      <c r="C29" s="1713"/>
      <c r="D29" s="2630" t="s">
        <v>1974</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1975</v>
      </c>
      <c r="C30" s="1715"/>
      <c r="D30" s="2631" t="s">
        <v>1975</v>
      </c>
      <c r="E30" s="1716"/>
      <c r="F30" s="1687"/>
      <c r="G30" s="1740"/>
      <c r="H30" s="1740"/>
      <c r="I30" s="1741"/>
      <c r="J30" s="1692"/>
      <c r="K30" s="1772"/>
      <c r="L30" s="1721"/>
      <c r="M30" s="1721"/>
      <c r="N30" s="1692"/>
      <c r="O30" s="1693"/>
      <c r="P30" s="1692"/>
      <c r="Q30" s="1692"/>
      <c r="R30" s="1692"/>
      <c r="S30" s="1692"/>
      <c r="T30" s="1692"/>
      <c r="U30" s="1692"/>
    </row>
    <row r="31" spans="1:21" ht="15" thickTop="1">
      <c r="A31" s="3285" t="s">
        <v>1999</v>
      </c>
      <c r="B31" s="1762" t="s">
        <v>2000</v>
      </c>
      <c r="C31" s="3327" t="s">
        <v>3133</v>
      </c>
      <c r="D31" s="3328"/>
      <c r="E31" s="1692"/>
      <c r="F31" s="1692"/>
      <c r="G31" s="1692"/>
      <c r="H31" s="1692"/>
      <c r="I31" s="1705"/>
      <c r="J31" s="1692"/>
      <c r="K31" s="2436"/>
      <c r="L31" s="1692"/>
      <c r="M31" s="1692"/>
      <c r="N31" s="1692"/>
      <c r="O31" s="1692"/>
      <c r="P31" s="1692"/>
      <c r="Q31" s="1692"/>
      <c r="R31" s="1692"/>
      <c r="S31" s="1692"/>
      <c r="T31" s="1692"/>
      <c r="U31" s="1692"/>
    </row>
    <row r="32" spans="1:21">
      <c r="A32" s="3285"/>
      <c r="B32" s="1660" t="s">
        <v>2001</v>
      </c>
      <c r="C32" s="1717" t="s">
        <v>3134</v>
      </c>
      <c r="D32" s="1718"/>
      <c r="E32" s="1692"/>
      <c r="F32" s="1692"/>
      <c r="G32" s="1692"/>
      <c r="H32" s="1692"/>
      <c r="I32" s="1705"/>
      <c r="J32" s="1692"/>
      <c r="K32" s="2436"/>
      <c r="L32" s="1692"/>
      <c r="M32" s="1692"/>
      <c r="N32" s="1692"/>
      <c r="O32" s="1692"/>
      <c r="P32" s="1692"/>
      <c r="Q32" s="1692"/>
      <c r="R32" s="1692"/>
      <c r="S32" s="1692"/>
      <c r="T32" s="1692"/>
      <c r="U32" s="1692"/>
    </row>
    <row r="33" spans="1:21">
      <c r="A33" s="3285"/>
      <c r="B33" s="1660" t="s">
        <v>2002</v>
      </c>
      <c r="C33" s="1719" t="s">
        <v>3135</v>
      </c>
      <c r="D33" s="1836"/>
      <c r="E33" s="1692"/>
      <c r="F33" s="1692"/>
      <c r="G33" s="1692"/>
      <c r="H33" s="1692"/>
      <c r="I33" s="1705"/>
      <c r="J33" s="1692"/>
      <c r="K33" s="2436"/>
      <c r="L33" s="1692"/>
      <c r="M33" s="1692"/>
      <c r="N33" s="1692"/>
      <c r="O33" s="1692"/>
      <c r="P33" s="1692"/>
      <c r="Q33" s="1692"/>
      <c r="R33" s="1692"/>
      <c r="S33" s="1692"/>
      <c r="T33" s="1692"/>
      <c r="U33" s="1692"/>
    </row>
    <row r="34" spans="1:21">
      <c r="A34" s="3286"/>
      <c r="B34" s="1660" t="s">
        <v>2003</v>
      </c>
      <c r="C34" s="3287"/>
      <c r="D34" s="3288"/>
      <c r="E34" s="1692"/>
      <c r="F34" s="1692"/>
      <c r="G34" s="1692"/>
      <c r="H34" s="1692"/>
      <c r="I34" s="1705"/>
      <c r="J34" s="1692"/>
      <c r="K34" s="2436"/>
      <c r="L34" s="1692"/>
      <c r="M34" s="1692"/>
      <c r="N34" s="1692"/>
      <c r="O34" s="1692"/>
      <c r="P34" s="1692"/>
      <c r="Q34" s="1692"/>
      <c r="R34" s="1692"/>
      <c r="S34" s="1692"/>
      <c r="T34" s="1692"/>
      <c r="U34" s="1692"/>
    </row>
    <row r="35" spans="1:21">
      <c r="A35" s="3289" t="s">
        <v>845</v>
      </c>
      <c r="B35" s="1720" t="s">
        <v>3136</v>
      </c>
      <c r="C35" s="1774" t="str">
        <f>IF(B35="场地平整","——","具体情况：")</f>
        <v>——</v>
      </c>
      <c r="D35" s="3291"/>
      <c r="E35" s="3292"/>
      <c r="F35" s="3292"/>
      <c r="G35" s="3292"/>
      <c r="H35" s="3292"/>
      <c r="I35" s="3293"/>
      <c r="J35" s="1692"/>
      <c r="K35" s="1773"/>
      <c r="L35" s="1721"/>
      <c r="M35" s="1721"/>
      <c r="N35" s="1692"/>
      <c r="O35" s="1693"/>
      <c r="P35" s="1692"/>
      <c r="Q35" s="1692"/>
      <c r="R35" s="1692"/>
      <c r="S35" s="1692"/>
      <c r="T35" s="1692"/>
      <c r="U35" s="1692"/>
    </row>
    <row r="36" spans="1:21">
      <c r="A36" s="3285"/>
      <c r="B36" s="3294" t="s">
        <v>2052</v>
      </c>
      <c r="C36" s="3295"/>
      <c r="D36" s="1790" t="s">
        <v>3137</v>
      </c>
      <c r="E36" s="3296"/>
      <c r="F36" s="3296"/>
      <c r="G36" s="1685" t="str">
        <f>IF(B35="场地未平整","估价结果处理","")</f>
        <v/>
      </c>
      <c r="H36" s="3297"/>
      <c r="I36" s="3297"/>
      <c r="J36" s="1692"/>
      <c r="K36" s="1773"/>
      <c r="L36" s="1721"/>
      <c r="M36" s="1721"/>
      <c r="N36" s="1692"/>
      <c r="O36" s="1693"/>
      <c r="P36" s="1692"/>
      <c r="Q36" s="1692"/>
      <c r="R36" s="1692"/>
      <c r="S36" s="1692"/>
      <c r="T36" s="1692"/>
      <c r="U36" s="1692"/>
    </row>
    <row r="37" spans="1:21" ht="28.5">
      <c r="A37" s="3285"/>
      <c r="B37" s="3315" t="s">
        <v>846</v>
      </c>
      <c r="C37" s="1722" t="s">
        <v>847</v>
      </c>
      <c r="D37" s="1723"/>
      <c r="E37" s="1724"/>
      <c r="F37" s="1692"/>
      <c r="G37" s="1692"/>
      <c r="H37" s="1692"/>
      <c r="I37" s="1705"/>
      <c r="J37" s="1692"/>
      <c r="K37" s="1773"/>
      <c r="L37" s="1692"/>
      <c r="M37" s="1692"/>
      <c r="N37" s="1692"/>
      <c r="O37" s="1692"/>
      <c r="P37" s="1692"/>
      <c r="Q37" s="1692"/>
      <c r="R37" s="1692"/>
      <c r="S37" s="1692"/>
      <c r="T37" s="1692"/>
      <c r="U37" s="1692"/>
    </row>
    <row r="38" spans="1:21">
      <c r="A38" s="3285"/>
      <c r="B38" s="3316"/>
      <c r="C38" s="1668" t="s">
        <v>848</v>
      </c>
      <c r="D38" s="1789">
        <f>ROUNDDOWN(MIN(('数据-取费表'!$B$2-D37)/365,D34),1)</f>
        <v>119.2</v>
      </c>
      <c r="E38" s="1725" t="s">
        <v>849</v>
      </c>
      <c r="F38" s="1692"/>
      <c r="G38" s="1692"/>
      <c r="H38" s="1692"/>
      <c r="I38" s="1705"/>
      <c r="J38" s="1692"/>
      <c r="K38" s="1773"/>
      <c r="L38" s="1692"/>
      <c r="M38" s="1692"/>
      <c r="N38" s="1692"/>
      <c r="O38" s="1692"/>
      <c r="P38" s="1692"/>
      <c r="Q38" s="1692"/>
      <c r="R38" s="1692"/>
      <c r="S38" s="1692"/>
      <c r="T38" s="1692"/>
      <c r="U38" s="1692"/>
    </row>
    <row r="39" spans="1:21">
      <c r="A39" s="3286"/>
      <c r="B39" s="331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1976</v>
      </c>
      <c r="B40" s="1688" t="s">
        <v>3138</v>
      </c>
      <c r="C40" s="1688" t="s">
        <v>3139</v>
      </c>
      <c r="D40" s="1688" t="s">
        <v>3140</v>
      </c>
      <c r="E40" s="1688"/>
      <c r="F40" s="1688"/>
      <c r="G40" s="1688"/>
      <c r="H40" s="1688"/>
      <c r="I40" s="1705"/>
      <c r="J40" s="1692"/>
      <c r="K40" s="1728">
        <f>COUNTIF(B40:H40,"——")</f>
        <v>0</v>
      </c>
      <c r="L40" s="1697" t="s">
        <v>1977</v>
      </c>
      <c r="M40" s="1694" t="s">
        <v>1978</v>
      </c>
      <c r="N40" s="1694" t="s">
        <v>1979</v>
      </c>
      <c r="O40" s="1694" t="s">
        <v>1980</v>
      </c>
      <c r="P40" s="1694" t="s">
        <v>1981</v>
      </c>
      <c r="Q40" s="1694" t="s">
        <v>1982</v>
      </c>
      <c r="R40" s="1694" t="s">
        <v>1983</v>
      </c>
      <c r="S40" s="3298" t="s">
        <v>1984</v>
      </c>
      <c r="T40" s="1729" t="str">
        <f>NUMBERSTRING(7-K40,1)&amp;"通"</f>
        <v>七通</v>
      </c>
      <c r="U40" s="1692"/>
    </row>
    <row r="41" spans="1:21" ht="28.5">
      <c r="A41" s="1662"/>
      <c r="B41" s="3290" t="s">
        <v>1720</v>
      </c>
      <c r="C41" s="3290"/>
      <c r="D41" s="3290"/>
      <c r="E41" s="3290"/>
      <c r="F41" s="1730" t="str">
        <f>C10</f>
        <v>四川省成都市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98"/>
      <c r="T41" s="1731" t="str">
        <f>IF(T40="一通",L41,IF(T40="二通",M41,IF(T40="三通",N41,IF(T40="四通",O41,IF(T40="五通",P41,IF(T40="六通",Q41,R41))))))</f>
        <v>通路、通电、通上水、、、、</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2886</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2004</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2005</v>
      </c>
      <c r="B48" s="1684" t="s">
        <v>2006</v>
      </c>
      <c r="C48" s="1684" t="s">
        <v>2007</v>
      </c>
      <c r="D48" s="1684" t="s">
        <v>2008</v>
      </c>
      <c r="E48" s="1684" t="s">
        <v>2009</v>
      </c>
      <c r="F48" s="1684" t="s">
        <v>2010</v>
      </c>
      <c r="G48" s="1684" t="s">
        <v>2011</v>
      </c>
      <c r="H48" s="1684" t="s">
        <v>2012</v>
      </c>
      <c r="I48" s="1684" t="s">
        <v>2013</v>
      </c>
      <c r="J48" s="1770" t="s">
        <v>2014</v>
      </c>
      <c r="K48" s="1764" t="s">
        <v>2015</v>
      </c>
      <c r="L48" s="1764" t="s">
        <v>2016</v>
      </c>
      <c r="M48" s="1764" t="s">
        <v>2017</v>
      </c>
      <c r="N48" s="1684" t="s">
        <v>2018</v>
      </c>
      <c r="O48" s="1684" t="s">
        <v>2019</v>
      </c>
      <c r="P48" s="1684" t="s">
        <v>2020</v>
      </c>
      <c r="Q48" s="1697" t="s">
        <v>2021</v>
      </c>
      <c r="R48" s="1697" t="s">
        <v>2022</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V13" activePane="bottomRight" state="frozen"/>
      <selection pane="topRight" activeCell="E1" sqref="E1"/>
      <selection pane="bottomLeft" activeCell="A12" sqref="A12"/>
      <selection pane="bottomRight" activeCell="AK19" sqref="A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2331</v>
      </c>
      <c r="BA2" s="2339"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信息!D21</f>
        <v>73464.09</v>
      </c>
      <c r="B3" s="22">
        <f>IF(C3="否",G5-AT5,G5)</f>
        <v>252351.54</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252351.54</v>
      </c>
      <c r="H5" s="27">
        <f t="shared" ref="H5:AT5" si="0">SUM(H13:H641)</f>
        <v>244884.39</v>
      </c>
      <c r="I5" s="27">
        <f t="shared" si="0"/>
        <v>96961.26</v>
      </c>
      <c r="J5" s="27">
        <f t="shared" si="0"/>
        <v>0</v>
      </c>
      <c r="K5" s="27">
        <f t="shared" si="0"/>
        <v>78732</v>
      </c>
      <c r="L5" s="27">
        <f t="shared" si="0"/>
        <v>0</v>
      </c>
      <c r="M5" s="27">
        <f t="shared" si="0"/>
        <v>69191.13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7467.1500000000005</v>
      </c>
      <c r="AD5" s="27">
        <f t="shared" si="0"/>
        <v>0</v>
      </c>
      <c r="AE5" s="27">
        <f t="shared" si="0"/>
        <v>0</v>
      </c>
      <c r="AF5" s="27">
        <f t="shared" si="0"/>
        <v>0</v>
      </c>
      <c r="AG5" s="27">
        <f t="shared" si="0"/>
        <v>0</v>
      </c>
      <c r="AH5" s="27">
        <f t="shared" si="0"/>
        <v>400</v>
      </c>
      <c r="AI5" s="27">
        <f t="shared" si="0"/>
        <v>0</v>
      </c>
      <c r="AJ5" s="27">
        <f t="shared" si="0"/>
        <v>400</v>
      </c>
      <c r="AK5" s="27">
        <f t="shared" si="0"/>
        <v>0</v>
      </c>
      <c r="AL5" s="27">
        <f t="shared" si="0"/>
        <v>220.55</v>
      </c>
      <c r="AM5" s="27">
        <f t="shared" si="0"/>
        <v>0</v>
      </c>
      <c r="AN5" s="27">
        <f t="shared" si="0"/>
        <v>6446.6</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252351.54</v>
      </c>
      <c r="BA5" s="29">
        <f t="shared" si="1"/>
        <v>244884.39</v>
      </c>
      <c r="BB5" s="29">
        <f t="shared" si="1"/>
        <v>96961.26</v>
      </c>
      <c r="BC5" s="29">
        <f t="shared" si="1"/>
        <v>78732</v>
      </c>
      <c r="BD5" s="29">
        <f t="shared" si="1"/>
        <v>69191.13</v>
      </c>
      <c r="BE5" s="29">
        <f t="shared" si="1"/>
        <v>0</v>
      </c>
      <c r="BF5" s="29">
        <f t="shared" si="1"/>
        <v>0</v>
      </c>
      <c r="BG5" s="29">
        <f t="shared" si="1"/>
        <v>0</v>
      </c>
      <c r="BH5" s="29">
        <f t="shared" si="1"/>
        <v>0</v>
      </c>
      <c r="BI5" s="29">
        <f t="shared" si="1"/>
        <v>0</v>
      </c>
      <c r="BJ5" s="29">
        <f t="shared" si="1"/>
        <v>0</v>
      </c>
      <c r="BK5" s="29">
        <f t="shared" si="1"/>
        <v>0</v>
      </c>
      <c r="BL5" s="29">
        <f t="shared" si="1"/>
        <v>7467.1500000000005</v>
      </c>
      <c r="BM5" s="29">
        <f t="shared" si="1"/>
        <v>0</v>
      </c>
      <c r="BN5" s="29">
        <f t="shared" si="1"/>
        <v>0</v>
      </c>
      <c r="BO5" s="29">
        <f t="shared" si="1"/>
        <v>400</v>
      </c>
      <c r="BP5" s="29">
        <f t="shared" si="1"/>
        <v>400</v>
      </c>
      <c r="BQ5" s="29">
        <f t="shared" si="1"/>
        <v>220.55</v>
      </c>
      <c r="BR5" s="29">
        <f t="shared" si="1"/>
        <v>6446.6</v>
      </c>
      <c r="BS5" s="29">
        <f t="shared" si="1"/>
        <v>0</v>
      </c>
      <c r="BT5" s="30">
        <f t="shared" si="1"/>
        <v>0</v>
      </c>
    </row>
    <row r="6" spans="1:72" s="37" customFormat="1" ht="12.75">
      <c r="A6" s="26" t="s">
        <v>169</v>
      </c>
      <c r="B6" s="31"/>
      <c r="C6" s="31"/>
      <c r="D6" s="32"/>
      <c r="E6" s="27">
        <f>H6+AC6+AT6</f>
        <v>73464.099999999991</v>
      </c>
      <c r="F6" s="27" t="s">
        <v>1</v>
      </c>
      <c r="G6" s="27" t="s">
        <v>2</v>
      </c>
      <c r="H6" s="33">
        <f>SUMIF(I$12:AB$12,"总值",I6:AB6)</f>
        <v>71290.26999999999</v>
      </c>
      <c r="I6" s="27">
        <f t="shared" ref="I6:AB6" si="2">ROUND($A$3*I5/$B$3,2)</f>
        <v>28227.17</v>
      </c>
      <c r="J6" s="27">
        <f t="shared" si="2"/>
        <v>0</v>
      </c>
      <c r="K6" s="27">
        <f t="shared" si="2"/>
        <v>22920.31</v>
      </c>
      <c r="L6" s="27">
        <f t="shared" si="2"/>
        <v>0</v>
      </c>
      <c r="M6" s="27">
        <f t="shared" si="2"/>
        <v>20142.79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2173.83</v>
      </c>
      <c r="AD6" s="27">
        <f t="shared" ref="AD6:AS6" si="3">ROUND($A$3*AD5/$B$3,2)</f>
        <v>0</v>
      </c>
      <c r="AE6" s="27">
        <f t="shared" si="3"/>
        <v>0</v>
      </c>
      <c r="AF6" s="27">
        <f t="shared" si="3"/>
        <v>0</v>
      </c>
      <c r="AG6" s="27">
        <f t="shared" si="3"/>
        <v>0</v>
      </c>
      <c r="AH6" s="27">
        <f t="shared" si="3"/>
        <v>116.45</v>
      </c>
      <c r="AI6" s="27">
        <f t="shared" si="3"/>
        <v>0</v>
      </c>
      <c r="AJ6" s="27">
        <f t="shared" si="3"/>
        <v>116.45</v>
      </c>
      <c r="AK6" s="27">
        <f t="shared" si="3"/>
        <v>0</v>
      </c>
      <c r="AL6" s="27">
        <f t="shared" si="3"/>
        <v>64.209999999999994</v>
      </c>
      <c r="AM6" s="27">
        <f t="shared" si="3"/>
        <v>0</v>
      </c>
      <c r="AN6" s="27">
        <f t="shared" si="3"/>
        <v>1876.72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73464.09</v>
      </c>
      <c r="AZ6" s="27" t="s">
        <v>3</v>
      </c>
      <c r="BA6" s="27">
        <f>ROUND($AY$6*BA5/$AZ$5,2)</f>
        <v>71290.27</v>
      </c>
      <c r="BB6" s="27">
        <f>ROUND($AY$6*BB5/$AZ$5,2)</f>
        <v>28227.17</v>
      </c>
      <c r="BC6" s="27">
        <f t="shared" ref="BC6:BH6" si="4">ROUND($AY$6*BC5/$AZ$5,2)</f>
        <v>22920.31</v>
      </c>
      <c r="BD6" s="27">
        <f t="shared" si="4"/>
        <v>20142.79</v>
      </c>
      <c r="BE6" s="27">
        <f t="shared" si="4"/>
        <v>0</v>
      </c>
      <c r="BF6" s="27">
        <f t="shared" si="4"/>
        <v>0</v>
      </c>
      <c r="BG6" s="27">
        <f t="shared" si="4"/>
        <v>0</v>
      </c>
      <c r="BH6" s="27">
        <f t="shared" si="4"/>
        <v>0</v>
      </c>
      <c r="BI6" s="27">
        <f t="shared" ref="BI6:BT6" si="5">ROUND($AY$6*BI5/$AZ$5,2)</f>
        <v>0</v>
      </c>
      <c r="BJ6" s="27">
        <f t="shared" si="5"/>
        <v>0</v>
      </c>
      <c r="BK6" s="27">
        <f t="shared" si="5"/>
        <v>0</v>
      </c>
      <c r="BL6" s="27">
        <f t="shared" si="5"/>
        <v>2173.8200000000002</v>
      </c>
      <c r="BM6" s="27">
        <f t="shared" si="5"/>
        <v>0</v>
      </c>
      <c r="BN6" s="27">
        <f t="shared" si="5"/>
        <v>0</v>
      </c>
      <c r="BO6" s="27">
        <f t="shared" si="5"/>
        <v>116.45</v>
      </c>
      <c r="BP6" s="27">
        <f t="shared" si="5"/>
        <v>116.45</v>
      </c>
      <c r="BQ6" s="27">
        <f t="shared" si="5"/>
        <v>64.209999999999994</v>
      </c>
      <c r="BR6" s="27">
        <f t="shared" si="5"/>
        <v>1876.72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3099</v>
      </c>
      <c r="J9" s="51"/>
      <c r="K9" s="2993" t="s">
        <v>3099</v>
      </c>
      <c r="L9" s="51"/>
      <c r="M9" s="2993" t="s">
        <v>3100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921</v>
      </c>
      <c r="J10" s="51"/>
      <c r="K10" s="2995" t="s">
        <v>921</v>
      </c>
      <c r="L10" s="51"/>
      <c r="M10" s="2995" t="s">
        <v>3132</v>
      </c>
      <c r="N10" s="51"/>
      <c r="O10" s="66"/>
      <c r="P10" s="51"/>
      <c r="Q10" s="66"/>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3141</v>
      </c>
      <c r="J11" s="71"/>
      <c r="K11" s="2994" t="s">
        <v>3090</v>
      </c>
      <c r="L11" s="71"/>
      <c r="M11" s="70" t="s">
        <v>3132</v>
      </c>
      <c r="N11" s="71"/>
      <c r="O11" s="70"/>
      <c r="P11" s="71"/>
      <c r="Q11" s="70"/>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洋房</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1677</v>
      </c>
      <c r="E13" s="27">
        <f t="shared" ref="E13:E20" si="6">IF($C$3="是",ROUND($A$3*G13/$B$3,2),ROUND($A$3*(G13-AT13)/$B$3,2))</f>
        <v>73464.09</v>
      </c>
      <c r="F13" s="81"/>
      <c r="G13" s="82">
        <f t="shared" ref="G13:G20" si="7">H13+AC13+AT13</f>
        <v>252351.54</v>
      </c>
      <c r="H13" s="33">
        <f t="shared" ref="H13:H20" si="8">SUMIF(I$12:AB$12,"总值",I13:AB13)</f>
        <v>244884.39</v>
      </c>
      <c r="I13" s="2992">
        <f>数据!G9</f>
        <v>96961.26</v>
      </c>
      <c r="J13" s="2992"/>
      <c r="K13" s="2992">
        <f>数据!G10</f>
        <v>78732</v>
      </c>
      <c r="L13" s="2992"/>
      <c r="M13" s="2992">
        <f>数据!G31</f>
        <v>69191.13</v>
      </c>
      <c r="N13" s="83"/>
      <c r="O13" s="83"/>
      <c r="P13" s="83"/>
      <c r="Q13" s="83"/>
      <c r="R13" s="83"/>
      <c r="S13" s="83"/>
      <c r="T13" s="83"/>
      <c r="U13" s="83"/>
      <c r="V13" s="83"/>
      <c r="W13" s="83"/>
      <c r="X13" s="83"/>
      <c r="Y13" s="83"/>
      <c r="Z13" s="83"/>
      <c r="AA13" s="83"/>
      <c r="AB13" s="83"/>
      <c r="AC13" s="27">
        <f t="shared" ref="AC13:AC20" si="9">SUMIF(AD$12:AS$12,"总值",AD13:AS13)</f>
        <v>7467.1500000000005</v>
      </c>
      <c r="AD13" s="2996"/>
      <c r="AE13" s="2996"/>
      <c r="AF13" s="2996"/>
      <c r="AG13" s="2996"/>
      <c r="AH13" s="2996">
        <f>数据!G15</f>
        <v>400</v>
      </c>
      <c r="AI13" s="2996"/>
      <c r="AJ13" s="2996">
        <f>数据!G32</f>
        <v>400</v>
      </c>
      <c r="AK13" s="2996"/>
      <c r="AL13" s="2996">
        <f>数据!G16+数据!G19</f>
        <v>220.55</v>
      </c>
      <c r="AM13" s="2996"/>
      <c r="AN13" s="2996">
        <f>数据!G33+数据!G34</f>
        <v>6446.6</v>
      </c>
      <c r="AO13" s="2996"/>
      <c r="AP13" s="2996"/>
      <c r="AQ13" s="2996"/>
      <c r="AR13" s="2996"/>
      <c r="AS13" s="2996"/>
      <c r="AT13" s="2997"/>
      <c r="AU13" s="2998"/>
      <c r="AV13" s="17">
        <f t="shared" ref="AV13:AX20" si="10">A13</f>
        <v>0</v>
      </c>
      <c r="AW13" s="17">
        <f t="shared" si="10"/>
        <v>0</v>
      </c>
      <c r="AX13" s="17">
        <f t="shared" si="10"/>
        <v>0</v>
      </c>
      <c r="AY13" s="996">
        <f t="shared" ref="AY13:AY20" si="11">ROUND($AY$6*AZ13/$AZ$5,2)</f>
        <v>73464.09</v>
      </c>
      <c r="AZ13" s="27">
        <f t="shared" ref="AZ13:AZ20" si="12">BA13+BL13</f>
        <v>252351.54</v>
      </c>
      <c r="BA13" s="27">
        <f t="shared" ref="BA13:BA20" si="13">SUM(BB13:BK13)</f>
        <v>244884.39</v>
      </c>
      <c r="BB13" s="27">
        <f t="shared" ref="BB13:BB20" si="14">IF($D13="是",I13-J13,0)</f>
        <v>96961.26</v>
      </c>
      <c r="BC13" s="27">
        <f t="shared" ref="BC13:BC20" si="15">IF($D13="是",K13-L13,0)</f>
        <v>78732</v>
      </c>
      <c r="BD13" s="27">
        <f t="shared" ref="BD13:BD20" si="16">IF($D13="是",M13-N13,0)</f>
        <v>69191.13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7467.1500000000005</v>
      </c>
      <c r="BM13" s="27">
        <f t="shared" ref="BM13:BM20" si="25">IF($D13="是",AD13-AE13,0)</f>
        <v>0</v>
      </c>
      <c r="BN13" s="27">
        <f t="shared" ref="BN13:BN20" si="26">IF($D13="是",AF13-AG13,0)</f>
        <v>0</v>
      </c>
      <c r="BO13" s="27">
        <f t="shared" ref="BO13:BO20" si="27">IF($D13="是",AH13-AI13,0)</f>
        <v>400</v>
      </c>
      <c r="BP13" s="27">
        <f t="shared" ref="BP13:BP20" si="28">IF($D13="是",AJ13-AK13,0)</f>
        <v>400</v>
      </c>
      <c r="BQ13" s="27">
        <f t="shared" ref="BQ13:BQ20" si="29">IF($D13="是",AL13-AM13,0)</f>
        <v>220.55</v>
      </c>
      <c r="BR13" s="27">
        <f t="shared" ref="BR13:BR20" si="30">IF($D13="是",AN13-AO13,0)</f>
        <v>6446.6</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9" t="s">
        <v>0</v>
      </c>
      <c r="B1" s="3329" t="s">
        <v>4</v>
      </c>
      <c r="C1" s="3329" t="s">
        <v>5</v>
      </c>
      <c r="D1" s="3330" t="s">
        <v>40</v>
      </c>
      <c r="E1" s="3330" t="s">
        <v>41</v>
      </c>
      <c r="F1" s="3330"/>
      <c r="G1" s="3330"/>
      <c r="H1" s="3330"/>
      <c r="I1" s="3330"/>
      <c r="J1" s="3330"/>
      <c r="K1" s="3330"/>
      <c r="L1" s="3330"/>
      <c r="M1" s="3330"/>
    </row>
    <row r="2" spans="1:13" ht="27" customHeight="1">
      <c r="A2" s="3329"/>
      <c r="B2" s="3329"/>
      <c r="C2" s="3329"/>
      <c r="D2" s="3330"/>
      <c r="E2" s="3330" t="s">
        <v>24</v>
      </c>
      <c r="F2" s="3330" t="s">
        <v>25</v>
      </c>
      <c r="G2" s="3330"/>
      <c r="H2" s="3330"/>
      <c r="I2" s="3330"/>
      <c r="J2" s="3330" t="s">
        <v>26</v>
      </c>
      <c r="K2" s="3330"/>
      <c r="L2" s="3330"/>
      <c r="M2" s="3330"/>
    </row>
    <row r="3" spans="1:13" ht="28.5">
      <c r="A3" s="3329"/>
      <c r="B3" s="3329"/>
      <c r="C3" s="3329"/>
      <c r="D3" s="3330"/>
      <c r="E3" s="333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0" t="s">
        <v>42</v>
      </c>
      <c r="B9" s="3330"/>
      <c r="C9" s="333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17" sqref="B17:G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40" t="s">
        <v>203</v>
      </c>
      <c r="B2" s="3340"/>
      <c r="C2" s="3340"/>
      <c r="D2" s="1974" t="s">
        <v>204</v>
      </c>
      <c r="E2" s="106" t="s">
        <v>205</v>
      </c>
      <c r="F2" s="1983"/>
      <c r="G2" s="1198"/>
      <c r="H2" s="1199"/>
      <c r="I2" s="1200" t="s">
        <v>855</v>
      </c>
      <c r="J2" s="1983"/>
      <c r="K2" s="1983"/>
      <c r="L2" s="1983"/>
    </row>
    <row r="3" spans="1:16" ht="15.75" thickBot="1">
      <c r="A3" s="3341" t="s">
        <v>206</v>
      </c>
      <c r="B3" s="3341"/>
      <c r="C3" s="3341"/>
      <c r="D3" s="107">
        <f>'数据-基础表'!AY6</f>
        <v>73464.09</v>
      </c>
      <c r="E3" s="107">
        <f>'数据-基础表'!AZ5</f>
        <v>252351.54</v>
      </c>
      <c r="F3" s="1983"/>
      <c r="G3" s="280" t="s">
        <v>856</v>
      </c>
      <c r="H3" s="275" t="s">
        <v>857</v>
      </c>
      <c r="I3" s="1975">
        <f>ROUND('数据-基础表'!B3/'数据-基础表'!A3,2)</f>
        <v>3.44</v>
      </c>
      <c r="J3" s="1983"/>
      <c r="K3" s="1983"/>
      <c r="L3" s="1983"/>
    </row>
    <row r="4" spans="1:16" ht="15">
      <c r="A4" s="3342"/>
      <c r="B4" s="3343"/>
      <c r="C4" s="3344"/>
      <c r="D4" s="108" t="s">
        <v>204</v>
      </c>
      <c r="E4" s="109" t="s">
        <v>205</v>
      </c>
      <c r="F4" s="1983"/>
      <c r="G4" s="1201"/>
      <c r="H4" s="275" t="s">
        <v>858</v>
      </c>
      <c r="I4" s="1975">
        <f>ROUND(SUMIF('数据-基础表'!I9:AS9,"地上",'数据-基础表'!I5:AS5)/'数据-基础表'!A3,2)</f>
        <v>2.4</v>
      </c>
      <c r="J4" s="1983"/>
      <c r="K4" s="1983"/>
      <c r="L4" s="1983"/>
    </row>
    <row r="5" spans="1:16">
      <c r="A5" s="110" t="s">
        <v>207</v>
      </c>
      <c r="B5" s="3345" t="s">
        <v>230</v>
      </c>
      <c r="C5" s="3345"/>
      <c r="D5" s="111">
        <f>ROUND($D$3*E5/$E$3,2)</f>
        <v>51147.48</v>
      </c>
      <c r="E5" s="112">
        <f>SUMIF('数据-基础表'!$11:$11,"住宅",'数据-基础表'!$5:$5)</f>
        <v>175693.26</v>
      </c>
      <c r="F5" s="1983"/>
      <c r="G5" s="280" t="s">
        <v>859</v>
      </c>
      <c r="H5" s="275" t="s">
        <v>857</v>
      </c>
      <c r="I5" s="1975">
        <f>ROUND(E31/D31,2)</f>
        <v>3.44</v>
      </c>
      <c r="J5" s="1983"/>
      <c r="K5" s="1983"/>
      <c r="L5" s="1983"/>
    </row>
    <row r="6" spans="1:16" ht="15" thickBot="1">
      <c r="A6" s="113"/>
      <c r="B6" s="3345" t="s">
        <v>208</v>
      </c>
      <c r="C6" s="3345"/>
      <c r="D6" s="111">
        <f>ROUND($D$3*E6/$E$3,2)</f>
        <v>22316.61</v>
      </c>
      <c r="E6" s="112">
        <f>E3-E5</f>
        <v>76658.28</v>
      </c>
      <c r="F6" s="1983"/>
      <c r="G6" s="1201"/>
      <c r="H6" s="275" t="s">
        <v>858</v>
      </c>
      <c r="I6" s="1975">
        <f>ROUND(F31/D31,2)</f>
        <v>2.4</v>
      </c>
      <c r="J6" s="1983"/>
      <c r="K6" s="1983"/>
      <c r="L6" s="1983"/>
    </row>
    <row r="7" spans="1:16" ht="15">
      <c r="A7" s="3337"/>
      <c r="B7" s="3338"/>
      <c r="C7" s="3339"/>
      <c r="D7" s="108" t="s">
        <v>204</v>
      </c>
      <c r="E7" s="114" t="s">
        <v>231</v>
      </c>
      <c r="F7" s="1983"/>
      <c r="G7" s="1156" t="s">
        <v>1644</v>
      </c>
      <c r="H7" s="1157"/>
      <c r="I7" s="1845"/>
      <c r="J7" s="1983"/>
      <c r="K7" s="1983"/>
      <c r="L7" s="1983"/>
    </row>
    <row r="8" spans="1:16">
      <c r="A8" s="110" t="s">
        <v>209</v>
      </c>
      <c r="B8" s="115" t="s">
        <v>210</v>
      </c>
      <c r="C8" s="111" t="s">
        <v>211</v>
      </c>
      <c r="D8" s="111">
        <f t="shared" ref="D8:D15" si="0">ROUND($D$3*E8/$E$3,2)</f>
        <v>51147.48</v>
      </c>
      <c r="E8" s="116">
        <f>SUMIF('数据-基础表'!BB10:BK10,"地上",'数据-基础表'!BB5:BK5)</f>
        <v>175693.26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116.45</v>
      </c>
      <c r="E11" s="116">
        <f>SUMPRODUCT(('数据-基础表'!BB10:BK10="地下")*('数据-基础表'!BB11:BK11="办公")*('数据-基础表'!BB5:BK5))+'数据-基础表'!AJ5</f>
        <v>400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2332</v>
      </c>
      <c r="D13" s="111">
        <f t="shared" si="0"/>
        <v>20142.79</v>
      </c>
      <c r="E13" s="116">
        <f>SUMPRODUCT(('数据-基础表'!BB10:BK10="地下")*('数据-基础表'!BB11:BK11="车库")*('数据-基础表'!BB5:BK5))</f>
        <v>69191.13</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71406.720000000001</v>
      </c>
      <c r="E16" s="120">
        <f>SUM(E8:E15)</f>
        <v>245284.39</v>
      </c>
      <c r="F16" s="1983"/>
      <c r="G16" s="1985"/>
      <c r="H16" s="968" t="s">
        <v>219</v>
      </c>
      <c r="I16" s="969"/>
      <c r="J16" s="1983"/>
      <c r="K16" s="3331" t="s">
        <v>2563</v>
      </c>
      <c r="L16" s="3332"/>
      <c r="M16" s="3332"/>
      <c r="N16" s="3332"/>
      <c r="O16" s="3332"/>
      <c r="P16" s="3333"/>
    </row>
    <row r="17" spans="1:19" ht="15">
      <c r="A17" s="121" t="s">
        <v>216</v>
      </c>
      <c r="B17" s="122" t="s">
        <v>217</v>
      </c>
      <c r="C17" s="2297" t="s">
        <v>2311</v>
      </c>
      <c r="D17" s="108" t="s">
        <v>204</v>
      </c>
      <c r="E17" s="124" t="s">
        <v>205</v>
      </c>
      <c r="F17" s="125"/>
      <c r="G17" s="1366"/>
      <c r="H17" s="970" t="s">
        <v>218</v>
      </c>
      <c r="I17" s="971" t="s">
        <v>2310</v>
      </c>
      <c r="J17" s="1983"/>
      <c r="K17" s="3334" t="s">
        <v>2564</v>
      </c>
      <c r="L17" s="3335"/>
      <c r="M17" s="3336"/>
      <c r="N17" s="3334" t="s">
        <v>2565</v>
      </c>
      <c r="O17" s="3335"/>
      <c r="P17" s="3336"/>
      <c r="R17" s="2298" t="s">
        <v>2309</v>
      </c>
      <c r="S17" s="144"/>
    </row>
    <row r="18" spans="1:19" ht="15">
      <c r="A18" s="117"/>
      <c r="B18" s="128"/>
      <c r="C18" s="129"/>
      <c r="D18" s="2620"/>
      <c r="E18" s="130" t="s">
        <v>220</v>
      </c>
      <c r="F18" s="131" t="s">
        <v>221</v>
      </c>
      <c r="G18" s="1367" t="s">
        <v>222</v>
      </c>
      <c r="H18" s="972" t="s">
        <v>223</v>
      </c>
      <c r="I18" s="973" t="s">
        <v>224</v>
      </c>
      <c r="J18" s="1983"/>
      <c r="K18" s="2583" t="s">
        <v>2566</v>
      </c>
      <c r="L18" s="2584" t="s">
        <v>2567</v>
      </c>
      <c r="M18" s="2585" t="s">
        <v>2568</v>
      </c>
      <c r="N18" s="2583" t="s">
        <v>2566</v>
      </c>
      <c r="O18" s="2584" t="s">
        <v>2567</v>
      </c>
      <c r="P18" s="2585" t="s">
        <v>2568</v>
      </c>
      <c r="R18" s="2299" t="s">
        <v>2307</v>
      </c>
      <c r="S18" s="2299" t="s">
        <v>2308</v>
      </c>
    </row>
    <row r="19" spans="1:19">
      <c r="A19" s="133"/>
      <c r="B19" s="115" t="s">
        <v>225</v>
      </c>
      <c r="C19" s="2999" t="s">
        <v>3143</v>
      </c>
      <c r="D19" s="111">
        <f t="shared" ref="D19:D26" si="1">ROUND($D$3*E19/$E$3,2)</f>
        <v>28227.17</v>
      </c>
      <c r="E19" s="134">
        <f t="shared" ref="E19:E26" si="2">SUM(F19:G19)</f>
        <v>96961.26</v>
      </c>
      <c r="F19" s="135">
        <f>'数据-基础表'!I13</f>
        <v>96961.26</v>
      </c>
      <c r="G19" s="1368"/>
      <c r="H19" s="974">
        <f>ROUND($D$3*I19/$E$3,2)</f>
        <v>897.03</v>
      </c>
      <c r="I19" s="116">
        <f>IF($I$17="自定义",P19,M19)</f>
        <v>3081.34</v>
      </c>
      <c r="J19" s="1983"/>
      <c r="K19" s="2586">
        <f t="shared" ref="K19:K26" si="3">ROUND(E$28*E19/E$27,2)</f>
        <v>2639.84</v>
      </c>
      <c r="L19" s="275">
        <f t="shared" ref="L19:L26" si="4">ROUND(IF(COUNTIF(C19,"*住宅*")&gt;0,E$29*E19/E$32,0),2)</f>
        <v>441.5</v>
      </c>
      <c r="M19" s="2587">
        <f>K19+L19</f>
        <v>3081.34</v>
      </c>
      <c r="N19" s="2588"/>
      <c r="O19" s="2589"/>
      <c r="P19" s="2590">
        <f>N19+O19</f>
        <v>0</v>
      </c>
      <c r="R19" s="275">
        <f t="shared" ref="R19:S26" si="5">D19+H19</f>
        <v>29124.199999999997</v>
      </c>
      <c r="S19" s="2300">
        <f t="shared" si="5"/>
        <v>100042.59999999999</v>
      </c>
    </row>
    <row r="20" spans="1:19">
      <c r="A20" s="138"/>
      <c r="B20" s="115" t="s">
        <v>226</v>
      </c>
      <c r="C20" s="2999" t="s">
        <v>3144</v>
      </c>
      <c r="D20" s="111">
        <f t="shared" si="1"/>
        <v>22920.31</v>
      </c>
      <c r="E20" s="134">
        <f t="shared" si="2"/>
        <v>78732</v>
      </c>
      <c r="F20" s="135">
        <f>'数据-基础表'!K13</f>
        <v>78732</v>
      </c>
      <c r="G20" s="1368"/>
      <c r="H20" s="974">
        <f t="shared" ref="H20:H26" si="6">ROUND($D$3*I20/$E$3,2)</f>
        <v>728.39</v>
      </c>
      <c r="I20" s="116">
        <f t="shared" ref="I20:I26" si="7">IF($I$17="自定义",P20,M20)</f>
        <v>2502.0300000000002</v>
      </c>
      <c r="J20" s="1983"/>
      <c r="K20" s="2586">
        <f t="shared" si="3"/>
        <v>2143.5300000000002</v>
      </c>
      <c r="L20" s="275">
        <f t="shared" si="4"/>
        <v>358.5</v>
      </c>
      <c r="M20" s="2587">
        <f t="shared" ref="M20:M26" si="8">K20+L20</f>
        <v>2502.0300000000002</v>
      </c>
      <c r="N20" s="2588"/>
      <c r="O20" s="2589"/>
      <c r="P20" s="2590">
        <f t="shared" ref="P20:P26" si="9">N20+O20</f>
        <v>0</v>
      </c>
      <c r="R20" s="275">
        <f t="shared" si="5"/>
        <v>23648.7</v>
      </c>
      <c r="S20" s="2300">
        <f t="shared" si="5"/>
        <v>81234.03</v>
      </c>
    </row>
    <row r="21" spans="1:19">
      <c r="A21" s="138"/>
      <c r="B21" s="115" t="s">
        <v>226</v>
      </c>
      <c r="C21" s="2999" t="s">
        <v>3142</v>
      </c>
      <c r="D21" s="111">
        <f t="shared" si="1"/>
        <v>20142.79</v>
      </c>
      <c r="E21" s="134">
        <f t="shared" si="2"/>
        <v>69191.13</v>
      </c>
      <c r="F21" s="135"/>
      <c r="G21" s="1368">
        <f>'数据-基础表'!M13</f>
        <v>69191.13</v>
      </c>
      <c r="H21" s="974">
        <f t="shared" si="6"/>
        <v>548.4</v>
      </c>
      <c r="I21" s="116">
        <f t="shared" si="7"/>
        <v>1883.78</v>
      </c>
      <c r="J21" s="1983"/>
      <c r="K21" s="2586">
        <f t="shared" si="3"/>
        <v>1883.78</v>
      </c>
      <c r="L21" s="275">
        <f t="shared" si="4"/>
        <v>0</v>
      </c>
      <c r="M21" s="2587">
        <f t="shared" si="8"/>
        <v>1883.78</v>
      </c>
      <c r="N21" s="2588"/>
      <c r="O21" s="2589"/>
      <c r="P21" s="2590">
        <f t="shared" si="9"/>
        <v>0</v>
      </c>
      <c r="R21" s="275">
        <f t="shared" si="5"/>
        <v>20691.190000000002</v>
      </c>
      <c r="S21" s="2300">
        <f t="shared" si="5"/>
        <v>71074.91</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71290.26999999999</v>
      </c>
      <c r="E27" s="143">
        <f>IF(SUM(E19:E26)='数据-基础表'!BA5,SUM(E19:E26),IF(F27="地上面积有误","面积有误","地下面积有误"))</f>
        <v>244884.39</v>
      </c>
      <c r="F27" s="134">
        <f>IF(SUM(F19:F26)=E8,SUM(F19:F26),"地上面积有误")</f>
        <v>175693.26</v>
      </c>
      <c r="G27" s="112">
        <f>SUM(G19:G26)</f>
        <v>69191.13</v>
      </c>
      <c r="H27" s="975">
        <f>SUM(H19:H26)</f>
        <v>2173.8200000000002</v>
      </c>
      <c r="I27" s="976">
        <f>SUM(I19:I26)</f>
        <v>7467.1500000000005</v>
      </c>
      <c r="J27" s="1983"/>
      <c r="K27" s="2595">
        <f>SUM(K19:K26)</f>
        <v>6667.1500000000005</v>
      </c>
      <c r="L27" s="2596">
        <f>SUM(L19:L26)</f>
        <v>800</v>
      </c>
      <c r="M27" s="2597">
        <f>SUM(M19:M26)</f>
        <v>7467.1500000000005</v>
      </c>
      <c r="N27" s="2595">
        <f t="shared" ref="N27:O27" si="10">SUM(N19:N26)</f>
        <v>0</v>
      </c>
      <c r="O27" s="2596">
        <f t="shared" si="10"/>
        <v>0</v>
      </c>
      <c r="P27" s="2598">
        <f>SUM(P19:P26)</f>
        <v>0</v>
      </c>
      <c r="R27" s="2304">
        <f>IF(SUM(R19:R26)=$D$3,SUM(R19:R26),SUM(R19:R26)&amp;"误差"&amp;ROUND(SUM(R19:R26)-$D$3,2))</f>
        <v>73464.09</v>
      </c>
      <c r="S27" s="275">
        <f>IF(SUM(S19:S26)=$E$3,SUM(S19:S26),SUM(S19:S26)&amp;"误差"&amp;ROUND(SUM(S19:S26)-E3,2))</f>
        <v>252351.54</v>
      </c>
    </row>
    <row r="28" spans="1:19">
      <c r="A28" s="138"/>
      <c r="B28" s="115" t="s">
        <v>227</v>
      </c>
      <c r="C28" s="136" t="s">
        <v>228</v>
      </c>
      <c r="D28" s="111">
        <f>ROUND($D$3*E28/$E$3,2)</f>
        <v>1940.93</v>
      </c>
      <c r="E28" s="134">
        <f>SUM(F28:G28)</f>
        <v>6667.1500000000005</v>
      </c>
      <c r="F28" s="144">
        <f>'数据-基础表'!BQ5+'数据-基础表'!BS5</f>
        <v>220.55</v>
      </c>
      <c r="G28" s="145">
        <f>'数据-基础表'!BR5+'数据-基础表'!BT5</f>
        <v>6446.6</v>
      </c>
      <c r="H28" s="1983"/>
      <c r="I28" s="1983"/>
      <c r="J28" s="1983"/>
      <c r="K28" s="1983"/>
      <c r="L28" s="1983"/>
    </row>
    <row r="29" spans="1:19">
      <c r="A29" s="138"/>
      <c r="B29" s="115" t="s">
        <v>227</v>
      </c>
      <c r="C29" s="2312" t="s">
        <v>2318</v>
      </c>
      <c r="D29" s="111">
        <f>ROUND($D$3*E29/$E$3,2)</f>
        <v>232.89</v>
      </c>
      <c r="E29" s="134">
        <f>SUM(F29:G29)</f>
        <v>800</v>
      </c>
      <c r="F29" s="144">
        <f>'数据-基础表'!BM5+'数据-基础表'!BO5</f>
        <v>400</v>
      </c>
      <c r="G29" s="146">
        <f>'数据-基础表'!BN5+'数据-基础表'!BP5</f>
        <v>400</v>
      </c>
      <c r="H29" s="1983"/>
      <c r="I29" s="1983"/>
      <c r="J29" s="1983"/>
      <c r="K29" s="1983"/>
      <c r="L29" s="1983"/>
    </row>
    <row r="30" spans="1:19">
      <c r="A30" s="138"/>
      <c r="B30" s="111"/>
      <c r="C30" s="147" t="s">
        <v>215</v>
      </c>
      <c r="D30" s="134">
        <f>SUM(D28:D29)</f>
        <v>2173.8200000000002</v>
      </c>
      <c r="E30" s="134">
        <f>SUM(E28:E29)</f>
        <v>7467.1500000000005</v>
      </c>
      <c r="F30" s="134">
        <f>SUM(F28:F29)</f>
        <v>620.54999999999995</v>
      </c>
      <c r="G30" s="112">
        <f>SUM(G28:G29)</f>
        <v>6846.6</v>
      </c>
      <c r="H30" s="1983"/>
      <c r="I30" s="1983"/>
      <c r="J30" s="1983"/>
      <c r="K30" s="1983"/>
      <c r="L30" s="1983"/>
    </row>
    <row r="31" spans="1:19" ht="32.25" customHeight="1" thickBot="1">
      <c r="A31" s="1370"/>
      <c r="B31" s="1371" t="s">
        <v>229</v>
      </c>
      <c r="C31" s="2329" t="s">
        <v>2320</v>
      </c>
      <c r="D31" s="1372">
        <f>D27+D30</f>
        <v>73464.09</v>
      </c>
      <c r="E31" s="1372">
        <f>E27+E30</f>
        <v>252351.54</v>
      </c>
      <c r="F31" s="1373">
        <f>F27+F30</f>
        <v>176313.81</v>
      </c>
      <c r="G31" s="1374">
        <f>G27+G30</f>
        <v>76037.73000000001</v>
      </c>
      <c r="H31" s="1983"/>
      <c r="I31" s="1983"/>
      <c r="J31" s="1983"/>
      <c r="K31" s="1983"/>
      <c r="L31" s="1983"/>
    </row>
    <row r="32" spans="1:19">
      <c r="A32" s="1983"/>
      <c r="B32" s="2341" t="s">
        <v>2319</v>
      </c>
      <c r="C32" s="2625"/>
      <c r="D32" s="1201"/>
      <c r="E32" s="1201">
        <f>SUMIF(C19:C26,"*住宅*",E19:E26)</f>
        <v>175693.26</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43529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9" t="s">
        <v>2825</v>
      </c>
      <c r="O5" s="163" t="s">
        <v>246</v>
      </c>
      <c r="P5" s="165" t="s">
        <v>247</v>
      </c>
      <c r="Q5" s="166" t="s">
        <v>248</v>
      </c>
      <c r="R5" s="167" t="s">
        <v>249</v>
      </c>
      <c r="S5" s="2599" t="s">
        <v>2569</v>
      </c>
      <c r="T5" s="168" t="s">
        <v>250</v>
      </c>
      <c r="U5" s="169" t="s">
        <v>251</v>
      </c>
      <c r="V5" s="159" t="s">
        <v>252</v>
      </c>
      <c r="W5" s="159" t="s">
        <v>253</v>
      </c>
      <c r="X5" s="1817"/>
      <c r="Y5" s="170" t="s">
        <v>254</v>
      </c>
      <c r="Z5" s="171" t="s">
        <v>255</v>
      </c>
      <c r="AA5" s="159" t="s">
        <v>252</v>
      </c>
      <c r="AB5" s="159" t="s">
        <v>253</v>
      </c>
      <c r="AC5" s="1818"/>
      <c r="AD5" s="172" t="s">
        <v>254</v>
      </c>
      <c r="AE5" s="1" t="s">
        <v>868</v>
      </c>
      <c r="AF5" s="159" t="s">
        <v>256</v>
      </c>
      <c r="AG5" s="170" t="s">
        <v>257</v>
      </c>
      <c r="AH5" s="1818" t="s">
        <v>2321</v>
      </c>
      <c r="AI5" s="171" t="s">
        <v>2290</v>
      </c>
      <c r="AJ5" s="171" t="s">
        <v>258</v>
      </c>
      <c r="AK5" s="159" t="s">
        <v>259</v>
      </c>
      <c r="AL5" s="159" t="s">
        <v>260</v>
      </c>
      <c r="AM5" s="172" t="s">
        <v>261</v>
      </c>
      <c r="AN5" s="2369" t="s">
        <v>2370</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高层住宅</v>
      </c>
      <c r="B6" s="2336" t="str">
        <f>IF(A6=0,"","经营性")</f>
        <v>经营性</v>
      </c>
      <c r="C6" s="173" t="s">
        <v>921</v>
      </c>
      <c r="D6" s="2307">
        <f>SUMIF(项目基本情况!D$15:I$15,C6,项目基本情况!D$18:I$18)</f>
        <v>70</v>
      </c>
      <c r="E6" s="2308">
        <f>IF(B6="","",SUMIF(项目基本情况!D$15:I$15,C6,项目基本情况!D$17:I$17))</f>
        <v>65354</v>
      </c>
      <c r="F6" s="174">
        <f>SUMIF(项目基本情况!D$15:I$15,C6,项目基本情况!D$19:I$19)</f>
        <v>59.79</v>
      </c>
      <c r="G6" s="175">
        <f>IF(ISERROR(ROUND(POWER(1+H6,D6-F6)*(POWER(1+H6,F6)-1)/(POWER(1+H6,D6)-1),3)),0,ROUND(POWER(1+H6,D6-F6)*(POWER(1+H6,F6)-1)/(POWER(1+H6,D6)-1),3))</f>
        <v>0.97299999999999998</v>
      </c>
      <c r="H6" s="3000">
        <v>4.4999999999999998E-2</v>
      </c>
      <c r="I6" s="3000">
        <v>0.05</v>
      </c>
      <c r="J6" s="176">
        <v>8.5000000000000006E-2</v>
      </c>
      <c r="K6" s="179">
        <f>SUMIF('数据-汇总表'!C$19:C$33,'数据-取费表'!A6,'数据-汇总表'!E$19:E$33)</f>
        <v>96961.26</v>
      </c>
      <c r="L6" s="3001">
        <v>2500</v>
      </c>
      <c r="M6" s="177">
        <f t="shared" ref="M6:M14" si="0">ROUND(K6*L6/10000,0)</f>
        <v>24240</v>
      </c>
      <c r="N6" s="3002">
        <v>0</v>
      </c>
      <c r="O6" s="177">
        <f>IF($N$5="成新度","——",ROUND(M6*N6,0))</f>
        <v>0</v>
      </c>
      <c r="P6" s="178">
        <f>IF($N$5="成新度","——",M6-O6)</f>
        <v>24240</v>
      </c>
      <c r="Q6" s="3003">
        <v>0.15</v>
      </c>
      <c r="R6" s="179">
        <f>SUMIF('数据-汇总表'!C$19:C$33,A6,'数据-汇总表'!R$19:R$33)</f>
        <v>29124.199999999997</v>
      </c>
      <c r="S6" s="132">
        <f>IF('数据-汇总表'!$I$17="按面积比例",SUMIF('数据-汇总表'!C$19:C$33,A6,'数据-汇总表'!K$19:K$33),SUMIF('数据-汇总表'!C$19:C$33,A6,'数据-汇总表'!N$19:N$33))</f>
        <v>2639.84</v>
      </c>
      <c r="T6" s="2233">
        <f>IF($T$4="按面积比例",IF(ISERROR(ROUND($M$14*S6/S$16,0)),"0",ROUND($M$14*S6/S$16,0)),"需自行计算录入")</f>
        <v>475</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0.92800000000000005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洋房住宅</v>
      </c>
      <c r="B7" s="2336" t="str">
        <f t="shared" ref="B7:B13" si="1">IF(A7=0,"","经营性")</f>
        <v>经营性</v>
      </c>
      <c r="C7" s="173" t="s">
        <v>921</v>
      </c>
      <c r="D7" s="2307">
        <f>SUMIF(项目基本情况!D$15:I$15,C7,项目基本情况!D$18:I$18)</f>
        <v>70</v>
      </c>
      <c r="E7" s="2308">
        <f>IF(B7="","",SUMIF(项目基本情况!D$15:I$15,C7,项目基本情况!D$17:I$17))</f>
        <v>65354</v>
      </c>
      <c r="F7" s="174">
        <f>SUMIF(项目基本情况!D$15:I$15,C7,项目基本情况!D$19:I$19)</f>
        <v>59.79</v>
      </c>
      <c r="G7" s="175">
        <f t="shared" ref="G7:G11" si="2">IF(ISERROR(ROUND(POWER(1+H7,D7-F7)*(POWER(1+H7,F7)-1)/(POWER(1+H7,D7)-1),3)),0,ROUND(POWER(1+H7,D7-F7)*(POWER(1+H7,F7)-1)/(POWER(1+H7,D7)-1),3))</f>
        <v>0.97299999999999998</v>
      </c>
      <c r="H7" s="3000">
        <v>4.4999999999999998E-2</v>
      </c>
      <c r="I7" s="3000">
        <v>0.05</v>
      </c>
      <c r="J7" s="176">
        <v>8.5000000000000006E-2</v>
      </c>
      <c r="K7" s="179">
        <f>SUMIF('数据-汇总表'!C$19:C$33,'数据-取费表'!A7,'数据-汇总表'!E$19:E$33)</f>
        <v>78732</v>
      </c>
      <c r="L7" s="3001">
        <f>L6</f>
        <v>2500</v>
      </c>
      <c r="M7" s="177">
        <f t="shared" si="0"/>
        <v>19683</v>
      </c>
      <c r="N7" s="3002">
        <v>0</v>
      </c>
      <c r="O7" s="177">
        <f t="shared" ref="O7:O14" si="3">IF($N$5="成新度","——",ROUND(M7*N7,0))</f>
        <v>0</v>
      </c>
      <c r="P7" s="178">
        <f t="shared" ref="P7:P14" si="4">IF($N$5="成新度","——",M7-O7)</f>
        <v>19683</v>
      </c>
      <c r="Q7" s="3003">
        <v>0.15</v>
      </c>
      <c r="R7" s="179">
        <f>SUMIF('数据-汇总表'!C$19:C$33,A7,'数据-汇总表'!R$19:R$33)</f>
        <v>23648.7</v>
      </c>
      <c r="S7" s="132">
        <f>IF('数据-汇总表'!$I$17="按面积比例",SUMIF('数据-汇总表'!C$19:C$33,A7,'数据-汇总表'!K$19:K$33),SUMIF('数据-汇总表'!C$19:C$33,A7,'数据-汇总表'!N$19:N$33))</f>
        <v>2143.5300000000002</v>
      </c>
      <c r="T7" s="2233">
        <f t="shared" ref="T7:T13" si="5">IF($T$4="按面积比例",IF(ISERROR(ROUND($M$14*S7/S$16,0)),"0",ROUND($M$14*S7/S$16,0)),"需自行计算录入")</f>
        <v>386</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1999"/>
      <c r="AP7" s="1204">
        <f t="shared" ref="AP7:AP13" si="8">ROUND(1-1/(1+H7)^F7,3)</f>
        <v>0.92800000000000005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3132</v>
      </c>
      <c r="D8" s="2307">
        <f>SUMIF(项目基本情况!D$15:I$15,C8,项目基本情况!D$18:I$18)</f>
        <v>50</v>
      </c>
      <c r="E8" s="2308">
        <f>IF(B8="","",SUMIF(项目基本情况!D$15:I$15,C8,项目基本情况!D$17:I$17))</f>
        <v>58049</v>
      </c>
      <c r="F8" s="174">
        <f>SUMIF(项目基本情况!D$15:I$15,C8,项目基本情况!D$19:I$19)</f>
        <v>39.78</v>
      </c>
      <c r="G8" s="175">
        <f t="shared" si="2"/>
        <v>0.91900000000000004</v>
      </c>
      <c r="H8" s="3000">
        <v>0.04</v>
      </c>
      <c r="I8" s="3000">
        <v>4.4999999999999998E-2</v>
      </c>
      <c r="J8" s="176">
        <v>8.5000000000000006E-2</v>
      </c>
      <c r="K8" s="179">
        <f>SUMIF('数据-汇总表'!C$19:C$33,'数据-取费表'!A8,'数据-汇总表'!E$19:E$33)</f>
        <v>69191.13</v>
      </c>
      <c r="L8" s="3001">
        <v>1800</v>
      </c>
      <c r="M8" s="177">
        <f>ROUND(K8*L8/10000,0)</f>
        <v>12454</v>
      </c>
      <c r="N8" s="3002">
        <v>0</v>
      </c>
      <c r="O8" s="177">
        <f t="shared" si="3"/>
        <v>0</v>
      </c>
      <c r="P8" s="178">
        <f t="shared" si="4"/>
        <v>12454</v>
      </c>
      <c r="Q8" s="3003">
        <v>0.05</v>
      </c>
      <c r="R8" s="179">
        <f>SUMIF('数据-汇总表'!C$19:C$33,A8,'数据-汇总表'!R$19:R$33)</f>
        <v>20691.190000000002</v>
      </c>
      <c r="S8" s="132">
        <f>IF('数据-汇总表'!$I$17="按面积比例",SUMIF('数据-汇总表'!C$19:C$33,A8,'数据-汇总表'!K$19:K$33),SUMIF('数据-汇总表'!C$19:C$33,A8,'数据-汇总表'!N$19:N$33))</f>
        <v>1883.78</v>
      </c>
      <c r="T8" s="2233">
        <f t="shared" si="5"/>
        <v>339</v>
      </c>
      <c r="U8" s="180">
        <v>0.6</v>
      </c>
      <c r="V8" s="181">
        <v>0.02</v>
      </c>
      <c r="W8" s="181">
        <v>0.1</v>
      </c>
      <c r="X8" s="2320"/>
      <c r="Y8" s="182">
        <v>1</v>
      </c>
      <c r="Z8" s="183"/>
      <c r="AA8" s="176"/>
      <c r="AB8" s="176"/>
      <c r="AC8" s="2323"/>
      <c r="AD8" s="184"/>
      <c r="AE8" s="972">
        <f t="shared" ca="1" si="6"/>
        <v>37.78</v>
      </c>
      <c r="AF8" s="141"/>
      <c r="AG8" s="1213">
        <f t="shared" si="7"/>
        <v>0</v>
      </c>
      <c r="AH8" s="141"/>
      <c r="AI8" s="187">
        <v>365</v>
      </c>
      <c r="AJ8" s="188"/>
      <c r="AK8" s="196">
        <v>1.4999999999999999E-2</v>
      </c>
      <c r="AL8" s="197">
        <v>1.5E-3</v>
      </c>
      <c r="AM8" s="2368">
        <v>0.01</v>
      </c>
      <c r="AN8" s="2370" t="s">
        <v>3145</v>
      </c>
      <c r="AO8" s="1999"/>
      <c r="AP8" s="1204">
        <f t="shared" si="8"/>
        <v>0.79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1678</v>
      </c>
      <c r="C14" s="2306" t="s">
        <v>2312</v>
      </c>
      <c r="D14" s="2307"/>
      <c r="E14" s="2308"/>
      <c r="F14" s="174"/>
      <c r="G14" s="175"/>
      <c r="H14" s="2309"/>
      <c r="I14" s="2309"/>
      <c r="J14" s="2309"/>
      <c r="K14" s="179">
        <f>SUMIF('数据-汇总表'!C$19:C$33,'数据-取费表'!A14,'数据-汇总表'!E$19:E$33)</f>
        <v>6667.1500000000005</v>
      </c>
      <c r="L14" s="193">
        <f>L8</f>
        <v>1800</v>
      </c>
      <c r="M14" s="177">
        <f t="shared" si="0"/>
        <v>1200</v>
      </c>
      <c r="N14" s="194">
        <v>0</v>
      </c>
      <c r="O14" s="177">
        <f t="shared" si="3"/>
        <v>0</v>
      </c>
      <c r="P14" s="178">
        <f t="shared" si="4"/>
        <v>1200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1678</v>
      </c>
      <c r="C15" s="2306" t="s">
        <v>2313</v>
      </c>
      <c r="D15" s="2307"/>
      <c r="E15" s="2308"/>
      <c r="F15" s="174"/>
      <c r="G15" s="175"/>
      <c r="H15" s="2309"/>
      <c r="I15" s="2309"/>
      <c r="J15" s="2309"/>
      <c r="K15" s="179">
        <f>SUMIF('数据-汇总表'!C$19:C$33,'数据-取费表'!A15,'数据-汇总表'!E$19:E$33)</f>
        <v>800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0.95799999999999996</v>
      </c>
      <c r="H16" s="203">
        <f>ROUND(SUMPRODUCT(H6:H13,K6:K13)/SUMPRODUCT((H6:H13&gt;0)*(K6:K13)),3)</f>
        <v>4.3999999999999997E-2</v>
      </c>
      <c r="I16" s="204"/>
      <c r="J16" s="204"/>
      <c r="K16" s="205">
        <f>SUM(K6:K15)</f>
        <v>252351.54</v>
      </c>
      <c r="L16" s="206">
        <f>ROUND(M16*10000/SUM(K6:K14),0)</f>
        <v>2289</v>
      </c>
      <c r="M16" s="206">
        <f>SUM(M6:M14)</f>
        <v>57577</v>
      </c>
      <c r="N16" s="207">
        <f>ROUND(SUMPRODUCT(M6:M14,N6:N14)/M16,3)</f>
        <v>0</v>
      </c>
      <c r="O16" s="206">
        <f>SUM(O6:O14)</f>
        <v>0</v>
      </c>
      <c r="P16" s="206">
        <f>SUM(P6:P14)</f>
        <v>57577</v>
      </c>
      <c r="Q16" s="208">
        <f>ROUND(SUMPRODUCT(Q6:Q13,K6:K13)/SUMPRODUCT((Q6:Q13&gt;0)*(K6:K13)),2)</f>
        <v>0.12</v>
      </c>
      <c r="R16" s="2310">
        <f>SUM(R6:R13)</f>
        <v>73464.09</v>
      </c>
      <c r="S16" s="209">
        <f>SUM(S6:S13)</f>
        <v>6667.1500000000005</v>
      </c>
      <c r="T16" s="210">
        <f>IF(SUMIF(T6:T13,"&lt;9E307")=M14,SUMIF(T6:T13,"&lt;9E307"),"有误，请检查")</f>
        <v>1200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0.88900000000000001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120</v>
      </c>
      <c r="C27" s="3049" t="s">
        <v>3150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120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3"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150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80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70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43" t="s">
        <v>2888</v>
      </c>
      <c r="D34" s="1992" t="s">
        <v>869</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150</v>
      </c>
      <c r="C35" s="2343"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2453</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2454</v>
      </c>
      <c r="B40" s="2459">
        <f ca="1">存贷款利率!E2</f>
        <v>4.7500000000000001E-2</v>
      </c>
      <c r="C40" s="2343"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1">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43"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0"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8</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39.75" customHeight="1">
      <c r="A53" s="228" t="s">
        <v>294</v>
      </c>
      <c r="B53" s="251" t="s">
        <v>1154</v>
      </c>
      <c r="C53" s="3051" t="s">
        <v>2898</v>
      </c>
      <c r="D53" s="3215" t="s">
        <v>3151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3" t="s">
        <v>2899</v>
      </c>
      <c r="B54" s="186">
        <v>12</v>
      </c>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3" t="s">
        <v>2900</v>
      </c>
      <c r="B55" s="186">
        <v>8</v>
      </c>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3" t="s">
        <v>2901</v>
      </c>
      <c r="B56" s="186">
        <v>6</v>
      </c>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3" t="s">
        <v>2902</v>
      </c>
      <c r="B57" s="186"/>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3" t="s">
        <v>2903</v>
      </c>
      <c r="B58" s="186"/>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3" t="s">
        <v>2904</v>
      </c>
      <c r="B59" s="186"/>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3" t="s">
        <v>2905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3" t="s">
        <v>2906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3" t="s">
        <v>2907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2908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6" priority="12" stopIfTrue="1" operator="containsText" text="自行计算">
      <formula>NOT(ISERROR(SEARCH("自行计算",T6)))</formula>
    </cfRule>
    <cfRule type="containsText" dxfId="165" priority="13" stopIfTrue="1" operator="containsText" text="自行计算">
      <formula>NOT(ISERROR(SEARCH("自行计算",T6)))</formula>
    </cfRule>
  </conditionalFormatting>
  <conditionalFormatting sqref="T6:T13">
    <cfRule type="containsText" dxfId="164" priority="10" stopIfTrue="1" operator="containsText" text="自行计算">
      <formula>NOT(ISERROR(SEARCH("自行计算",T6)))</formula>
    </cfRule>
    <cfRule type="containsText" dxfId="163" priority="11" stopIfTrue="1" operator="containsText" text="自行计算">
      <formula>NOT(ISERROR(SEARCH("自行计算",T6)))</formula>
    </cfRule>
  </conditionalFormatting>
  <conditionalFormatting sqref="T12:T13">
    <cfRule type="containsText" dxfId="162" priority="4" stopIfTrue="1" operator="containsText" text="自行计算">
      <formula>NOT(ISERROR(SEARCH("自行计算",T12)))</formula>
    </cfRule>
    <cfRule type="containsText" dxfId="161" priority="5" stopIfTrue="1" operator="containsText" text="自行计算">
      <formula>NOT(ISERROR(SEARCH("自行计算",T12)))</formula>
    </cfRule>
  </conditionalFormatting>
  <conditionalFormatting sqref="T12:T13">
    <cfRule type="containsText" dxfId="160" priority="2" stopIfTrue="1" operator="containsText" text="自行计算">
      <formula>NOT(ISERROR(SEARCH("自行计算",T12)))</formula>
    </cfRule>
    <cfRule type="containsText" dxfId="159" priority="3" stopIfTrue="1" operator="containsText" text="自行计算">
      <formula>NOT(ISERROR(SEARCH("自行计算",T12)))</formula>
    </cfRule>
  </conditionalFormatting>
  <conditionalFormatting sqref="T6:T15">
    <cfRule type="expression" dxfId="15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46" t="s">
        <v>1662</v>
      </c>
      <c r="B1" s="3347"/>
      <c r="C1" s="3347"/>
      <c r="D1" s="3347"/>
      <c r="E1" s="3347"/>
      <c r="F1" s="3347"/>
      <c r="G1" s="3347"/>
      <c r="H1" s="2001"/>
      <c r="I1" s="2002"/>
      <c r="J1" s="2003"/>
      <c r="K1" s="2001"/>
      <c r="L1" s="2002"/>
      <c r="M1" s="2003"/>
      <c r="N1" s="2001"/>
      <c r="O1" s="2002"/>
      <c r="P1" s="2003"/>
      <c r="Q1" s="2004"/>
      <c r="R1" s="2005"/>
    </row>
    <row r="2" spans="1:18" ht="14.25" thickBot="1">
      <c r="A2" s="1221"/>
      <c r="B2" s="1222"/>
      <c r="C2" s="1223" t="s">
        <v>1663</v>
      </c>
      <c r="D2" s="1224"/>
      <c r="E2" s="1225"/>
      <c r="F2" s="1226"/>
      <c r="G2" s="1223" t="s">
        <v>1664</v>
      </c>
      <c r="H2" s="2007"/>
      <c r="I2" s="2007"/>
      <c r="J2" s="2007"/>
      <c r="K2" s="2007"/>
      <c r="L2" s="2007"/>
      <c r="M2" s="2007"/>
      <c r="N2" s="2007"/>
      <c r="O2" s="2007"/>
      <c r="P2" s="2007"/>
      <c r="Q2" s="2007"/>
      <c r="R2" s="2007"/>
    </row>
    <row r="3" spans="1:18" ht="27">
      <c r="A3" s="1227" t="s">
        <v>1665</v>
      </c>
      <c r="B3" s="1228" t="s">
        <v>1652</v>
      </c>
      <c r="C3" s="3216" t="s">
        <v>3152</v>
      </c>
      <c r="D3" s="2008"/>
      <c r="E3" s="1229" t="s">
        <v>1665</v>
      </c>
      <c r="F3" s="1230" t="s">
        <v>1653</v>
      </c>
      <c r="G3" s="3056"/>
      <c r="H3" s="2007"/>
      <c r="I3" s="2007"/>
      <c r="J3" s="2007"/>
      <c r="K3" s="2007"/>
      <c r="L3" s="2007"/>
      <c r="M3" s="2007"/>
      <c r="N3" s="2007"/>
      <c r="O3" s="2007"/>
      <c r="P3" s="2007"/>
      <c r="Q3" s="2007"/>
      <c r="R3" s="2007"/>
    </row>
    <row r="4" spans="1:18" ht="14.25">
      <c r="A4" s="1229"/>
      <c r="B4" s="1231" t="s">
        <v>1666</v>
      </c>
      <c r="C4" s="3217" t="s">
        <v>3152</v>
      </c>
      <c r="D4" s="2008"/>
      <c r="E4" s="1232"/>
      <c r="F4" s="1233" t="s">
        <v>1667</v>
      </c>
      <c r="G4" s="3055"/>
      <c r="H4" s="2007"/>
      <c r="I4" s="2007"/>
      <c r="J4" s="2007"/>
      <c r="K4" s="2007"/>
      <c r="L4" s="2007"/>
      <c r="M4" s="2007"/>
      <c r="N4" s="2007"/>
      <c r="O4" s="2007"/>
      <c r="P4" s="2007"/>
      <c r="Q4" s="2007"/>
      <c r="R4" s="2007"/>
    </row>
    <row r="5" spans="1:18" ht="14.25">
      <c r="A5" s="1229"/>
      <c r="B5" s="1231" t="s">
        <v>1668</v>
      </c>
      <c r="C5" s="3218"/>
      <c r="D5" s="2008"/>
      <c r="E5" s="1232"/>
      <c r="F5" s="1231" t="s">
        <v>2543</v>
      </c>
      <c r="G5" s="3055"/>
      <c r="H5" s="2007"/>
      <c r="I5" s="2007"/>
      <c r="J5" s="2007"/>
      <c r="K5" s="2007"/>
      <c r="L5" s="2007"/>
      <c r="M5" s="2007"/>
      <c r="N5" s="2007"/>
      <c r="O5" s="2007"/>
      <c r="P5" s="2007"/>
      <c r="Q5" s="2007"/>
      <c r="R5" s="2007"/>
    </row>
    <row r="6" spans="1:18" ht="14.25">
      <c r="A6" s="1229"/>
      <c r="B6" s="1231" t="s">
        <v>1654</v>
      </c>
      <c r="C6" s="3219" t="s">
        <v>3153</v>
      </c>
      <c r="D6" s="2008"/>
      <c r="E6" s="1232"/>
      <c r="F6" s="1231" t="s">
        <v>2544</v>
      </c>
      <c r="G6" s="3055"/>
      <c r="H6" s="2007"/>
      <c r="I6" s="2007"/>
      <c r="J6" s="2007"/>
      <c r="K6" s="2007"/>
      <c r="L6" s="2007"/>
      <c r="M6" s="2007"/>
      <c r="N6" s="2007"/>
      <c r="O6" s="2007"/>
      <c r="P6" s="2007"/>
      <c r="Q6" s="2007"/>
      <c r="R6" s="2007"/>
    </row>
    <row r="7" spans="1:18" ht="15" thickBot="1">
      <c r="A7" s="1229"/>
      <c r="B7" s="1231" t="s">
        <v>2543</v>
      </c>
      <c r="C7" s="3219" t="s">
        <v>3154</v>
      </c>
      <c r="D7" s="2009"/>
      <c r="E7" s="1234"/>
      <c r="F7" s="1235" t="s">
        <v>1669</v>
      </c>
      <c r="G7" s="3057"/>
      <c r="H7" s="2007"/>
      <c r="I7" s="2007"/>
      <c r="J7" s="2007"/>
      <c r="K7" s="2007"/>
      <c r="L7" s="2007"/>
      <c r="M7" s="2007"/>
      <c r="N7" s="2007"/>
      <c r="O7" s="2007"/>
      <c r="P7" s="2007"/>
      <c r="Q7" s="2007"/>
      <c r="R7" s="2007"/>
    </row>
    <row r="8" spans="1:18" ht="19.5" customHeight="1">
      <c r="A8" s="1229"/>
      <c r="B8" s="1231" t="s">
        <v>2544</v>
      </c>
      <c r="C8" s="3219" t="s">
        <v>3155</v>
      </c>
      <c r="D8" s="2009"/>
      <c r="E8" s="2009"/>
      <c r="F8" s="1554"/>
      <c r="G8" s="1554"/>
      <c r="H8" s="2007"/>
      <c r="I8" s="2007"/>
      <c r="J8" s="2007"/>
      <c r="K8" s="2007"/>
      <c r="L8" s="2007"/>
      <c r="M8" s="2007"/>
      <c r="N8" s="2007"/>
      <c r="O8" s="2007"/>
      <c r="P8" s="2007"/>
      <c r="Q8" s="2007"/>
      <c r="R8" s="2007"/>
    </row>
    <row r="9" spans="1:18" ht="18" customHeight="1">
      <c r="A9" s="1229"/>
      <c r="B9" s="1231" t="s">
        <v>1655</v>
      </c>
      <c r="C9" s="3217" t="s">
        <v>3382</v>
      </c>
      <c r="D9" s="2008"/>
      <c r="E9" s="2009"/>
      <c r="F9" s="1554"/>
      <c r="G9" s="1554"/>
      <c r="H9" s="2007"/>
      <c r="I9" s="2007"/>
      <c r="J9" s="2007"/>
      <c r="K9" s="2007"/>
      <c r="L9" s="2007"/>
      <c r="M9" s="2007"/>
      <c r="N9" s="2007"/>
      <c r="O9" s="2007"/>
      <c r="P9" s="2007"/>
      <c r="Q9" s="2007"/>
      <c r="R9" s="2007"/>
    </row>
    <row r="10" spans="1:18" s="2015" customFormat="1" ht="14.25" thickBot="1">
      <c r="A10" s="1236"/>
      <c r="B10" s="1237" t="s">
        <v>1670</v>
      </c>
      <c r="C10" s="3220" t="s">
        <v>3156</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1671</v>
      </c>
      <c r="B13" s="2556"/>
      <c r="C13" s="2556"/>
      <c r="D13" s="1224"/>
      <c r="E13" s="2556"/>
      <c r="F13" s="2556"/>
      <c r="G13" s="2556"/>
    </row>
    <row r="14" spans="1:18" ht="14.25" thickBot="1">
      <c r="A14" s="1238"/>
      <c r="B14" s="1239"/>
      <c r="C14" s="1240" t="s">
        <v>1663</v>
      </c>
      <c r="D14" s="2008"/>
      <c r="E14" s="1241"/>
      <c r="F14" s="1241"/>
      <c r="G14" s="1223" t="s">
        <v>1664</v>
      </c>
    </row>
    <row r="15" spans="1:18" ht="27">
      <c r="A15" s="2566" t="s">
        <v>1656</v>
      </c>
      <c r="B15" s="1242" t="s">
        <v>1652</v>
      </c>
      <c r="C15" s="1243" t="str">
        <f>C3</f>
        <v>一般</v>
      </c>
      <c r="D15" s="2008"/>
      <c r="E15" s="2563" t="s">
        <v>1657</v>
      </c>
      <c r="F15" s="1242" t="s">
        <v>1672</v>
      </c>
      <c r="G15" s="1244">
        <f>G3</f>
        <v>0</v>
      </c>
    </row>
    <row r="16" spans="1:18">
      <c r="A16" s="2567"/>
      <c r="B16" s="1245" t="s">
        <v>1666</v>
      </c>
      <c r="C16" s="1246" t="str">
        <f>C4</f>
        <v>一般</v>
      </c>
      <c r="D16" s="2008"/>
      <c r="E16" s="2564"/>
      <c r="F16" s="1247" t="s">
        <v>1667</v>
      </c>
      <c r="G16" s="1005">
        <f>G4</f>
        <v>0</v>
      </c>
    </row>
    <row r="17" spans="1:7" ht="14.25">
      <c r="A17" s="2567"/>
      <c r="B17" s="1245" t="s">
        <v>1668</v>
      </c>
      <c r="C17" s="1246">
        <f>C5</f>
        <v>0</v>
      </c>
      <c r="D17" s="2009"/>
      <c r="E17" s="2564"/>
      <c r="F17" s="1247" t="s">
        <v>1673</v>
      </c>
      <c r="G17" s="2771"/>
    </row>
    <row r="18" spans="1:7">
      <c r="A18" s="2567"/>
      <c r="B18" s="1247" t="s">
        <v>1654</v>
      </c>
      <c r="C18" s="1005" t="str">
        <f>C6</f>
        <v>一般</v>
      </c>
      <c r="D18" s="2009"/>
      <c r="E18" s="2564"/>
      <c r="F18" s="1247" t="s">
        <v>1669</v>
      </c>
      <c r="G18" s="1005">
        <f>G7</f>
        <v>0</v>
      </c>
    </row>
    <row r="19" spans="1:7">
      <c r="A19" s="2567"/>
      <c r="B19" s="1247" t="s">
        <v>1658</v>
      </c>
      <c r="C19" s="3221" t="s">
        <v>3343</v>
      </c>
      <c r="D19" s="2008"/>
      <c r="E19" s="2564"/>
      <c r="F19" s="1231" t="s">
        <v>2543</v>
      </c>
      <c r="G19" s="1005">
        <f>G5</f>
        <v>0</v>
      </c>
    </row>
    <row r="20" spans="1:7" ht="27">
      <c r="A20" s="2567"/>
      <c r="B20" s="1247" t="s">
        <v>1659</v>
      </c>
      <c r="C20" s="1246" t="str">
        <f>C9</f>
        <v>自然较好，人文较差，总体一般</v>
      </c>
      <c r="D20" s="2009"/>
      <c r="E20" s="2564"/>
      <c r="F20" s="1231" t="s">
        <v>2544</v>
      </c>
      <c r="G20" s="1005">
        <f>G6</f>
        <v>0</v>
      </c>
    </row>
    <row r="21" spans="1:7" ht="14.25">
      <c r="A21" s="2567"/>
      <c r="B21" s="1231" t="s">
        <v>2543</v>
      </c>
      <c r="C21" s="1005" t="str">
        <f>C7</f>
        <v>一般</v>
      </c>
      <c r="D21" s="2008"/>
      <c r="E21" s="2564"/>
      <c r="F21" s="1247" t="s">
        <v>1660</v>
      </c>
      <c r="G21" s="3058"/>
    </row>
    <row r="22" spans="1:7" ht="14.25">
      <c r="A22" s="2567"/>
      <c r="B22" s="1231" t="s">
        <v>2544</v>
      </c>
      <c r="C22" s="1005" t="str">
        <f>C8</f>
        <v>六通</v>
      </c>
      <c r="D22" s="2008"/>
      <c r="E22" s="2564"/>
      <c r="F22" s="1247" t="s">
        <v>1670</v>
      </c>
      <c r="G22" s="2771"/>
    </row>
    <row r="23" spans="1:7" ht="15" thickBot="1">
      <c r="A23" s="2567"/>
      <c r="B23" s="1247" t="s">
        <v>1660</v>
      </c>
      <c r="C23" s="3058" t="s">
        <v>3157</v>
      </c>
      <c r="E23" s="2565"/>
      <c r="F23" s="1248" t="s">
        <v>1674</v>
      </c>
      <c r="G23" s="3059"/>
    </row>
    <row r="24" spans="1:7" ht="14.25" thickBot="1">
      <c r="A24" s="2568"/>
      <c r="B24" s="1248" t="s">
        <v>1661</v>
      </c>
      <c r="C24" s="1249" t="str">
        <f>C10</f>
        <v>支路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28" sqref="B28"/>
    </sheetView>
  </sheetViews>
  <sheetFormatPr defaultColWidth="14.625" defaultRowHeight="13.5"/>
  <cols>
    <col min="1" max="1" width="24.375" customWidth="1"/>
  </cols>
  <sheetData>
    <row r="1" spans="1:9" ht="16.5">
      <c r="A1" s="3020" t="s">
        <v>2841</v>
      </c>
      <c r="B1" s="3020">
        <f>SUM(B14:B23)</f>
        <v>636325.76</v>
      </c>
      <c r="C1" s="3021"/>
      <c r="D1" s="3021"/>
      <c r="E1" s="3021"/>
      <c r="F1" s="3021"/>
    </row>
    <row r="2" spans="1:9" ht="16.5">
      <c r="A2" s="3020" t="s">
        <v>2842</v>
      </c>
      <c r="B2" s="3020">
        <f>SUM(C14:C23)</f>
        <v>190114.15999999997</v>
      </c>
      <c r="C2" s="3021"/>
      <c r="D2" s="3021"/>
      <c r="E2" s="3021"/>
      <c r="F2" s="3021"/>
    </row>
    <row r="3" spans="1:9" ht="16.5">
      <c r="A3" s="3020" t="s">
        <v>2843</v>
      </c>
      <c r="B3" s="3022">
        <f>项目基本情况!D3</f>
        <v>43529</v>
      </c>
      <c r="C3" s="3021"/>
      <c r="D3" s="3021"/>
      <c r="E3" s="3021"/>
      <c r="F3" s="3021"/>
    </row>
    <row r="4" spans="1:9" ht="33">
      <c r="A4" s="3020" t="s">
        <v>2844</v>
      </c>
      <c r="B4" s="3020" t="s">
        <v>2845</v>
      </c>
      <c r="C4" s="3020" t="s">
        <v>2846</v>
      </c>
      <c r="D4" s="3020" t="s">
        <v>2847</v>
      </c>
      <c r="E4" s="3021"/>
      <c r="F4" s="3021"/>
    </row>
    <row r="5" spans="1:9" ht="16.5">
      <c r="A5" s="3020" t="s">
        <v>2848</v>
      </c>
      <c r="B5" s="3020">
        <f ca="1">SUM(D14:D23)</f>
        <v>232001</v>
      </c>
      <c r="C5" s="3020">
        <f ca="1">ROUND(B5*10000/$B$1,0)</f>
        <v>3646</v>
      </c>
      <c r="D5" s="3020">
        <f ca="1">ROUND(B5*10000/$B$2,0)</f>
        <v>12203</v>
      </c>
      <c r="E5" s="3021"/>
      <c r="F5" s="3021"/>
    </row>
    <row r="6" spans="1:9" ht="16.5">
      <c r="A6" s="3020" t="s">
        <v>2849</v>
      </c>
      <c r="B6" s="3020">
        <f ca="1">SUM(G14:G23)</f>
        <v>232001</v>
      </c>
      <c r="C6" s="3020">
        <f t="shared" ref="C6:C8" ca="1" si="0">ROUND(B6*10000/$B$1,0)</f>
        <v>3646</v>
      </c>
      <c r="D6" s="3020">
        <f t="shared" ref="D6:D8" ca="1" si="1">ROUND(B6*10000/$B$2,0)</f>
        <v>12203</v>
      </c>
      <c r="E6" s="3021"/>
      <c r="F6" s="3021"/>
    </row>
    <row r="7" spans="1:9" ht="16.5">
      <c r="A7" s="3020" t="s">
        <v>2850</v>
      </c>
      <c r="B7" s="3020">
        <f>SUM(H14:H23)</f>
        <v>0</v>
      </c>
      <c r="C7" s="3020">
        <f t="shared" si="0"/>
        <v>0</v>
      </c>
      <c r="D7" s="3020">
        <f t="shared" si="1"/>
        <v>0</v>
      </c>
      <c r="E7" s="3021"/>
      <c r="F7" s="3021"/>
    </row>
    <row r="8" spans="1:9" ht="16.5">
      <c r="A8" s="3020" t="s">
        <v>2851</v>
      </c>
      <c r="B8" s="3020">
        <f ca="1">SUM(I14:I23)</f>
        <v>123716</v>
      </c>
      <c r="C8" s="3020">
        <f t="shared" ca="1" si="0"/>
        <v>1944</v>
      </c>
      <c r="D8" s="3020">
        <f t="shared" ca="1" si="1"/>
        <v>6507</v>
      </c>
      <c r="E8" s="3021"/>
      <c r="F8" s="3021"/>
    </row>
    <row r="9" spans="1:9" ht="16.5">
      <c r="A9" s="3020" t="s">
        <v>2852</v>
      </c>
      <c r="B9" s="3023"/>
      <c r="C9" s="3021"/>
      <c r="D9" s="3021"/>
      <c r="E9" s="3021"/>
      <c r="F9" s="3021"/>
    </row>
    <row r="10" spans="1:9" ht="16.5">
      <c r="A10" s="3020" t="s">
        <v>2853</v>
      </c>
      <c r="B10" s="3023"/>
      <c r="C10" s="3021"/>
      <c r="D10" s="3021"/>
      <c r="E10" s="3021"/>
      <c r="F10" s="3021"/>
    </row>
    <row r="11" spans="1:9" ht="16.5">
      <c r="A11" s="3020" t="s">
        <v>2870</v>
      </c>
      <c r="B11" s="3023"/>
      <c r="C11" s="3021"/>
      <c r="D11" s="3021"/>
      <c r="E11" s="3021"/>
      <c r="F11" s="3021"/>
    </row>
    <row r="12" spans="1:9" ht="16.5">
      <c r="A12" s="3021"/>
      <c r="B12" s="3021"/>
      <c r="C12" s="3021"/>
      <c r="D12" s="3021"/>
      <c r="E12" s="3021"/>
      <c r="F12" s="3021"/>
    </row>
    <row r="13" spans="1:9" ht="33">
      <c r="A13" s="3026" t="s">
        <v>2869</v>
      </c>
      <c r="B13" s="3024" t="s">
        <v>2841</v>
      </c>
      <c r="C13" s="3024" t="s">
        <v>2842</v>
      </c>
      <c r="D13" s="3024" t="s">
        <v>2854</v>
      </c>
      <c r="E13" s="3020" t="s">
        <v>2868</v>
      </c>
      <c r="F13" s="3020" t="s">
        <v>2847</v>
      </c>
      <c r="G13" s="3024" t="s">
        <v>2855</v>
      </c>
      <c r="H13" s="3024" t="s">
        <v>2856</v>
      </c>
      <c r="I13" s="3024" t="s">
        <v>2857</v>
      </c>
    </row>
    <row r="14" spans="1:9" ht="16.5">
      <c r="A14" s="3027" t="s">
        <v>2867</v>
      </c>
      <c r="B14" s="3024">
        <f>结果表!L38</f>
        <v>252351.54</v>
      </c>
      <c r="C14" s="3024">
        <f>结果表!K38</f>
        <v>73464.09</v>
      </c>
      <c r="D14" s="3024">
        <f ca="1">结果表!C42</f>
        <v>92374</v>
      </c>
      <c r="E14" s="3024">
        <f ca="1">ROUND(D14*10000/B14,0)</f>
        <v>3661</v>
      </c>
      <c r="F14" s="3024">
        <f ca="1">ROUND(D14*10000/C14,0)</f>
        <v>12574</v>
      </c>
      <c r="G14" s="3024">
        <f ca="1">结果表!C44</f>
        <v>92374</v>
      </c>
      <c r="H14" s="3024" t="str">
        <f>结果表!C45</f>
        <v>——</v>
      </c>
      <c r="I14" s="3024">
        <f ca="1">结果表!C46</f>
        <v>34842</v>
      </c>
    </row>
    <row r="15" spans="1:9" ht="16.5">
      <c r="A15" s="3027" t="s">
        <v>2858</v>
      </c>
      <c r="B15" s="3242">
        <f>[3]系统读取表!$B$14</f>
        <v>81285.67</v>
      </c>
      <c r="C15" s="3242">
        <f>[3]系统读取表!$C$14</f>
        <v>35498.75</v>
      </c>
      <c r="D15" s="3242">
        <f ca="1">[3]系统读取表!$D$14</f>
        <v>31918</v>
      </c>
      <c r="E15" s="3024">
        <f t="shared" ref="E15:E23" ca="1" si="2">ROUND(D15*10000/B15,0)</f>
        <v>3927</v>
      </c>
      <c r="F15" s="3024">
        <f t="shared" ref="F15:F23" ca="1" si="3">ROUND(D15*10000/C15,0)</f>
        <v>8991</v>
      </c>
      <c r="G15" s="3243">
        <f ca="1">D15</f>
        <v>31918</v>
      </c>
      <c r="H15" s="3243"/>
      <c r="I15" s="3242">
        <f ca="1">[3]系统读取表!$I$14</f>
        <v>20522</v>
      </c>
    </row>
    <row r="16" spans="1:9" ht="16.5">
      <c r="A16" s="3027" t="s">
        <v>2859</v>
      </c>
      <c r="B16" s="3028">
        <f>[1]系统读取表!$B$14</f>
        <v>186789.62999999998</v>
      </c>
      <c r="C16" s="3028">
        <f>[1]系统读取表!$C$14</f>
        <v>48336.14</v>
      </c>
      <c r="D16" s="3028">
        <f ca="1">[1]系统读取表!$D$14</f>
        <v>66467</v>
      </c>
      <c r="E16" s="3024">
        <f t="shared" ca="1" si="2"/>
        <v>3558</v>
      </c>
      <c r="F16" s="3024">
        <f t="shared" ca="1" si="3"/>
        <v>13751</v>
      </c>
      <c r="G16" s="3025">
        <f ca="1">[1]系统读取表!$G$14</f>
        <v>66467</v>
      </c>
      <c r="H16" s="3025"/>
      <c r="I16" s="3028">
        <f ca="1">[1]系统读取表!$I$14</f>
        <v>42026</v>
      </c>
    </row>
    <row r="17" spans="1:9" ht="16.5">
      <c r="A17" s="3027" t="s">
        <v>2860</v>
      </c>
      <c r="B17" s="3028">
        <f>[2]系统读取表!$B$14</f>
        <v>115898.92</v>
      </c>
      <c r="C17" s="3028">
        <f>[2]系统读取表!$C$14</f>
        <v>32815.18</v>
      </c>
      <c r="D17" s="3028">
        <f>[2]系统读取表!$D$14</f>
        <v>41242</v>
      </c>
      <c r="E17" s="3024">
        <f t="shared" si="2"/>
        <v>3558</v>
      </c>
      <c r="F17" s="3024">
        <f t="shared" si="3"/>
        <v>12568</v>
      </c>
      <c r="G17" s="3025">
        <f>[2]系统读取表!$G$14</f>
        <v>41242</v>
      </c>
      <c r="H17" s="3025"/>
      <c r="I17" s="3028">
        <f>[2]系统读取表!$I$14</f>
        <v>26326</v>
      </c>
    </row>
    <row r="18" spans="1:9" ht="16.5">
      <c r="A18" s="3027" t="s">
        <v>2861</v>
      </c>
      <c r="B18" s="3028"/>
      <c r="C18" s="3028"/>
      <c r="D18" s="3028"/>
      <c r="E18" s="3024" t="e">
        <f t="shared" si="2"/>
        <v>#DIV/0!</v>
      </c>
      <c r="F18" s="3024" t="e">
        <f t="shared" si="3"/>
        <v>#DIV/0!</v>
      </c>
      <c r="G18" s="3028"/>
      <c r="H18" s="3028"/>
      <c r="I18" s="3028"/>
    </row>
    <row r="19" spans="1:9" ht="16.5">
      <c r="A19" s="3027" t="s">
        <v>2862</v>
      </c>
      <c r="B19" s="3028"/>
      <c r="C19" s="3028"/>
      <c r="D19" s="3028"/>
      <c r="E19" s="3024" t="e">
        <f t="shared" si="2"/>
        <v>#DIV/0!</v>
      </c>
      <c r="F19" s="3024" t="e">
        <f t="shared" si="3"/>
        <v>#DIV/0!</v>
      </c>
      <c r="G19" s="3028"/>
      <c r="H19" s="3028"/>
      <c r="I19" s="3028"/>
    </row>
    <row r="20" spans="1:9" ht="16.5">
      <c r="A20" s="3027" t="s">
        <v>2863</v>
      </c>
      <c r="B20" s="3028"/>
      <c r="C20" s="3028"/>
      <c r="D20" s="3028"/>
      <c r="E20" s="3024" t="e">
        <f t="shared" si="2"/>
        <v>#DIV/0!</v>
      </c>
      <c r="F20" s="3024" t="e">
        <f t="shared" si="3"/>
        <v>#DIV/0!</v>
      </c>
      <c r="G20" s="3028"/>
      <c r="H20" s="3028"/>
      <c r="I20" s="3028"/>
    </row>
    <row r="21" spans="1:9" ht="16.5">
      <c r="A21" s="3027" t="s">
        <v>2864</v>
      </c>
      <c r="B21" s="3028"/>
      <c r="C21" s="3028"/>
      <c r="D21" s="3028"/>
      <c r="E21" s="3024" t="e">
        <f t="shared" si="2"/>
        <v>#DIV/0!</v>
      </c>
      <c r="F21" s="3024" t="e">
        <f t="shared" si="3"/>
        <v>#DIV/0!</v>
      </c>
      <c r="G21" s="3028"/>
      <c r="H21" s="3028"/>
      <c r="I21" s="3028"/>
    </row>
    <row r="22" spans="1:9" ht="16.5">
      <c r="A22" s="3027" t="s">
        <v>2865</v>
      </c>
      <c r="B22" s="3028"/>
      <c r="C22" s="3028"/>
      <c r="D22" s="3028"/>
      <c r="E22" s="3024" t="e">
        <f t="shared" si="2"/>
        <v>#DIV/0!</v>
      </c>
      <c r="F22" s="3024" t="e">
        <f t="shared" si="3"/>
        <v>#DIV/0!</v>
      </c>
      <c r="G22" s="3028"/>
      <c r="H22" s="3028"/>
      <c r="I22" s="3028"/>
    </row>
    <row r="23" spans="1:9" ht="16.5">
      <c r="A23" s="3027" t="s">
        <v>2866</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31" sqref="E3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2053</v>
      </c>
      <c r="B1" s="1776"/>
      <c r="C1" s="1804" t="s">
        <v>2054</v>
      </c>
      <c r="D1" s="1805" t="s">
        <v>3386</v>
      </c>
      <c r="E1" s="1804" t="s">
        <v>2055</v>
      </c>
      <c r="F1" s="1806" t="s">
        <v>3160</v>
      </c>
      <c r="G1" s="311"/>
      <c r="H1" s="311"/>
      <c r="I1" s="311"/>
      <c r="J1" s="2028"/>
      <c r="K1" s="2028"/>
      <c r="L1" s="2028"/>
      <c r="M1" s="2028"/>
      <c r="N1" s="2028"/>
      <c r="O1" s="2028"/>
      <c r="P1" s="2028"/>
      <c r="Q1" s="2028"/>
      <c r="R1" s="2028"/>
      <c r="S1" s="2028"/>
      <c r="T1" s="2028"/>
      <c r="U1" s="2028"/>
      <c r="V1" s="2028"/>
    </row>
    <row r="2" spans="1:22" ht="21.75" customHeight="1" thickBot="1">
      <c r="A2" s="3384" t="str">
        <f>项目基本情况!K2</f>
        <v>四川省成都市郫都区（原郫县）红光镇护国村一社、郫筒镇鹃城村十社2号地出让国有建设用地使用权</v>
      </c>
      <c r="B2" s="3385"/>
      <c r="C2" s="3386"/>
      <c r="D2" s="3386"/>
      <c r="E2" s="3386"/>
      <c r="F2" s="3386"/>
      <c r="G2" s="3385"/>
      <c r="H2" s="3385"/>
      <c r="I2" s="3387"/>
      <c r="J2" s="2029"/>
      <c r="K2" s="2028"/>
      <c r="L2" s="2028"/>
      <c r="M2" s="2028"/>
      <c r="N2" s="2028"/>
      <c r="O2" s="2028"/>
      <c r="P2" s="2028"/>
      <c r="Q2" s="2028"/>
      <c r="R2" s="2028"/>
      <c r="S2" s="2028"/>
      <c r="T2" s="2028"/>
      <c r="U2" s="2028"/>
      <c r="V2" s="2028"/>
    </row>
    <row r="3" spans="1:22" ht="14.25">
      <c r="A3" s="3377" t="s">
        <v>298</v>
      </c>
      <c r="B3" s="3378"/>
      <c r="C3" s="3378"/>
      <c r="D3" s="3378"/>
      <c r="E3" s="3378"/>
      <c r="F3" s="3378"/>
      <c r="G3" s="3378"/>
      <c r="H3" s="3378"/>
      <c r="I3" s="3378"/>
      <c r="J3" s="2029"/>
      <c r="K3" s="2028"/>
      <c r="L3" s="2028"/>
      <c r="M3" s="2028"/>
      <c r="N3" s="2028"/>
      <c r="O3" s="2028"/>
      <c r="P3" s="2028"/>
      <c r="Q3" s="2028"/>
      <c r="R3" s="2028"/>
      <c r="S3" s="2028"/>
      <c r="T3" s="2028"/>
      <c r="U3" s="2028"/>
      <c r="V3" s="2028"/>
    </row>
    <row r="4" spans="1:22" ht="14.25">
      <c r="A4" s="258" t="s">
        <v>299</v>
      </c>
      <c r="B4" s="259" t="s">
        <v>300</v>
      </c>
      <c r="C4" s="260" t="s">
        <v>3158</v>
      </c>
      <c r="D4" s="260" t="s">
        <v>3159</v>
      </c>
      <c r="E4" s="3349" t="s">
        <v>301</v>
      </c>
      <c r="F4" s="3350"/>
      <c r="G4" s="3350"/>
      <c r="H4" s="3350"/>
      <c r="I4" s="3379"/>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8" t="s">
        <v>302</v>
      </c>
      <c r="B5" s="3374">
        <v>25</v>
      </c>
      <c r="C5" s="3372"/>
      <c r="D5" s="3376"/>
      <c r="E5" s="261" t="s">
        <v>303</v>
      </c>
      <c r="F5" s="262"/>
      <c r="G5" s="262"/>
      <c r="H5" s="262"/>
      <c r="I5" s="263"/>
      <c r="J5" s="2029"/>
      <c r="K5" s="2028"/>
      <c r="L5" s="2028"/>
      <c r="M5" s="2028"/>
      <c r="N5" s="2028"/>
      <c r="O5" s="2028"/>
      <c r="P5" s="2028"/>
      <c r="Q5" s="2028"/>
      <c r="R5" s="2028"/>
      <c r="S5" s="2028"/>
      <c r="T5" s="2028"/>
      <c r="U5" s="2028"/>
      <c r="V5" s="2028"/>
    </row>
    <row r="6" spans="1:22" ht="14.25">
      <c r="A6" s="3348"/>
      <c r="B6" s="3374"/>
      <c r="C6" s="3375"/>
      <c r="D6" s="3376"/>
      <c r="E6" s="261" t="s">
        <v>304</v>
      </c>
      <c r="F6" s="262"/>
      <c r="G6" s="262"/>
      <c r="H6" s="262"/>
      <c r="I6" s="263"/>
      <c r="J6" s="2029"/>
      <c r="K6" s="2028"/>
      <c r="L6" s="2028"/>
      <c r="M6" s="2028"/>
      <c r="N6" s="2028"/>
      <c r="O6" s="2028"/>
      <c r="P6" s="2028"/>
      <c r="Q6" s="2028"/>
      <c r="R6" s="2028"/>
      <c r="S6" s="2028"/>
      <c r="T6" s="2028"/>
      <c r="U6" s="2028"/>
      <c r="V6" s="2028"/>
    </row>
    <row r="7" spans="1:22" ht="14.25">
      <c r="A7" s="3348"/>
      <c r="B7" s="3374"/>
      <c r="C7" s="3373"/>
      <c r="D7" s="3376"/>
      <c r="E7" s="261" t="s">
        <v>305</v>
      </c>
      <c r="F7" s="262"/>
      <c r="G7" s="262"/>
      <c r="H7" s="262"/>
      <c r="I7" s="263"/>
      <c r="J7" s="2029"/>
      <c r="K7" s="2028"/>
      <c r="L7" s="2028"/>
      <c r="M7" s="2028"/>
      <c r="N7" s="2028"/>
      <c r="O7" s="2028"/>
      <c r="P7" s="2028"/>
      <c r="Q7" s="2028"/>
      <c r="R7" s="2028"/>
      <c r="S7" s="2028"/>
      <c r="T7" s="2028"/>
      <c r="U7" s="2028"/>
      <c r="V7" s="2028"/>
    </row>
    <row r="8" spans="1:22" ht="14.25">
      <c r="A8" s="3348" t="s">
        <v>306</v>
      </c>
      <c r="B8" s="3374">
        <v>15</v>
      </c>
      <c r="C8" s="3372"/>
      <c r="D8" s="3376"/>
      <c r="E8" s="261" t="s">
        <v>307</v>
      </c>
      <c r="F8" s="262"/>
      <c r="G8" s="262"/>
      <c r="H8" s="262"/>
      <c r="I8" s="263"/>
      <c r="J8" s="2029"/>
      <c r="K8" s="2028"/>
      <c r="L8" s="2028"/>
      <c r="M8" s="2028"/>
      <c r="N8" s="2028"/>
      <c r="O8" s="2028"/>
      <c r="P8" s="2028"/>
      <c r="Q8" s="2028"/>
      <c r="R8" s="2028"/>
      <c r="S8" s="2028"/>
      <c r="T8" s="2028"/>
      <c r="U8" s="2028"/>
      <c r="V8" s="2028"/>
    </row>
    <row r="9" spans="1:22" ht="14.25">
      <c r="A9" s="3348"/>
      <c r="B9" s="3374"/>
      <c r="C9" s="3373"/>
      <c r="D9" s="3376"/>
      <c r="E9" s="261" t="s">
        <v>308</v>
      </c>
      <c r="F9" s="262"/>
      <c r="G9" s="262"/>
      <c r="H9" s="262"/>
      <c r="I9" s="263"/>
      <c r="J9" s="2029"/>
      <c r="K9" s="2028"/>
      <c r="L9" s="2028"/>
      <c r="M9" s="2028"/>
      <c r="N9" s="2028"/>
      <c r="O9" s="2028"/>
      <c r="P9" s="2028"/>
      <c r="Q9" s="2028"/>
      <c r="R9" s="2028"/>
      <c r="S9" s="2028"/>
      <c r="T9" s="2028"/>
      <c r="U9" s="2028"/>
      <c r="V9" s="2028"/>
    </row>
    <row r="10" spans="1:22" ht="14.25">
      <c r="A10" s="3348" t="s">
        <v>309</v>
      </c>
      <c r="B10" s="3374">
        <v>15</v>
      </c>
      <c r="C10" s="3372"/>
      <c r="D10" s="3376"/>
      <c r="E10" s="261" t="s">
        <v>310</v>
      </c>
      <c r="F10" s="262"/>
      <c r="G10" s="262"/>
      <c r="H10" s="262"/>
      <c r="I10" s="263"/>
      <c r="J10" s="2029"/>
      <c r="K10" s="2028"/>
      <c r="L10" s="2028"/>
      <c r="M10" s="2028"/>
      <c r="N10" s="2028"/>
      <c r="O10" s="2028"/>
      <c r="P10" s="2028"/>
      <c r="Q10" s="2028"/>
      <c r="R10" s="2028"/>
      <c r="S10" s="2028"/>
      <c r="T10" s="2028"/>
      <c r="U10" s="2028"/>
      <c r="V10" s="2028"/>
    </row>
    <row r="11" spans="1:22" ht="14.25">
      <c r="A11" s="3348"/>
      <c r="B11" s="3374"/>
      <c r="C11" s="3373"/>
      <c r="D11" s="3376"/>
      <c r="E11" s="261" t="s">
        <v>311</v>
      </c>
      <c r="F11" s="262"/>
      <c r="G11" s="262"/>
      <c r="H11" s="262"/>
      <c r="I11" s="263"/>
      <c r="J11" s="2029"/>
      <c r="K11" s="2028"/>
      <c r="L11" s="2028"/>
      <c r="M11" s="2028"/>
      <c r="N11" s="2028"/>
      <c r="O11" s="2028"/>
      <c r="P11" s="2028"/>
      <c r="Q11" s="2028"/>
      <c r="R11" s="2028"/>
      <c r="S11" s="2028"/>
      <c r="T11" s="2028"/>
      <c r="U11" s="2028"/>
      <c r="V11" s="2028"/>
    </row>
    <row r="12" spans="1:22" ht="14.25">
      <c r="A12" s="3348" t="s">
        <v>312</v>
      </c>
      <c r="B12" s="3374">
        <v>15</v>
      </c>
      <c r="C12" s="3372"/>
      <c r="D12" s="3376"/>
      <c r="E12" s="261" t="s">
        <v>313</v>
      </c>
      <c r="F12" s="262"/>
      <c r="G12" s="262"/>
      <c r="H12" s="262"/>
      <c r="I12" s="263"/>
      <c r="J12" s="2029"/>
      <c r="K12" s="2028"/>
      <c r="L12" s="2028"/>
      <c r="M12" s="2028"/>
      <c r="N12" s="2028"/>
      <c r="O12" s="2028"/>
      <c r="P12" s="2028"/>
      <c r="Q12" s="2028"/>
      <c r="R12" s="2028"/>
      <c r="S12" s="2028"/>
      <c r="T12" s="2028"/>
      <c r="U12" s="2028"/>
      <c r="V12" s="2028"/>
    </row>
    <row r="13" spans="1:22" ht="14.25">
      <c r="A13" s="3348"/>
      <c r="B13" s="3374"/>
      <c r="C13" s="3373"/>
      <c r="D13" s="3376"/>
      <c r="E13" s="261" t="s">
        <v>314</v>
      </c>
      <c r="F13" s="262"/>
      <c r="G13" s="262"/>
      <c r="H13" s="262"/>
      <c r="I13" s="263"/>
      <c r="J13" s="2029"/>
      <c r="K13" s="2028"/>
      <c r="L13" s="2028"/>
      <c r="M13" s="2028"/>
      <c r="N13" s="2028"/>
      <c r="O13" s="2028"/>
      <c r="P13" s="2028"/>
      <c r="Q13" s="2028"/>
      <c r="R13" s="2028"/>
      <c r="S13" s="2028"/>
      <c r="T13" s="2028"/>
      <c r="U13" s="2028"/>
      <c r="V13" s="2028"/>
    </row>
    <row r="14" spans="1:22" ht="14.25">
      <c r="A14" s="3348" t="s">
        <v>315</v>
      </c>
      <c r="B14" s="3374">
        <v>30</v>
      </c>
      <c r="C14" s="3372">
        <v>5</v>
      </c>
      <c r="D14" s="3376">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48"/>
      <c r="B15" s="3374"/>
      <c r="C15" s="3375"/>
      <c r="D15" s="3376"/>
      <c r="E15" s="261" t="s">
        <v>317</v>
      </c>
      <c r="F15" s="262"/>
      <c r="G15" s="262"/>
      <c r="H15" s="262"/>
      <c r="I15" s="263"/>
      <c r="J15" s="2029"/>
      <c r="K15" s="2028"/>
      <c r="L15" s="2028"/>
      <c r="M15" s="2028"/>
      <c r="N15" s="2028"/>
      <c r="O15" s="2028"/>
      <c r="P15" s="2028"/>
      <c r="Q15" s="2028"/>
      <c r="R15" s="2028"/>
      <c r="S15" s="2028"/>
      <c r="T15" s="2028"/>
      <c r="U15" s="2028"/>
      <c r="V15" s="2028"/>
    </row>
    <row r="16" spans="1:22" ht="14.25">
      <c r="A16" s="3348"/>
      <c r="B16" s="3374"/>
      <c r="C16" s="3373"/>
      <c r="D16" s="3376"/>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97896</v>
      </c>
      <c r="D19" s="271">
        <f ca="1">SUMIF(INDIRECT("'"&amp;D4&amp;"'"&amp;"!A:A"),结果表!B19,INDIRECT("'"&amp;D4&amp;"'"&amp;"!B:B"))</f>
        <v>86852</v>
      </c>
      <c r="E19" s="268" t="s">
        <v>323</v>
      </c>
      <c r="F19" s="269" t="s">
        <v>322</v>
      </c>
      <c r="G19" s="272">
        <f ca="1">ROUND(C19*$C$18+D19*$D$18,0)</f>
        <v>92374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3879</v>
      </c>
      <c r="D20" s="277">
        <f ca="1">SUMIF(INDIRECT("'"&amp;D4&amp;"'"&amp;"!A:A"),结果表!B20,INDIRECT("'"&amp;D4&amp;"'"&amp;"!B:B"))</f>
        <v>3442</v>
      </c>
      <c r="E20" s="274"/>
      <c r="F20" s="275" t="s">
        <v>325</v>
      </c>
      <c r="G20" s="278">
        <f ca="1">ROUND(C20*$C$18+D20*$D$18,0)</f>
        <v>3661</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13326</v>
      </c>
      <c r="D21" s="151">
        <f ca="1">SUMIF(INDIRECT("'"&amp;D4&amp;"'"&amp;"!A:A"),结果表!B21,INDIRECT("'"&amp;D4&amp;"'"&amp;"!B:B"))</f>
        <v>11822</v>
      </c>
      <c r="E21" s="274"/>
      <c r="F21" s="280" t="s">
        <v>327</v>
      </c>
      <c r="G21" s="282">
        <f ca="1">ROUND(C21*$C$18+D21*$D$18,0)</f>
        <v>12574</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0.1271588449316079</v>
      </c>
      <c r="E22" s="284"/>
      <c r="F22" s="285"/>
      <c r="G22" s="286">
        <f ca="1">ROUND(G19/('数据-汇总表'!D3/666.67),0)</f>
        <v>838</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54"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5"/>
      <c r="B25" s="1321" t="s">
        <v>331</v>
      </c>
      <c r="C25" s="290">
        <f>IF(B30=0,0,C30)</f>
        <v>0</v>
      </c>
      <c r="D25" s="291"/>
      <c r="E25" s="311"/>
      <c r="F25" s="311"/>
      <c r="G25" s="311"/>
      <c r="H25" s="311"/>
      <c r="I25" s="311"/>
      <c r="J25" s="2028"/>
      <c r="K25" s="1255" t="str">
        <f ca="1">项目基本情况!B16&amp;"国有建设用地使用权价格："&amp;O38&amp;"万元"</f>
        <v>出让国有建设用地使用权价格：92374万元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大写金额：人民币玖亿贰仟叁佰柒拾肆万元整</v>
      </c>
      <c r="L26" s="1252"/>
      <c r="M26" s="1252"/>
      <c r="N26" s="1252"/>
      <c r="O26" s="1251"/>
      <c r="P26" s="2028"/>
      <c r="Q26" s="2028"/>
      <c r="R26" s="2028"/>
      <c r="S26" s="2028"/>
      <c r="T26" s="2028"/>
      <c r="U26" s="2028"/>
      <c r="V26" s="2028"/>
      <c r="W26" s="292"/>
      <c r="X26" s="292"/>
      <c r="Y26" s="292"/>
      <c r="Z26" s="292"/>
    </row>
    <row r="27" spans="1:26" ht="18">
      <c r="A27" s="293">
        <f ca="1">ROUND(G19/'数据-汇总表'!F31*10000,0)</f>
        <v>5239</v>
      </c>
      <c r="B27" s="294"/>
      <c r="C27" s="294"/>
      <c r="D27" s="295"/>
      <c r="E27" s="311"/>
      <c r="F27" s="311"/>
      <c r="G27" s="311"/>
      <c r="H27" s="311"/>
      <c r="I27" s="311"/>
      <c r="J27" s="2028"/>
      <c r="K27" s="1258" t="str">
        <f ca="1">"单位面积地价："&amp;M38&amp;"元/平方米"</f>
        <v>单位面积地价：12574元/平方米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楼面地价：3661元/平方米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抵押价格：92374万元</v>
      </c>
      <c r="L29" s="1252"/>
      <c r="M29" s="1252"/>
      <c r="N29" s="1252"/>
      <c r="O29" s="1251"/>
      <c r="P29" s="2028"/>
      <c r="V29" s="2028"/>
    </row>
    <row r="30" spans="1:26" ht="18.75" thickBot="1">
      <c r="A30" s="3101" t="s">
        <v>336</v>
      </c>
      <c r="B30" s="309"/>
      <c r="C30" s="309"/>
      <c r="D30" s="310"/>
      <c r="E30" s="3102" t="s">
        <v>2955</v>
      </c>
      <c r="F30" s="311"/>
      <c r="G30" s="311"/>
      <c r="H30" s="311"/>
      <c r="I30" s="311"/>
      <c r="J30" s="2028"/>
      <c r="K30" s="1258" t="str">
        <f ca="1">IF(K29="——","——","大写金额：人民币"&amp;NUMBERSTRING(INT(O39*10000),2)&amp;"元整")</f>
        <v>大写金额：人民币玖亿贰仟叁佰柒拾肆万元整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1687</v>
      </c>
      <c r="C32" s="1383">
        <f ca="1">G19-C24</f>
        <v>92374</v>
      </c>
      <c r="D32" s="1384" t="s">
        <v>1688</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1689</v>
      </c>
      <c r="C33" s="264">
        <f ca="1">ROUND(C32*10000/'数据-汇总表'!E3,0)</f>
        <v>3661</v>
      </c>
      <c r="D33" s="1386" t="s">
        <v>1690</v>
      </c>
      <c r="E33" s="3354" t="s">
        <v>338</v>
      </c>
      <c r="F33" s="296" t="s">
        <v>339</v>
      </c>
      <c r="G33" s="297"/>
      <c r="H33" s="980" t="s">
        <v>3161</v>
      </c>
      <c r="I33" s="1259"/>
      <c r="J33" s="2028"/>
      <c r="K33" s="1258" t="str">
        <f ca="1">IF(项目基本情况!E9="——","——","抵押净值："&amp;C46&amp;"万元")</f>
        <v>抵押净值：34842万元</v>
      </c>
      <c r="L33" s="1252"/>
      <c r="M33" s="1252"/>
      <c r="N33" s="1252"/>
      <c r="O33" s="1251"/>
      <c r="P33" s="2028"/>
      <c r="V33" s="2028"/>
    </row>
    <row r="34" spans="1:26" s="1254" customFormat="1" ht="18.75" thickBot="1">
      <c r="A34" s="300"/>
      <c r="B34" s="1387" t="s">
        <v>1691</v>
      </c>
      <c r="C34" s="264">
        <f ca="1">ROUND(C32*10000/'数据-汇总表'!D3,0)</f>
        <v>12574</v>
      </c>
      <c r="D34" s="1388" t="s">
        <v>1690</v>
      </c>
      <c r="E34" s="3395"/>
      <c r="F34" s="127" t="s">
        <v>341</v>
      </c>
      <c r="G34" s="299"/>
      <c r="H34" s="105"/>
      <c r="I34" s="311"/>
      <c r="J34" s="2028"/>
      <c r="K34" s="1261" t="str">
        <f ca="1">IF(K33="——","——","大写金额：人民币"&amp;NUMBERSTRING(INT(O41*10000),2)&amp;"元整")</f>
        <v>大写金额：人民币叁亿肆仟捌佰肆拾贰万元整</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838</v>
      </c>
      <c r="D35" s="1391" t="s">
        <v>1692</v>
      </c>
      <c r="E35" s="3396"/>
      <c r="F35" s="301" t="s">
        <v>342</v>
      </c>
      <c r="G35" s="982"/>
      <c r="H35" s="981" t="s">
        <v>343</v>
      </c>
      <c r="I35" s="311"/>
      <c r="J35" s="2028"/>
      <c r="K35" s="3369" t="s">
        <v>350</v>
      </c>
      <c r="L35" s="3369" t="s">
        <v>351</v>
      </c>
      <c r="M35" s="1264" t="s">
        <v>352</v>
      </c>
      <c r="N35" s="3369" t="s">
        <v>353</v>
      </c>
      <c r="O35" s="3369" t="s">
        <v>354</v>
      </c>
      <c r="P35" s="2028"/>
      <c r="V35" s="2028"/>
    </row>
    <row r="36" spans="1:26" ht="16.5" customHeight="1">
      <c r="A36" s="303" t="s">
        <v>344</v>
      </c>
      <c r="B36" s="304" t="s">
        <v>333</v>
      </c>
      <c r="C36" s="305" t="s">
        <v>345</v>
      </c>
      <c r="D36" s="305" t="s">
        <v>346</v>
      </c>
      <c r="E36" s="306" t="s">
        <v>347</v>
      </c>
      <c r="F36" s="311"/>
      <c r="G36" s="311"/>
      <c r="H36" s="311"/>
      <c r="I36" s="311"/>
      <c r="J36" s="2030"/>
      <c r="K36" s="3370"/>
      <c r="L36" s="3370"/>
      <c r="M36" s="1266" t="s">
        <v>355</v>
      </c>
      <c r="N36" s="3370"/>
      <c r="O36" s="3370"/>
      <c r="P36" s="2028"/>
      <c r="V36" s="2028"/>
    </row>
    <row r="37" spans="1:26" ht="16.5" customHeight="1" thickBot="1">
      <c r="A37" s="1260" t="s">
        <v>348</v>
      </c>
      <c r="B37" s="307"/>
      <c r="C37" s="294"/>
      <c r="D37" s="294"/>
      <c r="E37" s="295"/>
      <c r="F37" s="311"/>
      <c r="G37" s="311"/>
      <c r="H37" s="311"/>
      <c r="I37" s="311"/>
      <c r="J37" s="2030"/>
      <c r="K37" s="3371"/>
      <c r="L37" s="3371"/>
      <c r="M37" s="1267"/>
      <c r="N37" s="3371"/>
      <c r="O37" s="3371"/>
      <c r="P37" s="2028"/>
      <c r="V37" s="2028"/>
    </row>
    <row r="38" spans="1:26" ht="16.5" customHeight="1" thickBot="1">
      <c r="A38" s="1260" t="s">
        <v>349</v>
      </c>
      <c r="B38" s="307"/>
      <c r="C38" s="294"/>
      <c r="D38" s="294"/>
      <c r="E38" s="295"/>
      <c r="F38" s="311"/>
      <c r="G38" s="311"/>
      <c r="H38" s="311"/>
      <c r="I38" s="311"/>
      <c r="J38" s="2030"/>
      <c r="K38" s="1268">
        <f>'数据-汇总表'!D3</f>
        <v>73464.09</v>
      </c>
      <c r="L38" s="1269">
        <f>'数据-汇总表'!E3</f>
        <v>252351.54</v>
      </c>
      <c r="M38" s="1269">
        <f ca="1">C34</f>
        <v>12574</v>
      </c>
      <c r="N38" s="1269">
        <f ca="1">C33</f>
        <v>3661</v>
      </c>
      <c r="O38" s="1270">
        <f ca="1">C32</f>
        <v>92374</v>
      </c>
      <c r="P38" s="2028"/>
      <c r="V38" s="2028"/>
    </row>
    <row r="39" spans="1:26" ht="16.5" customHeight="1" thickBot="1">
      <c r="A39" s="1265"/>
      <c r="B39" s="308"/>
      <c r="C39" s="309"/>
      <c r="D39" s="309"/>
      <c r="E39" s="310"/>
      <c r="F39" s="311"/>
      <c r="G39" s="311"/>
      <c r="H39" s="311"/>
      <c r="I39" s="311"/>
      <c r="J39" s="2030"/>
      <c r="K39" s="3414" t="str">
        <f>MID(A44,3,LEN(A44)-2)</f>
        <v>抵押价格</v>
      </c>
      <c r="L39" s="3415"/>
      <c r="M39" s="3415"/>
      <c r="N39" s="3416"/>
      <c r="O39" s="1393">
        <f ca="1">C44</f>
        <v>92374</v>
      </c>
      <c r="P39" s="2028"/>
      <c r="V39" s="2028"/>
    </row>
    <row r="40" spans="1:26" ht="19.5" thickBot="1">
      <c r="A40" s="104" t="s">
        <v>871</v>
      </c>
      <c r="B40" s="311"/>
      <c r="C40" s="311"/>
      <c r="D40" s="311"/>
      <c r="E40" s="311"/>
      <c r="F40" s="311"/>
      <c r="G40" s="311"/>
      <c r="H40" s="311"/>
      <c r="I40" s="311"/>
      <c r="J40" s="2030"/>
      <c r="K40" s="3414" t="str">
        <f t="shared" ref="K40:K41" si="0">MID(A45,3,LEN(A45)-2)</f>
        <v/>
      </c>
      <c r="L40" s="3415"/>
      <c r="M40" s="3415"/>
      <c r="N40" s="3416"/>
      <c r="O40" s="1393" t="str">
        <f>C45</f>
        <v>——</v>
      </c>
      <c r="P40" s="2028"/>
      <c r="V40" s="2028"/>
    </row>
    <row r="41" spans="1:26" ht="16.5" thickBot="1">
      <c r="A41" s="312" t="s">
        <v>356</v>
      </c>
      <c r="B41" s="313"/>
      <c r="C41" s="314" t="s">
        <v>357</v>
      </c>
      <c r="D41" s="315" t="s">
        <v>358</v>
      </c>
      <c r="E41" s="315" t="s">
        <v>359</v>
      </c>
      <c r="F41" s="316" t="s">
        <v>360</v>
      </c>
      <c r="G41" s="311"/>
      <c r="H41" s="311"/>
      <c r="I41" s="311"/>
      <c r="J41" s="2030"/>
      <c r="K41" s="3414" t="str">
        <f t="shared" si="0"/>
        <v>抵押净值</v>
      </c>
      <c r="L41" s="3415"/>
      <c r="M41" s="3415"/>
      <c r="N41" s="3416"/>
      <c r="O41" s="1393">
        <f ca="1">C46</f>
        <v>34842</v>
      </c>
      <c r="P41" s="2028"/>
      <c r="V41" s="2028"/>
    </row>
    <row r="42" spans="1:26" ht="29.25">
      <c r="A42" s="3356" t="s">
        <v>2065</v>
      </c>
      <c r="B42" s="3357"/>
      <c r="C42" s="264">
        <f ca="1">C32</f>
        <v>92374</v>
      </c>
      <c r="D42" s="317">
        <f ca="1">C33</f>
        <v>3661</v>
      </c>
      <c r="E42" s="317">
        <f ca="1">C34</f>
        <v>12574</v>
      </c>
      <c r="F42" s="318">
        <f ca="1">C35</f>
        <v>838</v>
      </c>
      <c r="G42" s="311"/>
      <c r="H42" s="311"/>
      <c r="I42" s="319"/>
      <c r="J42" s="2030"/>
      <c r="K42" s="1271" t="s">
        <v>361</v>
      </c>
      <c r="L42" s="2047" t="s">
        <v>362</v>
      </c>
      <c r="M42" s="1272" t="s">
        <v>363</v>
      </c>
      <c r="N42" s="2048" t="s">
        <v>364</v>
      </c>
      <c r="O42" s="2049" t="s">
        <v>365</v>
      </c>
      <c r="P42" s="2028"/>
      <c r="V42" s="2028"/>
    </row>
    <row r="43" spans="1:26" ht="30">
      <c r="A43" s="3367" t="s">
        <v>2727</v>
      </c>
      <c r="B43" s="3368"/>
      <c r="C43" s="264">
        <f>IF(H33="正常操作",G33+G34+G35,G34+G35)</f>
        <v>0</v>
      </c>
      <c r="D43" s="317" t="s">
        <v>43</v>
      </c>
      <c r="E43" s="317" t="s">
        <v>44</v>
      </c>
      <c r="F43" s="318" t="s">
        <v>44</v>
      </c>
      <c r="G43" s="2844" t="s">
        <v>950</v>
      </c>
      <c r="H43" s="311"/>
      <c r="I43" s="319"/>
      <c r="J43" s="2030"/>
      <c r="K43" s="1273" t="str">
        <f>C4</f>
        <v>比较法-住宅、综合</v>
      </c>
      <c r="L43" s="1274">
        <f ca="1">IF(L42="估价结果/万元",C19,C20)</f>
        <v>97896</v>
      </c>
      <c r="M43" s="1275">
        <f>C18</f>
        <v>0.5</v>
      </c>
      <c r="N43" s="1276">
        <f ca="1">IF(N42="测算结果/万元",G19,G20)</f>
        <v>92374</v>
      </c>
      <c r="O43" s="1277">
        <f ca="1">IF(O42="最终结果/万元",C32,C33)</f>
        <v>92374</v>
      </c>
      <c r="P43" s="2028"/>
      <c r="V43" s="2028"/>
    </row>
    <row r="44" spans="1:26" ht="30.75" thickBot="1">
      <c r="A44" s="3356" t="str">
        <f>IF(OR(项目基本情况!E8="抵押价格",项目基本情况!E8="已注销及未注销"),"3.抵押价格","——")</f>
        <v>3.抵押价格</v>
      </c>
      <c r="B44" s="3357"/>
      <c r="C44" s="264">
        <f ca="1">IF(A44="——","——",C42-C43)</f>
        <v>92374</v>
      </c>
      <c r="D44" s="317">
        <f ca="1">ROUND(C44*10000/'数据-汇总表'!E3,0)</f>
        <v>3661</v>
      </c>
      <c r="E44" s="317">
        <f ca="1">ROUND(C44*10000/'数据-汇总表'!D3,0)</f>
        <v>12574</v>
      </c>
      <c r="F44" s="318">
        <f ca="1">ROUND(C44/('数据-汇总表'!D3/666.67),0)</f>
        <v>838</v>
      </c>
      <c r="G44" s="311"/>
      <c r="H44" s="311"/>
      <c r="I44" s="319"/>
      <c r="J44" s="2030"/>
      <c r="K44" s="1278" t="str">
        <f>D4</f>
        <v>剩余法-待开发</v>
      </c>
      <c r="L44" s="1279">
        <f ca="1">IF(L42="估价结果/万元",D19,D20)</f>
        <v>86852</v>
      </c>
      <c r="M44" s="1280">
        <f>D18</f>
        <v>0.5</v>
      </c>
      <c r="N44" s="1281"/>
      <c r="O44" s="1282"/>
      <c r="P44" s="2028"/>
      <c r="V44" s="2028"/>
    </row>
    <row r="45" spans="1:26" ht="15">
      <c r="A45" s="3362" t="str">
        <f>IF(项目基本情况!E8="已注销及未注销","4.抵押担保权已注销时的抵押价格",IF(项目基本情况!E8="已注销","3.抵押担保权已注销时的抵押价格","——"))</f>
        <v>——</v>
      </c>
      <c r="B45" s="3363"/>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8" t="str">
        <f>IF(项目基本情况!E9="抵押净值",IF(A45="——","4.抵押净值","5.抵押净值"),"——")</f>
        <v>4.抵押净值</v>
      </c>
      <c r="B46" s="3359"/>
      <c r="C46" s="320">
        <f ca="1">IF(A46="——","——",O79)</f>
        <v>34842</v>
      </c>
      <c r="D46" s="317">
        <f ca="1">ROUND(C46*10000/'数据-汇总表'!E3,0)</f>
        <v>1381</v>
      </c>
      <c r="E46" s="317">
        <f ca="1">ROUND(C46*10000/'数据-汇总表'!D3,0)</f>
        <v>4743</v>
      </c>
      <c r="F46" s="318">
        <f ca="1">ROUND(C46/('数据-汇总表'!D3/666.67),0)</f>
        <v>316</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03" t="s">
        <v>374</v>
      </c>
      <c r="B63" s="3404"/>
      <c r="C63" s="3405"/>
      <c r="D63" s="341">
        <f ca="1">ROUND(C42*F63,0)</f>
        <v>92374</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364" t="s">
        <v>378</v>
      </c>
      <c r="B64" s="3365"/>
      <c r="C64" s="3365"/>
      <c r="D64" s="3365"/>
      <c r="E64" s="3365"/>
      <c r="F64" s="3365"/>
      <c r="G64" s="3366"/>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60" t="s">
        <v>386</v>
      </c>
      <c r="B66" s="3361"/>
      <c r="C66" s="3361"/>
      <c r="D66" s="261">
        <f ca="1">IF(H66="情况1",0,IF(H66="情况2",D70,IF(H66="情况3",D71,IF(H66="情况4",D72))))</f>
        <v>4839</v>
      </c>
      <c r="E66" s="993" t="str">
        <f>IF(H66="情况4","(销售额-原购置价)×税（费）率","销售额×税（费）率")</f>
        <v>销售额×税（费）率</v>
      </c>
      <c r="F66" s="350">
        <f>IF(H66="情况1","免征",'数据-取费表'!B41)</f>
        <v>5.5000000000000007E-2</v>
      </c>
      <c r="G66" s="351" t="s">
        <v>387</v>
      </c>
      <c r="H66" s="191" t="s">
        <v>3387</v>
      </c>
      <c r="I66" s="1288"/>
      <c r="J66" s="2034"/>
      <c r="K66" s="1291">
        <v>1</v>
      </c>
      <c r="L66" s="3418" t="s">
        <v>385</v>
      </c>
      <c r="M66" s="3419"/>
      <c r="N66" s="2437"/>
      <c r="O66" s="2438"/>
      <c r="P66" s="2439"/>
      <c r="Q66" s="2028"/>
      <c r="R66" s="2028"/>
      <c r="S66" s="2028"/>
      <c r="T66" s="2028"/>
      <c r="U66" s="2028"/>
      <c r="V66" s="2028"/>
    </row>
    <row r="67" spans="1:22" ht="25.5" customHeight="1">
      <c r="A67" s="352" t="s">
        <v>389</v>
      </c>
      <c r="B67" s="3351" t="s">
        <v>390</v>
      </c>
      <c r="C67" s="3351"/>
      <c r="D67" s="353">
        <v>0</v>
      </c>
      <c r="E67" s="41" t="s">
        <v>391</v>
      </c>
      <c r="F67" s="62" t="s">
        <v>21</v>
      </c>
      <c r="G67" s="3406"/>
      <c r="H67" s="311"/>
      <c r="I67" s="1292"/>
      <c r="J67" s="2035"/>
      <c r="K67" s="1976">
        <v>2</v>
      </c>
      <c r="L67" s="3417" t="s">
        <v>388</v>
      </c>
      <c r="M67" s="3417"/>
      <c r="N67" s="1325">
        <f>'数据-取费表'!B2</f>
        <v>43529</v>
      </c>
      <c r="O67" s="1325"/>
      <c r="P67" s="1325"/>
      <c r="Q67" s="2028"/>
      <c r="R67" s="2028"/>
      <c r="S67" s="2028"/>
      <c r="T67" s="2028"/>
      <c r="U67" s="2028"/>
      <c r="V67" s="2028"/>
    </row>
    <row r="68" spans="1:22" ht="25.5" customHeight="1">
      <c r="A68" s="354"/>
      <c r="B68" s="3351" t="s">
        <v>393</v>
      </c>
      <c r="C68" s="3351"/>
      <c r="D68" s="355"/>
      <c r="E68" s="77"/>
      <c r="F68" s="356"/>
      <c r="G68" s="3407"/>
      <c r="H68" s="311"/>
      <c r="I68" s="1292"/>
      <c r="J68" s="2035"/>
      <c r="K68" s="1976">
        <v>3</v>
      </c>
      <c r="L68" s="3417" t="s">
        <v>392</v>
      </c>
      <c r="M68" s="3417"/>
      <c r="N68" s="1293">
        <f ca="1">C42</f>
        <v>92374</v>
      </c>
      <c r="O68" s="1293"/>
      <c r="P68" s="1293"/>
      <c r="Q68" s="2028"/>
      <c r="R68" s="2028"/>
      <c r="S68" s="2028"/>
      <c r="T68" s="2028"/>
      <c r="U68" s="2028"/>
      <c r="V68" s="2028"/>
    </row>
    <row r="69" spans="1:22" ht="12" customHeight="1">
      <c r="A69" s="357"/>
      <c r="B69" s="3351" t="s">
        <v>394</v>
      </c>
      <c r="C69" s="3351"/>
      <c r="D69" s="358"/>
      <c r="E69" s="73"/>
      <c r="F69" s="356"/>
      <c r="G69" s="3408"/>
      <c r="H69" s="311"/>
      <c r="I69" s="1292"/>
      <c r="J69" s="2035"/>
      <c r="K69" s="1294">
        <v>4</v>
      </c>
      <c r="L69" s="3422" t="s">
        <v>2880</v>
      </c>
      <c r="M69" s="3423"/>
      <c r="N69" s="1295">
        <f ca="1">C44</f>
        <v>92374</v>
      </c>
      <c r="O69" s="1295"/>
      <c r="P69" s="1295"/>
      <c r="Q69" s="2028"/>
      <c r="R69" s="2028"/>
      <c r="S69" s="2028"/>
      <c r="T69" s="2028"/>
      <c r="U69" s="2028"/>
      <c r="V69" s="2028"/>
    </row>
    <row r="70" spans="1:22" ht="24" customHeight="1">
      <c r="A70" s="359" t="s">
        <v>395</v>
      </c>
      <c r="B70" s="3351" t="s">
        <v>396</v>
      </c>
      <c r="C70" s="3351"/>
      <c r="D70" s="358">
        <f ca="1">ROUND(D63*'数据-取费表'!B41/(1+'数据-取费表'!C42),0)</f>
        <v>4839</v>
      </c>
      <c r="E70" s="17" t="s">
        <v>397</v>
      </c>
      <c r="F70" s="360">
        <f>'数据-取费表'!B41</f>
        <v>5.5000000000000007E-2</v>
      </c>
      <c r="G70" s="361"/>
      <c r="H70" s="311"/>
      <c r="I70" s="1292"/>
      <c r="J70" s="2035"/>
      <c r="K70" s="3037"/>
      <c r="L70" s="3038"/>
      <c r="M70" s="3038"/>
      <c r="N70" s="3039" t="s">
        <v>2885</v>
      </c>
      <c r="O70" s="3038"/>
      <c r="P70" s="3040"/>
      <c r="Q70" s="2028"/>
      <c r="R70" s="2028"/>
      <c r="S70" s="2028"/>
      <c r="T70" s="2028"/>
      <c r="U70" s="2028"/>
      <c r="V70" s="2028"/>
    </row>
    <row r="71" spans="1:22" ht="12" customHeight="1">
      <c r="A71" s="359" t="s">
        <v>403</v>
      </c>
      <c r="B71" s="3352" t="s">
        <v>404</v>
      </c>
      <c r="C71" s="3353"/>
      <c r="D71" s="358">
        <f ca="1">ROUND(D63*'数据-取费表'!B41/(1+'数据-取费表'!C42),0)</f>
        <v>4839</v>
      </c>
      <c r="E71" s="17" t="s">
        <v>397</v>
      </c>
      <c r="F71" s="360">
        <f>'数据-取费表'!B41</f>
        <v>5.5000000000000007E-2</v>
      </c>
      <c r="G71" s="361"/>
      <c r="H71" s="311"/>
      <c r="I71" s="1292"/>
      <c r="J71" s="2035"/>
      <c r="K71" s="3036" t="s">
        <v>398</v>
      </c>
      <c r="L71" s="3424" t="s">
        <v>399</v>
      </c>
      <c r="M71" s="3424"/>
      <c r="N71" s="3036" t="s">
        <v>400</v>
      </c>
      <c r="O71" s="3036" t="s">
        <v>401</v>
      </c>
      <c r="P71" s="3036" t="s">
        <v>402</v>
      </c>
      <c r="Q71" s="2028"/>
      <c r="R71" s="2028"/>
      <c r="S71" s="2028"/>
      <c r="T71" s="2028"/>
      <c r="U71" s="2028"/>
      <c r="V71" s="2028"/>
    </row>
    <row r="72" spans="1:22" ht="12" customHeight="1">
      <c r="A72" s="359" t="s">
        <v>406</v>
      </c>
      <c r="B72" s="3352" t="s">
        <v>407</v>
      </c>
      <c r="C72" s="3353"/>
      <c r="D72" s="358">
        <f ca="1">C86</f>
        <v>4729</v>
      </c>
      <c r="E72" s="73" t="s">
        <v>408</v>
      </c>
      <c r="F72" s="360">
        <f>'数据-取费表'!B41</f>
        <v>5.5000000000000007E-2</v>
      </c>
      <c r="G72" s="361"/>
      <c r="H72" s="1298"/>
      <c r="I72" s="1292"/>
      <c r="J72" s="2035"/>
      <c r="K72" s="1976">
        <v>1</v>
      </c>
      <c r="L72" s="3399" t="s">
        <v>405</v>
      </c>
      <c r="M72" s="3399"/>
      <c r="N72" s="1296">
        <f ca="1">D66</f>
        <v>4839</v>
      </c>
      <c r="O72" s="1859" t="str">
        <f>E66</f>
        <v>销售额×税（费）率</v>
      </c>
      <c r="P72" s="1297">
        <f>F66</f>
        <v>5.5000000000000007E-2</v>
      </c>
      <c r="Q72" s="2028"/>
      <c r="R72" s="2028"/>
      <c r="S72" s="2028"/>
      <c r="T72" s="2028"/>
      <c r="U72" s="2028"/>
      <c r="V72" s="2028"/>
    </row>
    <row r="73" spans="1:22" ht="24" customHeight="1">
      <c r="A73" s="3393" t="s">
        <v>410</v>
      </c>
      <c r="B73" s="3361"/>
      <c r="C73" s="3361"/>
      <c r="D73" s="362">
        <f>IF(H73="个人住宅",0,ROUND(D63*I73,0))</f>
        <v>0</v>
      </c>
      <c r="E73" s="17" t="s">
        <v>411</v>
      </c>
      <c r="F73" s="360" t="str">
        <f>IF(H73="正常",I73,"免征")</f>
        <v>免征</v>
      </c>
      <c r="G73" s="361"/>
      <c r="H73" s="191" t="s">
        <v>2452</v>
      </c>
      <c r="I73" s="360">
        <f>'数据-取费表'!B49</f>
        <v>5.0000000000000001E-4</v>
      </c>
      <c r="J73" s="2035"/>
      <c r="K73" s="1976">
        <v>2</v>
      </c>
      <c r="L73" s="3399" t="s">
        <v>409</v>
      </c>
      <c r="M73" s="3399"/>
      <c r="N73" s="1296">
        <f t="shared" ref="N73:P74" si="1">D73</f>
        <v>0</v>
      </c>
      <c r="O73" s="1859" t="str">
        <f t="shared" si="1"/>
        <v>销售额×税（费）率</v>
      </c>
      <c r="P73" s="1297" t="str">
        <f t="shared" si="1"/>
        <v>免征</v>
      </c>
      <c r="Q73" s="2028"/>
      <c r="R73" s="2028"/>
      <c r="S73" s="2028"/>
      <c r="T73" s="2028"/>
      <c r="U73" s="2028"/>
      <c r="V73" s="2028"/>
    </row>
    <row r="74" spans="1:22" ht="24.75">
      <c r="A74" s="3393" t="s">
        <v>414</v>
      </c>
      <c r="B74" s="3361"/>
      <c r="C74" s="3361"/>
      <c r="D74" s="362">
        <f ca="1">IF(H74="个人住宅",D75,D76)</f>
        <v>51769</v>
      </c>
      <c r="E74" s="17" t="s">
        <v>415</v>
      </c>
      <c r="F74" s="360" t="str">
        <f>IF(H74="正常",F76,"免征")</f>
        <v>——</v>
      </c>
      <c r="G74" s="983" t="s">
        <v>416</v>
      </c>
      <c r="H74" s="363" t="s">
        <v>412</v>
      </c>
      <c r="I74" s="42"/>
      <c r="J74" s="2035"/>
      <c r="K74" s="1976">
        <v>3</v>
      </c>
      <c r="L74" s="3399" t="s">
        <v>413</v>
      </c>
      <c r="M74" s="3399"/>
      <c r="N74" s="1296">
        <f t="shared" ca="1" si="1"/>
        <v>51769</v>
      </c>
      <c r="O74" s="1859" t="str">
        <f t="shared" si="1"/>
        <v>增值额×税（费）率</v>
      </c>
      <c r="P74" s="1299" t="str">
        <f t="shared" si="1"/>
        <v>——</v>
      </c>
      <c r="Q74" s="2028"/>
      <c r="R74" s="2028"/>
      <c r="S74" s="2028"/>
      <c r="T74" s="2028"/>
      <c r="U74" s="2028"/>
      <c r="V74" s="2028"/>
    </row>
    <row r="75" spans="1:22" ht="24">
      <c r="A75" s="359" t="s">
        <v>417</v>
      </c>
      <c r="B75" s="3349" t="s">
        <v>418</v>
      </c>
      <c r="C75" s="3379"/>
      <c r="D75" s="364">
        <v>0</v>
      </c>
      <c r="E75" s="41" t="s">
        <v>419</v>
      </c>
      <c r="F75" s="365"/>
      <c r="G75" s="361"/>
      <c r="H75" s="42"/>
      <c r="I75" s="42"/>
      <c r="J75" s="2035"/>
      <c r="K75" s="3029">
        <f>IF(H77="非个人房产","",4)</f>
        <v>4</v>
      </c>
      <c r="L75" s="3399" t="str">
        <f>IF(H77="非个人房产","——","个人所得税")</f>
        <v>个人所得税</v>
      </c>
      <c r="M75" s="3399"/>
      <c r="N75" s="1300">
        <f ca="1">D77</f>
        <v>924</v>
      </c>
      <c r="O75" s="1872" t="str">
        <f>E77</f>
        <v>销售额×税（费）率</v>
      </c>
      <c r="P75" s="1301">
        <f>F77</f>
        <v>0.01</v>
      </c>
      <c r="Q75" s="2028"/>
      <c r="R75" s="2028"/>
      <c r="S75" s="2028"/>
      <c r="T75" s="2028"/>
      <c r="U75" s="2028"/>
      <c r="V75" s="2028"/>
    </row>
    <row r="76" spans="1:22" ht="24.75">
      <c r="A76" s="359" t="s">
        <v>395</v>
      </c>
      <c r="B76" s="3349" t="s">
        <v>421</v>
      </c>
      <c r="C76" s="3350"/>
      <c r="D76" s="362">
        <f ca="1">IF(H76="转让取得",C99,C115)</f>
        <v>51769</v>
      </c>
      <c r="E76" s="17" t="s">
        <v>422</v>
      </c>
      <c r="F76" s="53" t="s">
        <v>21</v>
      </c>
      <c r="G76" s="361"/>
      <c r="H76" s="363" t="s">
        <v>3388</v>
      </c>
      <c r="I76" s="42"/>
      <c r="J76" s="2035"/>
      <c r="K76" s="3029" t="str">
        <f>IF(项目基本情况!K6="上海银行",IF(K75="",4,K75+1),"")</f>
        <v/>
      </c>
      <c r="L76" s="3410" t="str">
        <f>IF(项目基本情况!K6="上海银行","其他处置费用","")</f>
        <v/>
      </c>
      <c r="M76" s="3411"/>
      <c r="N76" s="1296" t="str">
        <f>IF(项目基本情况!K6="上海银行",N89,"")</f>
        <v/>
      </c>
      <c r="O76" s="3412" t="str">
        <f>IF(项目基本情况!K6="上海银行","包含处置中涉及的律师、诉讼、拍卖、评估等费用","")</f>
        <v/>
      </c>
      <c r="P76" s="3413"/>
      <c r="Q76" s="2028"/>
      <c r="R76" s="2028"/>
      <c r="S76" s="2028"/>
      <c r="T76" s="2028"/>
      <c r="U76" s="2028"/>
      <c r="V76" s="2028"/>
    </row>
    <row r="77" spans="1:22" ht="26.25" thickBot="1">
      <c r="A77" s="3401" t="s">
        <v>424</v>
      </c>
      <c r="B77" s="3402"/>
      <c r="C77" s="3402"/>
      <c r="D77" s="366">
        <f ca="1">IF(H77="非个人房产","——",IF(H77="个人住宅",0,ROUND(D63*I77,0)))</f>
        <v>924</v>
      </c>
      <c r="E77" s="367" t="str">
        <f>IF(H77="非个人房产","——","销售额×税（费）率")</f>
        <v>销售额×税（费）率</v>
      </c>
      <c r="F77" s="368">
        <f>IF(H77="非个人房产","——",IF(H77="个人住宅","免征",I77))</f>
        <v>0.01</v>
      </c>
      <c r="G77" s="984" t="s">
        <v>416</v>
      </c>
      <c r="H77" s="363" t="s">
        <v>2881</v>
      </c>
      <c r="I77" s="369">
        <v>0.01</v>
      </c>
      <c r="J77" s="2035"/>
      <c r="K77" s="3400">
        <f>IF(AND(K75="",K76=""),4,IF(项目基本情况!K6="上海银行",K76+1,K75+1))</f>
        <v>5</v>
      </c>
      <c r="L77" s="3399" t="s">
        <v>2882</v>
      </c>
      <c r="M77" s="3035" t="s">
        <v>420</v>
      </c>
      <c r="N77" s="1302"/>
      <c r="O77" s="1303">
        <f ca="1">SUMIF(N72:N76,"&lt;9e307")</f>
        <v>57532</v>
      </c>
      <c r="P77" s="1304"/>
      <c r="Q77" s="3033">
        <f ca="1">O77/N69</f>
        <v>0.62281594388031269</v>
      </c>
      <c r="R77" s="2028"/>
      <c r="S77" s="2028"/>
      <c r="T77" s="2028"/>
      <c r="U77" s="2028"/>
      <c r="V77" s="2028"/>
    </row>
    <row r="78" spans="1:22" ht="12" customHeight="1">
      <c r="A78" s="1305"/>
      <c r="B78" s="311"/>
      <c r="C78" s="311"/>
      <c r="D78" s="311"/>
      <c r="E78" s="42"/>
      <c r="F78" s="42"/>
      <c r="G78" s="42"/>
      <c r="H78" s="1003"/>
      <c r="I78" s="311"/>
      <c r="J78" s="2035"/>
      <c r="K78" s="3400"/>
      <c r="L78" s="3399"/>
      <c r="M78" s="3035" t="s">
        <v>423</v>
      </c>
      <c r="N78" s="1302"/>
      <c r="O78" s="1303" t="str">
        <f ca="1">NUMBERSTRING(INT(O77*10000),2)&amp;"元整"</f>
        <v>伍亿柒仟伍佰叁拾贰万元整</v>
      </c>
      <c r="P78" s="1304"/>
      <c r="Q78" s="2028"/>
      <c r="R78" s="2028"/>
      <c r="S78" s="2028"/>
      <c r="T78" s="2028"/>
      <c r="U78" s="2028"/>
      <c r="V78" s="2028"/>
    </row>
    <row r="79" spans="1:22" ht="13.5" thickBot="1">
      <c r="A79" s="3394" t="s">
        <v>425</v>
      </c>
      <c r="B79" s="3394"/>
      <c r="C79" s="3394"/>
      <c r="D79" s="3394"/>
      <c r="E79" s="3394"/>
      <c r="F79" s="42"/>
      <c r="G79" s="42"/>
      <c r="H79" s="1003"/>
      <c r="I79" s="311"/>
      <c r="J79" s="2035"/>
      <c r="K79" s="3420">
        <f>K77+1</f>
        <v>6</v>
      </c>
      <c r="L79" s="3399" t="s">
        <v>2883</v>
      </c>
      <c r="M79" s="3035" t="s">
        <v>420</v>
      </c>
      <c r="N79" s="1302"/>
      <c r="O79" s="1303">
        <f ca="1">N69-O77</f>
        <v>34842</v>
      </c>
      <c r="P79" s="1304"/>
      <c r="Q79" s="2028"/>
      <c r="R79" s="2028"/>
      <c r="S79" s="2028"/>
      <c r="T79" s="2028"/>
      <c r="U79" s="2028"/>
      <c r="V79" s="2028"/>
    </row>
    <row r="80" spans="1:22" ht="25.5">
      <c r="A80" s="3389" t="s">
        <v>426</v>
      </c>
      <c r="B80" s="3390"/>
      <c r="C80" s="994"/>
      <c r="D80" s="994" t="s">
        <v>427</v>
      </c>
      <c r="E80" s="370" t="s">
        <v>428</v>
      </c>
      <c r="F80" s="42"/>
      <c r="G80" s="42"/>
      <c r="H80" s="1003"/>
      <c r="I80" s="311"/>
      <c r="J80" s="2028"/>
      <c r="K80" s="3421"/>
      <c r="L80" s="3399"/>
      <c r="M80" s="3035" t="s">
        <v>423</v>
      </c>
      <c r="N80" s="1302"/>
      <c r="O80" s="1303" t="str">
        <f ca="1">NUMBERSTRING(INT(O79*10000),2)&amp;"元整"</f>
        <v>叁亿肆仟捌佰肆拾贰万元整</v>
      </c>
      <c r="P80" s="1304"/>
      <c r="Q80" s="2028"/>
      <c r="R80" s="2028"/>
      <c r="S80" s="2028"/>
      <c r="T80" s="2028"/>
      <c r="U80" s="2028"/>
      <c r="V80" s="2028"/>
    </row>
    <row r="81" spans="1:26" ht="13.5" thickBot="1">
      <c r="A81" s="381" t="s">
        <v>1822</v>
      </c>
      <c r="B81" s="371" t="s">
        <v>429</v>
      </c>
      <c r="C81" s="372">
        <f ca="1">ROUND((C82+C83)/(1+'数据-取费表'!C42),0)</f>
        <v>87975</v>
      </c>
      <c r="D81" s="373"/>
      <c r="E81" s="374"/>
      <c r="F81" s="42"/>
      <c r="G81" s="42"/>
      <c r="H81" s="1003"/>
      <c r="I81" s="311"/>
      <c r="J81" s="2028"/>
      <c r="K81" s="3029">
        <f>K79+1</f>
        <v>7</v>
      </c>
      <c r="L81" s="3397" t="s">
        <v>2884</v>
      </c>
      <c r="M81" s="3398"/>
      <c r="N81" s="1306"/>
      <c r="O81" s="1307">
        <f ca="1">ROUND(O79*10000/'数据-汇总表'!E3,0)</f>
        <v>1381</v>
      </c>
      <c r="P81" s="1308"/>
      <c r="Q81" s="2028"/>
      <c r="R81" s="2028"/>
      <c r="S81" s="2028"/>
      <c r="T81" s="2028"/>
      <c r="U81" s="2028"/>
      <c r="V81" s="2028"/>
    </row>
    <row r="82" spans="1:26" ht="13.5" thickTop="1">
      <c r="A82" s="375" t="s">
        <v>1823</v>
      </c>
      <c r="B82" s="376" t="s">
        <v>430</v>
      </c>
      <c r="C82" s="377">
        <f ca="1">D63</f>
        <v>92374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1824</v>
      </c>
      <c r="B83" s="376" t="s">
        <v>431</v>
      </c>
      <c r="C83" s="380">
        <v>0</v>
      </c>
      <c r="D83" s="378"/>
      <c r="E83" s="379"/>
      <c r="F83" s="42"/>
      <c r="G83" s="42"/>
      <c r="H83" s="1003"/>
      <c r="I83" s="311"/>
      <c r="J83" s="2028"/>
      <c r="K83" s="3409" t="s">
        <v>2871</v>
      </c>
      <c r="L83" s="3041" t="s">
        <v>2872</v>
      </c>
      <c r="M83" s="3031">
        <f ca="1">IF(N69&gt;10000,N69*0.5%,IF(AND(N69&gt;1000,N69&lt;=10000),N69*1%,IF(AND(N69&gt;100,N69&lt;=1000),N69*3%,IF(AND(N69&gt;10,N69&lt;=100),N69*5%,N69*8%))))</f>
        <v>461.87</v>
      </c>
      <c r="N83" s="53">
        <f ca="1">ROUND(M83,1)</f>
        <v>461.9</v>
      </c>
      <c r="O83" s="3034"/>
      <c r="P83" s="2028"/>
      <c r="Q83" s="2028"/>
      <c r="R83" s="2028"/>
      <c r="S83" s="2028"/>
      <c r="T83" s="2028"/>
      <c r="U83" s="2028"/>
      <c r="V83" s="2028"/>
    </row>
    <row r="84" spans="1:26" ht="12.75">
      <c r="A84" s="381" t="s">
        <v>1825</v>
      </c>
      <c r="B84" s="382" t="s">
        <v>432</v>
      </c>
      <c r="C84" s="383">
        <v>2000</v>
      </c>
      <c r="D84" s="384" t="s">
        <v>19</v>
      </c>
      <c r="E84" s="3072" t="s">
        <v>2927</v>
      </c>
      <c r="F84" s="42"/>
      <c r="G84" s="42"/>
      <c r="H84" s="1003"/>
      <c r="I84" s="311"/>
      <c r="J84" s="2028"/>
      <c r="K84" s="3409"/>
      <c r="L84" s="3041" t="s">
        <v>2873</v>
      </c>
      <c r="M84" s="3031">
        <f ca="1">IF(N69&gt;2000,N69*0.5%,IF(AND(N69&gt;1000,N69&lt;=2000),N69*0.6%,IF(AND(N69&gt;500,N69&lt;=1000),N69*0.7%,IF(AND(N69&gt;200,N69&lt;=500),N69*0.8%,IF(AND(N69&gt;100,N69&lt;=200),N69*0.9%,IF(AND(N69&gt;50,N69&lt;=100),N69*1%,IF(AND(N69&gt;20,N69&lt;=50),N69*1.5%,IF(AND(N69&gt;10,N69&lt;=20),N69*2%,IF(AND(N69&gt;1,N69&lt;=10),N69*2.5%)))))))))</f>
        <v>461.87</v>
      </c>
      <c r="N84" s="53">
        <f t="shared" ref="N84:N85" ca="1" si="2">ROUND(M84,1)</f>
        <v>461.9</v>
      </c>
      <c r="O84" s="2028" t="s">
        <v>2874</v>
      </c>
      <c r="P84" s="2028"/>
      <c r="Q84" s="2028"/>
      <c r="R84" s="2028"/>
      <c r="S84" s="2028"/>
      <c r="T84" s="2028"/>
      <c r="U84" s="2028"/>
      <c r="V84" s="2028"/>
    </row>
    <row r="85" spans="1:26" ht="12.75">
      <c r="A85" s="381" t="s">
        <v>1826</v>
      </c>
      <c r="B85" s="382" t="s">
        <v>433</v>
      </c>
      <c r="C85" s="385">
        <f ca="1">C81-C84</f>
        <v>85975</v>
      </c>
      <c r="D85" s="378" t="s">
        <v>19</v>
      </c>
      <c r="E85" s="379"/>
      <c r="F85" s="42"/>
      <c r="G85" s="42"/>
      <c r="H85" s="1003"/>
      <c r="I85" s="311"/>
      <c r="J85" s="2028"/>
      <c r="K85" s="3409"/>
      <c r="L85" s="3041" t="s">
        <v>2875</v>
      </c>
      <c r="M85" s="3031">
        <f ca="1">IF(N69&gt;1000,N69*0.1%,IF(AND(N69&gt;500,N69&lt;=1000),N69*0.5%,IF(AND(N69&gt;50,N69&lt;=500),N69*1%,IF(AND(N69&gt;1,N69&lt;=50),N69*1.5%))))</f>
        <v>92.373999999999995</v>
      </c>
      <c r="N85" s="53">
        <f t="shared" ca="1" si="2"/>
        <v>92.4</v>
      </c>
      <c r="O85" s="2028" t="s">
        <v>2874</v>
      </c>
      <c r="P85" s="2028"/>
      <c r="Q85" s="2028"/>
      <c r="R85" s="2028"/>
      <c r="S85" s="2028"/>
      <c r="T85" s="2028"/>
      <c r="U85" s="2028"/>
      <c r="V85" s="2028"/>
    </row>
    <row r="86" spans="1:26" ht="13.5" thickBot="1">
      <c r="A86" s="386" t="s">
        <v>1827</v>
      </c>
      <c r="B86" s="387" t="s">
        <v>434</v>
      </c>
      <c r="C86" s="388">
        <f ca="1">IF(C85&lt;=0,0,ROUND(C85*D86,0))</f>
        <v>4729</v>
      </c>
      <c r="D86" s="389">
        <f>'数据-取费表'!B41</f>
        <v>5.5000000000000007E-2</v>
      </c>
      <c r="E86" s="390"/>
      <c r="F86" s="42"/>
      <c r="G86" s="42"/>
      <c r="H86" s="1003"/>
      <c r="I86" s="311"/>
      <c r="J86" s="2028"/>
      <c r="K86" s="3409"/>
      <c r="L86" s="3041" t="s">
        <v>2876</v>
      </c>
      <c r="M86" s="3031">
        <f ca="1">N69*0.5%</f>
        <v>461.87</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409"/>
      <c r="L87" s="3041" t="s">
        <v>2878</v>
      </c>
      <c r="M87" s="3031">
        <f ca="1">IF(N69&gt;=10000,(8.25+(N69-10000)*0.01%),IF(AND(N69&gt;=8000,N69&lt;10000),(7.85+(N69-8000)*0.02%),IF(AND(N69&gt;=5000,N69&lt;8000),(6.65+(N69-5000)*0.04%),IF(AND(N69&gt;=2000,N69&lt;5000),(4.25+(PN69-2000)*0.08%),IF(AND(N69&gt;=1000,N69&lt;2000),(2.75+(N69-1000)*0.15%),IF(AND(N69&gt;=100,N69&lt;1000),(0.5+(N69-100)*0.25%),IF(AND(N69&gt;0,N69&lt;100),N69*0.5%)))))))</f>
        <v>16.487400000000001</v>
      </c>
      <c r="N87" s="53">
        <f ca="1">ROUND(M87*0.9,1)</f>
        <v>14.8</v>
      </c>
      <c r="O87" s="3034"/>
      <c r="P87" s="311"/>
      <c r="Q87" s="2028"/>
      <c r="R87" s="2028"/>
      <c r="S87" s="2028"/>
      <c r="T87" s="2028"/>
      <c r="U87" s="2028"/>
      <c r="V87" s="2028"/>
      <c r="W87" s="292"/>
      <c r="X87" s="292"/>
      <c r="Y87" s="292"/>
      <c r="Z87" s="292"/>
    </row>
    <row r="88" spans="1:26" s="1314" customFormat="1" ht="15" thickBot="1">
      <c r="A88" s="3391" t="s">
        <v>435</v>
      </c>
      <c r="B88" s="3392"/>
      <c r="C88" s="3392"/>
      <c r="D88" s="3392"/>
      <c r="E88" s="3392"/>
      <c r="F88" s="3392"/>
      <c r="G88" s="3392"/>
      <c r="H88" s="3392"/>
      <c r="I88" s="1315"/>
      <c r="J88" s="2036"/>
      <c r="K88" s="3409"/>
      <c r="L88" s="3041" t="s">
        <v>2879</v>
      </c>
      <c r="M88" s="3031">
        <f ca="1">IF(N69&gt;10000,N69*0.5%,IF(AND(N69&gt;5000,N69&lt;=10000),N69*1%,IF(AND(N69&gt;1000,N69&lt;=5000),N69*2%,IF(AND(N69&gt;200,N69&lt;=1000),N69*3%,N69*5%))))</f>
        <v>461.87</v>
      </c>
      <c r="N88" s="53">
        <f ca="1">ROUND(M88,1)</f>
        <v>461.9</v>
      </c>
      <c r="O88" s="3034"/>
      <c r="P88" s="11"/>
      <c r="Q88" s="2033"/>
      <c r="R88" s="2033"/>
      <c r="S88" s="2033"/>
      <c r="T88" s="2033"/>
      <c r="U88" s="2033"/>
      <c r="V88" s="2033"/>
      <c r="W88" s="2037"/>
      <c r="X88" s="2037"/>
      <c r="Y88" s="2037"/>
      <c r="Z88" s="2037"/>
    </row>
    <row r="89" spans="1:26" s="1314" customFormat="1" ht="14.25">
      <c r="A89" s="3389" t="s">
        <v>426</v>
      </c>
      <c r="B89" s="3390"/>
      <c r="C89" s="994"/>
      <c r="D89" s="994" t="s">
        <v>427</v>
      </c>
      <c r="E89" s="391" t="s">
        <v>436</v>
      </c>
      <c r="F89" s="392"/>
      <c r="G89" s="392"/>
      <c r="H89" s="393"/>
      <c r="I89" s="1316"/>
      <c r="J89" s="2038"/>
      <c r="K89" s="3409"/>
      <c r="L89" s="3041" t="s">
        <v>27</v>
      </c>
      <c r="M89" s="3032"/>
      <c r="N89" s="53">
        <f ca="1">ROUND(SUM(N83:N88),0)</f>
        <v>1493</v>
      </c>
      <c r="O89" s="3042">
        <f ca="1">N89/N69</f>
        <v>1.6162556563535192E-2</v>
      </c>
      <c r="P89" s="2033"/>
      <c r="Q89" s="2033"/>
      <c r="R89" s="2033"/>
      <c r="S89" s="2033"/>
      <c r="T89" s="2033"/>
      <c r="U89" s="2033"/>
      <c r="V89" s="2033"/>
      <c r="W89" s="2037"/>
      <c r="X89" s="2037"/>
      <c r="Y89" s="2037"/>
      <c r="Z89" s="2037"/>
    </row>
    <row r="90" spans="1:26" s="1314" customFormat="1" ht="14.25">
      <c r="A90" s="381" t="s">
        <v>1822</v>
      </c>
      <c r="B90" s="382" t="s">
        <v>437</v>
      </c>
      <c r="C90" s="385">
        <f ca="1">ROUND(D63/(1+'数据-取费表'!C42),0)</f>
        <v>87975</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1828</v>
      </c>
      <c r="B91" s="348" t="s">
        <v>438</v>
      </c>
      <c r="C91" s="385">
        <f ca="1">C92+C96</f>
        <v>3001</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439</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1830</v>
      </c>
      <c r="B93" s="376" t="s">
        <v>440</v>
      </c>
      <c r="C93" s="396">
        <v>2000</v>
      </c>
      <c r="D93" s="378" t="s">
        <v>19</v>
      </c>
      <c r="E93" s="397" t="s">
        <v>441</v>
      </c>
      <c r="F93" s="398" t="s">
        <v>442</v>
      </c>
      <c r="G93" s="397" t="s">
        <v>443</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444</v>
      </c>
      <c r="C94" s="378">
        <f>IF(F93="购房发票",ROUND(C93*H93*5%,0),0)</f>
        <v>500</v>
      </c>
      <c r="D94" s="401">
        <v>0.05</v>
      </c>
      <c r="E94" s="3352" t="s">
        <v>445</v>
      </c>
      <c r="F94" s="3351"/>
      <c r="G94" s="3351"/>
      <c r="H94" s="3388"/>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446</v>
      </c>
      <c r="C95" s="378">
        <f>ROUND(IF(G95="个人买卖住房",0,IF(G95="2016年5月1日前购买",C93*D95,C93*D95/(1+'数据-取费表'!C42))),0)</f>
        <v>61</v>
      </c>
      <c r="D95" s="402">
        <f>'数据-取费表'!B48+'数据-取费表'!B49</f>
        <v>3.0499999999999999E-2</v>
      </c>
      <c r="E95" s="26" t="s">
        <v>447</v>
      </c>
      <c r="F95" s="403"/>
      <c r="G95" s="404" t="s">
        <v>2426</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448</v>
      </c>
      <c r="C96" s="405">
        <f ca="1">ROUND(D63*D96/(1+'数据-取费表'!C42),0)</f>
        <v>440</v>
      </c>
      <c r="D96" s="406">
        <f>'数据-取费表'!B43</f>
        <v>5.000000000000001E-3</v>
      </c>
      <c r="E96" s="3380" t="s">
        <v>2425</v>
      </c>
      <c r="F96" s="3381"/>
      <c r="G96" s="3381"/>
      <c r="H96" s="3382"/>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1834</v>
      </c>
      <c r="B97" s="382" t="s">
        <v>449</v>
      </c>
      <c r="C97" s="385">
        <f ca="1">C90-C91</f>
        <v>84974</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1835</v>
      </c>
      <c r="B98" s="382" t="s">
        <v>450</v>
      </c>
      <c r="C98" s="407">
        <f ca="1">IF(C97&lt;=0,0,C97/C91)</f>
        <v>28.315228257247583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1836</v>
      </c>
      <c r="B99" s="387" t="s">
        <v>451</v>
      </c>
      <c r="C99" s="408">
        <f ca="1">ROUND(IF(C97&lt;=0,0,IF(C98&gt;=200%,C97*60%-C91*35%,IF(C98&gt;=100%,C97*50%-C91*15%,IF(C98&gt;=50%,C97*40%-C91*5%,IF(C98&lt;50%,C97*30%,0))))),0)</f>
        <v>49934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91" t="s">
        <v>452</v>
      </c>
      <c r="B101" s="3392"/>
      <c r="C101" s="3392"/>
      <c r="D101" s="3392"/>
      <c r="E101" s="3392"/>
      <c r="F101" s="3392"/>
      <c r="G101" s="3392"/>
      <c r="H101" s="3392"/>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89" t="s">
        <v>426</v>
      </c>
      <c r="B102" s="3390"/>
      <c r="C102" s="994"/>
      <c r="D102" s="994" t="s">
        <v>427</v>
      </c>
      <c r="E102" s="391" t="s">
        <v>436</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1822</v>
      </c>
      <c r="B103" s="382" t="s">
        <v>437</v>
      </c>
      <c r="C103" s="385">
        <f ca="1">ROUND(D63/(1+'数据-取费表'!C42),0)</f>
        <v>87975</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1828</v>
      </c>
      <c r="B104" s="348" t="s">
        <v>438</v>
      </c>
      <c r="C104" s="385">
        <f ca="1">IF(H106="仅含出让金",C105+C108+C109+C110+C111+C112,C105+C109+C110+C111+C112)</f>
        <v>1069</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1829</v>
      </c>
      <c r="B105" s="376" t="s">
        <v>453</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1830</v>
      </c>
      <c r="B106" s="376" t="s">
        <v>454</v>
      </c>
      <c r="C106" s="416">
        <v>555</v>
      </c>
      <c r="D106" s="406"/>
      <c r="E106" s="417" t="s">
        <v>455</v>
      </c>
      <c r="F106" s="986"/>
      <c r="G106" s="418" t="s">
        <v>456</v>
      </c>
      <c r="H106" s="419" t="s">
        <v>2436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1831</v>
      </c>
      <c r="B107" s="376" t="s">
        <v>446</v>
      </c>
      <c r="C107" s="405">
        <f>ROUND(C106*D107,0)</f>
        <v>17</v>
      </c>
      <c r="D107" s="406">
        <f>'数据-取费表'!B48+'数据-取费表'!B49</f>
        <v>3.0499999999999999E-2</v>
      </c>
      <c r="E107" s="417" t="s">
        <v>457</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1833</v>
      </c>
      <c r="B108" s="376" t="s">
        <v>458</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1837</v>
      </c>
      <c r="B109" s="376" t="s">
        <v>459</v>
      </c>
      <c r="C109" s="405">
        <f>IF(H109="——",IF(F1="现房",'剩余法-现房'!C18,'剩余法-待开发'!C18),I109)</f>
        <v>0</v>
      </c>
      <c r="D109" s="406"/>
      <c r="E109" s="3383" t="s">
        <v>460</v>
      </c>
      <c r="F109" s="3381"/>
      <c r="G109" s="3381"/>
      <c r="H109" s="1941" t="s">
        <v>2277</v>
      </c>
      <c r="I109" s="1942">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1838</v>
      </c>
      <c r="B110" s="376" t="s">
        <v>461</v>
      </c>
      <c r="C110" s="405">
        <f>ROUND((C105+C108+C109)*D110,0)</f>
        <v>57</v>
      </c>
      <c r="D110" s="406">
        <v>0.1</v>
      </c>
      <c r="E110" s="3383" t="s">
        <v>462</v>
      </c>
      <c r="F110" s="3381"/>
      <c r="G110" s="3381"/>
      <c r="H110" s="3382"/>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1839</v>
      </c>
      <c r="B111" s="376" t="s">
        <v>448</v>
      </c>
      <c r="C111" s="405">
        <f ca="1">ROUND(D63*D111/(1+'数据-取费表'!C42),0)</f>
        <v>440</v>
      </c>
      <c r="D111" s="406">
        <f>'数据-取费表'!B43</f>
        <v>5.000000000000001E-3</v>
      </c>
      <c r="E111" s="3380" t="s">
        <v>2425</v>
      </c>
      <c r="F111" s="3381"/>
      <c r="G111" s="3381"/>
      <c r="H111" s="3382"/>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1840</v>
      </c>
      <c r="B112" s="376" t="s">
        <v>463</v>
      </c>
      <c r="C112" s="405">
        <f>ROUND(C108*D112,0)</f>
        <v>0</v>
      </c>
      <c r="D112" s="406">
        <v>0.2</v>
      </c>
      <c r="E112" s="3383" t="s">
        <v>2450</v>
      </c>
      <c r="F112" s="3381"/>
      <c r="G112" s="3381"/>
      <c r="H112" s="3382"/>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1834</v>
      </c>
      <c r="B113" s="382" t="s">
        <v>449</v>
      </c>
      <c r="C113" s="385">
        <f ca="1">ROUND(C103-C104,0)</f>
        <v>86906</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1835</v>
      </c>
      <c r="B114" s="382" t="s">
        <v>450</v>
      </c>
      <c r="C114" s="407">
        <f ca="1">IF(C113&lt;=0,0,C113/C104)</f>
        <v>81.29653882132834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1836</v>
      </c>
      <c r="B115" s="387" t="s">
        <v>451</v>
      </c>
      <c r="C115" s="408">
        <f ca="1">ROUND(IF(C113&lt;=0,0,IF(C114&gt;=200%,C113*60%-C104*35%,IF(C114&gt;=100%,C113*50%-C104*15%,IF(C114&gt;=50%,C113*40%-C104*5%,IF(C114&lt;50%,C113*30%,0))))),0)</f>
        <v>51769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108">
    <cfRule type="expression" dxfId="150" priority="3" stopIfTrue="1">
      <formula>$H$106&lt;&gt;"仅含出让金"</formula>
    </cfRule>
  </conditionalFormatting>
  <conditionalFormatting sqref="C109">
    <cfRule type="expression" dxfId="149" priority="2" stopIfTrue="1">
      <formula>$H$109="由企业提供"</formula>
    </cfRule>
  </conditionalFormatting>
  <conditionalFormatting sqref="I33">
    <cfRule type="expression" dxfId="14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8"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workbookViewId="0">
      <selection activeCell="G13" sqref="G13"/>
    </sheetView>
  </sheetViews>
  <sheetFormatPr defaultRowHeight="13.5"/>
  <cols>
    <col min="2" max="9" width="12.625" style="3173" customWidth="1"/>
  </cols>
  <sheetData>
    <row r="1" spans="2:9" ht="14.25">
      <c r="B1" s="3438" t="s">
        <v>3016</v>
      </c>
      <c r="C1" s="3438"/>
      <c r="D1" s="3438"/>
      <c r="E1" s="3438"/>
      <c r="F1" s="3438"/>
      <c r="G1" s="3438"/>
      <c r="H1" s="3438"/>
      <c r="I1" s="3438"/>
    </row>
    <row r="2" spans="2:9">
      <c r="B2" s="3174" t="s">
        <v>2978</v>
      </c>
      <c r="C2" s="3174" t="s">
        <v>2979</v>
      </c>
      <c r="D2" s="3174" t="s">
        <v>2985</v>
      </c>
      <c r="E2" s="3174" t="s">
        <v>2980</v>
      </c>
      <c r="F2" s="3174" t="s">
        <v>2981</v>
      </c>
      <c r="G2" s="3174" t="s">
        <v>2982</v>
      </c>
      <c r="H2" s="3174" t="s">
        <v>2983</v>
      </c>
      <c r="I2" s="3174" t="s">
        <v>2984</v>
      </c>
    </row>
    <row r="3" spans="2:9" ht="24">
      <c r="B3" s="3174">
        <v>1</v>
      </c>
      <c r="C3" s="3174" t="s">
        <v>3394</v>
      </c>
      <c r="D3" s="3174" t="s">
        <v>2986</v>
      </c>
      <c r="E3" s="3174" t="s">
        <v>2987</v>
      </c>
      <c r="F3" s="3174">
        <v>49940.81</v>
      </c>
      <c r="G3" s="3174">
        <v>20</v>
      </c>
      <c r="H3" s="3174">
        <v>99.881619999999998</v>
      </c>
      <c r="I3" s="3174" t="s">
        <v>3014</v>
      </c>
    </row>
    <row r="4" spans="2:9" ht="24">
      <c r="B4" s="3174">
        <v>2</v>
      </c>
      <c r="C4" s="3174" t="s">
        <v>3395</v>
      </c>
      <c r="D4" s="3174" t="s">
        <v>2986</v>
      </c>
      <c r="E4" s="3174" t="s">
        <v>2987</v>
      </c>
      <c r="F4" s="3174">
        <v>98505.7</v>
      </c>
      <c r="G4" s="3174">
        <v>40</v>
      </c>
      <c r="H4" s="3174">
        <v>394.02280000000002</v>
      </c>
      <c r="I4" s="3174" t="s">
        <v>3015</v>
      </c>
    </row>
    <row r="5" spans="2:9" ht="24">
      <c r="B5" s="3174">
        <v>3</v>
      </c>
      <c r="C5" s="3174" t="s">
        <v>3396</v>
      </c>
      <c r="D5" s="3174" t="s">
        <v>2986</v>
      </c>
      <c r="E5" s="3174" t="s">
        <v>2987</v>
      </c>
      <c r="F5" s="3174">
        <v>102852.2</v>
      </c>
      <c r="G5" s="3174">
        <v>20</v>
      </c>
      <c r="H5" s="3174">
        <v>205.70439999999999</v>
      </c>
      <c r="I5" s="3174" t="s">
        <v>2988</v>
      </c>
    </row>
    <row r="6" spans="2:9" ht="24">
      <c r="B6" s="3174">
        <v>4</v>
      </c>
      <c r="C6" s="3174" t="s">
        <v>3397</v>
      </c>
      <c r="D6" s="3174" t="s">
        <v>2989</v>
      </c>
      <c r="E6" s="3174" t="s">
        <v>2990</v>
      </c>
      <c r="F6" s="3174">
        <v>123283.2</v>
      </c>
      <c r="G6" s="3174">
        <v>40</v>
      </c>
      <c r="H6" s="3174">
        <v>493.13279999999997</v>
      </c>
      <c r="I6" s="3174" t="s">
        <v>2991</v>
      </c>
    </row>
    <row r="7" spans="2:9" s="3176" customFormat="1">
      <c r="B7" s="3175"/>
      <c r="C7" s="3175"/>
      <c r="D7" s="3175"/>
      <c r="E7" s="3175"/>
      <c r="F7" s="3175"/>
      <c r="G7" s="3175"/>
      <c r="H7" s="3175"/>
      <c r="I7" s="3175"/>
    </row>
    <row r="8" spans="2:9" ht="14.25">
      <c r="B8" s="3439" t="s">
        <v>3017</v>
      </c>
      <c r="C8" s="3440"/>
      <c r="D8" s="3440"/>
      <c r="E8" s="3440"/>
      <c r="F8" s="3440"/>
      <c r="G8" s="3440"/>
      <c r="H8" s="3440"/>
      <c r="I8" s="3441"/>
    </row>
    <row r="9" spans="2:9">
      <c r="B9" s="3174"/>
      <c r="C9" s="3174"/>
      <c r="D9" s="3174" t="s">
        <v>2996</v>
      </c>
      <c r="E9" s="3174" t="s">
        <v>2995</v>
      </c>
      <c r="F9" s="3174" t="s">
        <v>2994</v>
      </c>
      <c r="G9" s="3174" t="s">
        <v>2993</v>
      </c>
      <c r="H9" s="3174" t="s">
        <v>2997</v>
      </c>
      <c r="I9" s="3174" t="s">
        <v>2998</v>
      </c>
    </row>
    <row r="10" spans="2:9" ht="36">
      <c r="B10" s="3174" t="s">
        <v>2992</v>
      </c>
      <c r="C10" s="3174" t="s">
        <v>3003</v>
      </c>
      <c r="D10" s="3174">
        <v>356830.7</v>
      </c>
      <c r="E10" s="3174">
        <v>280549.23</v>
      </c>
      <c r="F10" s="3174">
        <v>76281.47</v>
      </c>
      <c r="G10" s="3174">
        <v>17128.837599999999</v>
      </c>
      <c r="H10" s="3174">
        <v>657</v>
      </c>
      <c r="I10" s="3174" t="s">
        <v>2999</v>
      </c>
    </row>
    <row r="11" spans="2:9" ht="36">
      <c r="B11" s="3174" t="s">
        <v>3001</v>
      </c>
      <c r="C11" s="3174" t="s">
        <v>3004</v>
      </c>
      <c r="D11" s="3174"/>
      <c r="E11" s="3174"/>
      <c r="F11" s="3174">
        <v>76281.47</v>
      </c>
      <c r="G11" s="3174">
        <v>-20927.8213</v>
      </c>
      <c r="H11" s="3174"/>
      <c r="I11" s="3174" t="s">
        <v>3000</v>
      </c>
    </row>
    <row r="12" spans="2:9" ht="24">
      <c r="B12" s="3174" t="s">
        <v>3002</v>
      </c>
      <c r="C12" s="3174" t="s">
        <v>2986</v>
      </c>
      <c r="D12" s="3174"/>
      <c r="E12" s="3174"/>
      <c r="F12" s="3174"/>
      <c r="G12" s="3174"/>
      <c r="H12" s="3174"/>
      <c r="I12" s="3174" t="s">
        <v>3005</v>
      </c>
    </row>
    <row r="13" spans="2:9" ht="84">
      <c r="B13" s="3174" t="s">
        <v>3006</v>
      </c>
      <c r="C13" s="3174" t="s">
        <v>3007</v>
      </c>
      <c r="D13" s="3174"/>
      <c r="E13" s="3174"/>
      <c r="F13" s="3174"/>
      <c r="G13" s="3174">
        <v>17128.837599999999</v>
      </c>
      <c r="H13" s="3174"/>
      <c r="I13" s="3174" t="s">
        <v>3008</v>
      </c>
    </row>
    <row r="14" spans="2:9" ht="36">
      <c r="B14" s="3174" t="s">
        <v>3011</v>
      </c>
      <c r="C14" s="3174"/>
      <c r="D14" s="3174">
        <v>374581.9</v>
      </c>
      <c r="E14" s="3174">
        <v>366724.2</v>
      </c>
      <c r="F14" s="3174">
        <v>7857.7</v>
      </c>
      <c r="G14" s="3174">
        <v>1.2442</v>
      </c>
      <c r="H14" s="3174"/>
      <c r="I14" s="3174" t="s">
        <v>3009</v>
      </c>
    </row>
    <row r="15" spans="2:9" ht="48">
      <c r="B15" s="3174" t="s">
        <v>3010</v>
      </c>
      <c r="C15" s="3174"/>
      <c r="D15" s="3174">
        <v>356830.7</v>
      </c>
      <c r="E15" s="3174">
        <v>1187</v>
      </c>
      <c r="F15" s="3174" t="s">
        <v>3012</v>
      </c>
      <c r="G15" s="3174">
        <v>42355.804100000001</v>
      </c>
      <c r="H15" s="3174"/>
      <c r="I15" s="3174" t="s">
        <v>3013</v>
      </c>
    </row>
    <row r="18" spans="3:7">
      <c r="D18" s="3209" t="s">
        <v>3019</v>
      </c>
      <c r="E18" s="3209" t="s">
        <v>3020</v>
      </c>
      <c r="F18" s="3210" t="s">
        <v>3021</v>
      </c>
      <c r="G18" s="3210" t="s">
        <v>3022</v>
      </c>
    </row>
    <row r="19" spans="3:7">
      <c r="C19" s="3173" t="s">
        <v>3112</v>
      </c>
      <c r="D19" s="3173" t="s">
        <v>3390</v>
      </c>
      <c r="E19" s="3173" t="s">
        <v>3391</v>
      </c>
      <c r="F19" s="3173" t="s">
        <v>3392</v>
      </c>
      <c r="G19" s="3173" t="s">
        <v>3393</v>
      </c>
    </row>
    <row r="20" spans="3:7">
      <c r="C20" s="3173" t="s">
        <v>3113</v>
      </c>
      <c r="D20" s="3173" t="s">
        <v>3107</v>
      </c>
      <c r="E20" s="3173" t="s">
        <v>3107</v>
      </c>
      <c r="F20" s="3173" t="s">
        <v>3107</v>
      </c>
      <c r="G20" s="3173" t="s">
        <v>3108</v>
      </c>
    </row>
    <row r="21" spans="3:7">
      <c r="C21" s="3173" t="s">
        <v>3109</v>
      </c>
      <c r="D21" s="3173">
        <v>73464.09</v>
      </c>
      <c r="E21" s="3173">
        <v>35498.75</v>
      </c>
      <c r="F21" s="3173">
        <v>48336.14</v>
      </c>
      <c r="G21" s="3173">
        <v>32815.18</v>
      </c>
    </row>
    <row r="22" spans="3:7">
      <c r="C22" s="3173" t="s">
        <v>3110</v>
      </c>
      <c r="D22" s="3211">
        <v>65354</v>
      </c>
      <c r="E22" s="3211">
        <v>65354</v>
      </c>
      <c r="F22" s="3211">
        <v>65354</v>
      </c>
      <c r="G22" s="3211">
        <v>65354</v>
      </c>
    </row>
    <row r="23" spans="3:7">
      <c r="C23" s="3173" t="s">
        <v>3111</v>
      </c>
      <c r="D23" s="3211">
        <v>54397</v>
      </c>
      <c r="E23" s="3211">
        <v>54397</v>
      </c>
      <c r="F23" s="3211">
        <v>54397</v>
      </c>
      <c r="G23" s="3211">
        <v>54397</v>
      </c>
    </row>
    <row r="34" spans="1:9" ht="14.25">
      <c r="A34" s="3436"/>
      <c r="B34" s="3434" t="s">
        <v>3404</v>
      </c>
      <c r="C34" s="3435" t="s">
        <v>3405</v>
      </c>
      <c r="D34" s="3431" t="s">
        <v>3398</v>
      </c>
      <c r="E34" s="3446" t="s">
        <v>3399</v>
      </c>
      <c r="F34" s="3445" t="s">
        <v>3410</v>
      </c>
      <c r="G34" s="3443" t="s">
        <v>3409</v>
      </c>
      <c r="H34" s="3444"/>
      <c r="I34" s="3444"/>
    </row>
    <row r="35" spans="1:9" ht="15" customHeight="1">
      <c r="A35" s="3436"/>
      <c r="B35" s="3434"/>
      <c r="C35" s="3435"/>
      <c r="D35" s="3431"/>
      <c r="E35" s="3446"/>
      <c r="F35" s="3445"/>
      <c r="G35" s="3248" t="s">
        <v>24</v>
      </c>
      <c r="H35" s="3246" t="s">
        <v>3099</v>
      </c>
      <c r="I35" s="3246" t="s">
        <v>3100</v>
      </c>
    </row>
    <row r="36" spans="1:9" ht="14.25">
      <c r="A36" s="3437"/>
      <c r="B36" s="3434" t="s">
        <v>3406</v>
      </c>
      <c r="C36" s="3435" t="str">
        <f>D19</f>
        <v>郫国用（2016）第906号</v>
      </c>
      <c r="D36" s="3431" t="s">
        <v>3400</v>
      </c>
      <c r="E36" s="3249" t="s">
        <v>3336</v>
      </c>
      <c r="F36" s="3433">
        <f>F43</f>
        <v>73464.09</v>
      </c>
      <c r="G36" s="3250">
        <v>96961.26</v>
      </c>
      <c r="H36" s="3251">
        <v>96961.26</v>
      </c>
      <c r="I36" s="3251"/>
    </row>
    <row r="37" spans="1:9" ht="14.25">
      <c r="A37" s="3437"/>
      <c r="B37" s="3434"/>
      <c r="C37" s="3435"/>
      <c r="D37" s="3431"/>
      <c r="E37" s="3249" t="s">
        <v>3403</v>
      </c>
      <c r="F37" s="3431"/>
      <c r="G37" s="3250">
        <v>78732</v>
      </c>
      <c r="H37" s="3251">
        <v>78732</v>
      </c>
      <c r="I37" s="3251"/>
    </row>
    <row r="38" spans="1:9" ht="14.25">
      <c r="A38" s="3437"/>
      <c r="B38" s="3434"/>
      <c r="C38" s="3435"/>
      <c r="D38" s="3431"/>
      <c r="E38" s="3249" t="s">
        <v>35</v>
      </c>
      <c r="F38" s="3431"/>
      <c r="G38" s="3250">
        <v>69191.13</v>
      </c>
      <c r="H38" s="3251"/>
      <c r="I38" s="3251">
        <v>69191.13</v>
      </c>
    </row>
    <row r="39" spans="1:9" ht="14.25">
      <c r="A39" s="3437"/>
      <c r="B39" s="3434"/>
      <c r="C39" s="3435"/>
      <c r="D39" s="3431"/>
      <c r="E39" s="3246" t="s">
        <v>27</v>
      </c>
      <c r="F39" s="3431"/>
      <c r="G39" s="3250">
        <v>244884.39</v>
      </c>
      <c r="H39" s="3250">
        <v>175693.26</v>
      </c>
      <c r="I39" s="3250">
        <v>69191.13</v>
      </c>
    </row>
    <row r="40" spans="1:9" ht="14.25">
      <c r="A40" s="3437"/>
      <c r="B40" s="3434"/>
      <c r="C40" s="3435"/>
      <c r="D40" s="3431" t="s">
        <v>1678</v>
      </c>
      <c r="E40" s="3246" t="s">
        <v>2312</v>
      </c>
      <c r="F40" s="3431"/>
      <c r="G40" s="3250">
        <v>6667.1500000000005</v>
      </c>
      <c r="H40" s="3246">
        <v>220.55</v>
      </c>
      <c r="I40" s="3246">
        <v>6446.6</v>
      </c>
    </row>
    <row r="41" spans="1:9" ht="14.25">
      <c r="A41" s="3437"/>
      <c r="B41" s="3434"/>
      <c r="C41" s="3435"/>
      <c r="D41" s="3431"/>
      <c r="E41" s="3247" t="s">
        <v>3401</v>
      </c>
      <c r="F41" s="3431"/>
      <c r="G41" s="3250">
        <v>800</v>
      </c>
      <c r="H41" s="3246">
        <v>400</v>
      </c>
      <c r="I41" s="3246">
        <v>400</v>
      </c>
    </row>
    <row r="42" spans="1:9" ht="14.25">
      <c r="A42" s="3437"/>
      <c r="B42" s="3434"/>
      <c r="C42" s="3435"/>
      <c r="D42" s="3431"/>
      <c r="E42" s="3246" t="s">
        <v>27</v>
      </c>
      <c r="F42" s="3431"/>
      <c r="G42" s="3250">
        <v>7467.1500000000005</v>
      </c>
      <c r="H42" s="3250">
        <v>620.54999999999995</v>
      </c>
      <c r="I42" s="3250">
        <v>6846.6</v>
      </c>
    </row>
    <row r="43" spans="1:9" ht="15">
      <c r="A43" s="3437"/>
      <c r="B43" s="3434"/>
      <c r="C43" s="3435"/>
      <c r="D43" s="3442" t="s">
        <v>3402</v>
      </c>
      <c r="E43" s="3442"/>
      <c r="F43" s="3252">
        <v>73464.09</v>
      </c>
      <c r="G43" s="3252">
        <v>252351.54</v>
      </c>
      <c r="H43" s="3252">
        <v>176313.81</v>
      </c>
      <c r="I43" s="3252">
        <v>76037.73000000001</v>
      </c>
    </row>
    <row r="44" spans="1:9" ht="14.25">
      <c r="A44" s="3437"/>
      <c r="B44" s="3434" t="s">
        <v>3407</v>
      </c>
      <c r="C44" s="3435" t="str">
        <f>E19</f>
        <v>郫国用（2016）第899号</v>
      </c>
      <c r="D44" s="3431" t="s">
        <v>3400</v>
      </c>
      <c r="E44" s="3249" t="s">
        <v>3403</v>
      </c>
      <c r="F44" s="3433">
        <f>F50</f>
        <v>35498.750000000007</v>
      </c>
      <c r="G44" s="3250">
        <v>56547.76</v>
      </c>
      <c r="H44" s="3251">
        <v>56547.76</v>
      </c>
      <c r="I44" s="3251"/>
    </row>
    <row r="45" spans="1:9" ht="14.25">
      <c r="A45" s="3437"/>
      <c r="B45" s="3434"/>
      <c r="C45" s="3435"/>
      <c r="D45" s="3431"/>
      <c r="E45" s="3249" t="s">
        <v>35</v>
      </c>
      <c r="F45" s="3431"/>
      <c r="G45" s="3250">
        <v>22286.32</v>
      </c>
      <c r="H45" s="3251"/>
      <c r="I45" s="3251">
        <v>22286.32</v>
      </c>
    </row>
    <row r="46" spans="1:9" ht="14.25">
      <c r="A46" s="3437"/>
      <c r="B46" s="3434"/>
      <c r="C46" s="3435"/>
      <c r="D46" s="3431"/>
      <c r="E46" s="3246" t="s">
        <v>27</v>
      </c>
      <c r="F46" s="3431"/>
      <c r="G46" s="3250">
        <v>78834.080000000002</v>
      </c>
      <c r="H46" s="3250">
        <v>56547.76</v>
      </c>
      <c r="I46" s="3250">
        <v>22286.32</v>
      </c>
    </row>
    <row r="47" spans="1:9" ht="14.25">
      <c r="A47" s="3437"/>
      <c r="B47" s="3434"/>
      <c r="C47" s="3435"/>
      <c r="D47" s="3431" t="s">
        <v>1678</v>
      </c>
      <c r="E47" s="3246" t="s">
        <v>2312</v>
      </c>
      <c r="F47" s="3431"/>
      <c r="G47" s="3250">
        <v>2201.59</v>
      </c>
      <c r="H47" s="3246">
        <v>125.24000000000001</v>
      </c>
      <c r="I47" s="3246">
        <v>2076.3500000000004</v>
      </c>
    </row>
    <row r="48" spans="1:9" ht="14.25">
      <c r="A48" s="3437"/>
      <c r="B48" s="3434"/>
      <c r="C48" s="3435"/>
      <c r="D48" s="3431"/>
      <c r="E48" s="3247" t="s">
        <v>3401</v>
      </c>
      <c r="F48" s="3431"/>
      <c r="G48" s="3250">
        <v>250</v>
      </c>
      <c r="H48" s="3246">
        <v>125</v>
      </c>
      <c r="I48" s="3246">
        <v>125</v>
      </c>
    </row>
    <row r="49" spans="1:9" ht="14.25">
      <c r="A49" s="3437"/>
      <c r="B49" s="3434"/>
      <c r="C49" s="3435"/>
      <c r="D49" s="3431"/>
      <c r="E49" s="3246" t="s">
        <v>27</v>
      </c>
      <c r="F49" s="3431"/>
      <c r="G49" s="3250">
        <v>2451.59</v>
      </c>
      <c r="H49" s="3250">
        <v>250.24</v>
      </c>
      <c r="I49" s="3250">
        <v>2201.3500000000004</v>
      </c>
    </row>
    <row r="50" spans="1:9" ht="15">
      <c r="A50" s="3437"/>
      <c r="B50" s="3434"/>
      <c r="C50" s="3435"/>
      <c r="D50" s="3432" t="s">
        <v>24</v>
      </c>
      <c r="E50" s="3432"/>
      <c r="F50" s="3252">
        <v>35498.750000000007</v>
      </c>
      <c r="G50" s="3252">
        <v>81285.67</v>
      </c>
      <c r="H50" s="3252">
        <v>56798</v>
      </c>
      <c r="I50" s="3252">
        <v>24487.67</v>
      </c>
    </row>
    <row r="51" spans="1:9" ht="14.25">
      <c r="A51" s="3437"/>
      <c r="B51" s="3434" t="s">
        <v>3408</v>
      </c>
      <c r="C51" s="3435" t="str">
        <f>F19</f>
        <v>郫国用（2016）第904号</v>
      </c>
      <c r="D51" s="3431" t="s">
        <v>3400</v>
      </c>
      <c r="E51" s="3249" t="s">
        <v>3336</v>
      </c>
      <c r="F51" s="3433">
        <f>F58</f>
        <v>48336.149999999994</v>
      </c>
      <c r="G51" s="3250">
        <v>93223.65</v>
      </c>
      <c r="H51" s="3251">
        <v>93223.65</v>
      </c>
      <c r="I51" s="3251"/>
    </row>
    <row r="52" spans="1:9" ht="14.25">
      <c r="A52" s="3437"/>
      <c r="B52" s="3434"/>
      <c r="C52" s="3435"/>
      <c r="D52" s="3431"/>
      <c r="E52" s="3249" t="s">
        <v>3337</v>
      </c>
      <c r="F52" s="3431"/>
      <c r="G52" s="3250">
        <v>36816.9</v>
      </c>
      <c r="H52" s="3251">
        <v>36816.9</v>
      </c>
      <c r="I52" s="3251"/>
    </row>
    <row r="53" spans="1:9" ht="14.25">
      <c r="A53" s="3437"/>
      <c r="B53" s="3434"/>
      <c r="C53" s="3435"/>
      <c r="D53" s="3431"/>
      <c r="E53" s="3249" t="s">
        <v>35</v>
      </c>
      <c r="F53" s="3431"/>
      <c r="G53" s="3250">
        <v>51227.34</v>
      </c>
      <c r="H53" s="3251"/>
      <c r="I53" s="3251">
        <v>51227.34</v>
      </c>
    </row>
    <row r="54" spans="1:9" ht="14.25">
      <c r="A54" s="3437"/>
      <c r="B54" s="3434"/>
      <c r="C54" s="3435"/>
      <c r="D54" s="3431"/>
      <c r="E54" s="3246" t="s">
        <v>27</v>
      </c>
      <c r="F54" s="3431"/>
      <c r="G54" s="3250">
        <v>181267.88999999998</v>
      </c>
      <c r="H54" s="3250">
        <v>130040.54999999999</v>
      </c>
      <c r="I54" s="3250">
        <v>51227.34</v>
      </c>
    </row>
    <row r="55" spans="1:9" ht="14.25">
      <c r="A55" s="3437"/>
      <c r="B55" s="3434"/>
      <c r="C55" s="3435"/>
      <c r="D55" s="3431" t="s">
        <v>1678</v>
      </c>
      <c r="E55" s="3246" t="s">
        <v>2312</v>
      </c>
      <c r="F55" s="3431"/>
      <c r="G55" s="3250">
        <v>4955.74</v>
      </c>
      <c r="H55" s="3246">
        <v>184.03</v>
      </c>
      <c r="I55" s="3246">
        <v>4771.71</v>
      </c>
    </row>
    <row r="56" spans="1:9" ht="14.25">
      <c r="A56" s="3437"/>
      <c r="B56" s="3434"/>
      <c r="C56" s="3435"/>
      <c r="D56" s="3431"/>
      <c r="E56" s="3247" t="s">
        <v>3401</v>
      </c>
      <c r="F56" s="3431"/>
      <c r="G56" s="3250">
        <v>566</v>
      </c>
      <c r="H56" s="3246">
        <v>283</v>
      </c>
      <c r="I56" s="3246">
        <v>283</v>
      </c>
    </row>
    <row r="57" spans="1:9" ht="14.25">
      <c r="A57" s="3437"/>
      <c r="B57" s="3434"/>
      <c r="C57" s="3435"/>
      <c r="D57" s="3431"/>
      <c r="E57" s="3246" t="s">
        <v>27</v>
      </c>
      <c r="F57" s="3431"/>
      <c r="G57" s="3250">
        <v>5521.74</v>
      </c>
      <c r="H57" s="3250">
        <v>467.03</v>
      </c>
      <c r="I57" s="3250">
        <v>5054.71</v>
      </c>
    </row>
    <row r="58" spans="1:9" ht="15">
      <c r="A58" s="3437"/>
      <c r="B58" s="3434"/>
      <c r="C58" s="3435"/>
      <c r="D58" s="3432" t="s">
        <v>24</v>
      </c>
      <c r="E58" s="3432"/>
      <c r="F58" s="3252">
        <v>48336.149999999994</v>
      </c>
      <c r="G58" s="3252">
        <v>186789.62999999998</v>
      </c>
      <c r="H58" s="3252">
        <v>130507.57999999999</v>
      </c>
      <c r="I58" s="3252">
        <v>56282.049999999996</v>
      </c>
    </row>
    <row r="59" spans="1:9" ht="14.25">
      <c r="B59" s="3425" t="s">
        <v>3415</v>
      </c>
      <c r="C59" s="3428" t="str">
        <f>G19</f>
        <v>郫国用（2016）第902号</v>
      </c>
      <c r="D59" s="3431" t="s">
        <v>3400</v>
      </c>
      <c r="E59" s="3249" t="s">
        <v>3033</v>
      </c>
      <c r="F59" s="3433">
        <f>F67</f>
        <v>32815.19</v>
      </c>
      <c r="G59" s="3250">
        <v>38255.360000000001</v>
      </c>
      <c r="H59" s="3251">
        <v>38255.360000000001</v>
      </c>
      <c r="I59" s="3251"/>
    </row>
    <row r="60" spans="1:9" ht="14.25">
      <c r="B60" s="3426"/>
      <c r="C60" s="3429"/>
      <c r="D60" s="3431"/>
      <c r="E60" s="3249" t="s">
        <v>3337</v>
      </c>
      <c r="F60" s="3431"/>
      <c r="G60" s="3250">
        <v>41846.53</v>
      </c>
      <c r="H60" s="3251">
        <v>41846.53</v>
      </c>
      <c r="I60" s="3251"/>
    </row>
    <row r="61" spans="1:9" ht="14.25">
      <c r="B61" s="3426"/>
      <c r="C61" s="3429"/>
      <c r="D61" s="3431"/>
      <c r="E61" s="3249" t="s">
        <v>35</v>
      </c>
      <c r="F61" s="3431"/>
      <c r="G61" s="3250">
        <v>27597.19</v>
      </c>
      <c r="H61" s="3251"/>
      <c r="I61" s="3251">
        <v>27597.19</v>
      </c>
    </row>
    <row r="62" spans="1:9" ht="14.25">
      <c r="B62" s="3426"/>
      <c r="C62" s="3429"/>
      <c r="D62" s="3431"/>
      <c r="E62" s="3254" t="s">
        <v>3411</v>
      </c>
      <c r="F62" s="3431"/>
      <c r="G62" s="3250">
        <v>4900</v>
      </c>
      <c r="H62" s="3255">
        <v>4900</v>
      </c>
      <c r="I62" s="3255"/>
    </row>
    <row r="63" spans="1:9" ht="14.25">
      <c r="B63" s="3426"/>
      <c r="C63" s="3429"/>
      <c r="D63" s="3431"/>
      <c r="E63" s="3246" t="s">
        <v>27</v>
      </c>
      <c r="F63" s="3431"/>
      <c r="G63" s="3250">
        <v>112599.08</v>
      </c>
      <c r="H63" s="3250">
        <v>85001.89</v>
      </c>
      <c r="I63" s="3250">
        <v>27597.19</v>
      </c>
    </row>
    <row r="64" spans="1:9" ht="14.25">
      <c r="B64" s="3426"/>
      <c r="C64" s="3429"/>
      <c r="D64" s="3431" t="s">
        <v>1678</v>
      </c>
      <c r="E64" s="3246" t="s">
        <v>2312</v>
      </c>
      <c r="F64" s="3431"/>
      <c r="G64" s="3250">
        <v>2952.84</v>
      </c>
      <c r="H64" s="3246">
        <v>144.07999999999998</v>
      </c>
      <c r="I64" s="3246">
        <v>2808.76</v>
      </c>
    </row>
    <row r="65" spans="2:9" ht="14.25">
      <c r="B65" s="3426"/>
      <c r="C65" s="3429"/>
      <c r="D65" s="3431"/>
      <c r="E65" s="3247" t="s">
        <v>3401</v>
      </c>
      <c r="F65" s="3431"/>
      <c r="G65" s="3250">
        <v>347</v>
      </c>
      <c r="H65" s="3246">
        <v>173.5</v>
      </c>
      <c r="I65" s="3246">
        <v>173.5</v>
      </c>
    </row>
    <row r="66" spans="2:9" ht="14.25">
      <c r="B66" s="3426"/>
      <c r="C66" s="3429"/>
      <c r="D66" s="3431"/>
      <c r="E66" s="3246" t="s">
        <v>27</v>
      </c>
      <c r="F66" s="3431"/>
      <c r="G66" s="3250">
        <v>3299.84</v>
      </c>
      <c r="H66" s="3250">
        <v>317.58</v>
      </c>
      <c r="I66" s="3250">
        <v>2982.26</v>
      </c>
    </row>
    <row r="67" spans="2:9" ht="15">
      <c r="B67" s="3427"/>
      <c r="C67" s="3430"/>
      <c r="D67" s="3432" t="s">
        <v>24</v>
      </c>
      <c r="E67" s="3432"/>
      <c r="F67" s="3252">
        <v>32815.19</v>
      </c>
      <c r="G67" s="3252">
        <v>115898.92</v>
      </c>
      <c r="H67" s="3252">
        <v>85319.47</v>
      </c>
      <c r="I67" s="3252">
        <v>30579.449999999997</v>
      </c>
    </row>
    <row r="68" spans="2:9">
      <c r="B68" s="3253" t="s">
        <v>3413</v>
      </c>
      <c r="C68" s="3253" t="s">
        <v>3414</v>
      </c>
      <c r="D68" s="3434" t="s">
        <v>3412</v>
      </c>
      <c r="E68" s="3434"/>
      <c r="F68" s="3256">
        <f>F43+F50+F58+F67</f>
        <v>190114.18</v>
      </c>
      <c r="G68" s="3256">
        <f t="shared" ref="G68:I68" si="0">G43+G50+G58+G67</f>
        <v>636325.76</v>
      </c>
      <c r="H68" s="3256">
        <f t="shared" si="0"/>
        <v>448938.86</v>
      </c>
      <c r="I68" s="3256">
        <f t="shared" si="0"/>
        <v>187386.90000000002</v>
      </c>
    </row>
  </sheetData>
  <mergeCells count="35">
    <mergeCell ref="B1:I1"/>
    <mergeCell ref="B8:I8"/>
    <mergeCell ref="D43:E43"/>
    <mergeCell ref="B36:B43"/>
    <mergeCell ref="C36:C43"/>
    <mergeCell ref="G34:I34"/>
    <mergeCell ref="F34:F35"/>
    <mergeCell ref="E34:E35"/>
    <mergeCell ref="D34:D35"/>
    <mergeCell ref="B44:B50"/>
    <mergeCell ref="C44:C50"/>
    <mergeCell ref="B51:B58"/>
    <mergeCell ref="C51:C58"/>
    <mergeCell ref="A34:A35"/>
    <mergeCell ref="B34:B35"/>
    <mergeCell ref="C34:C35"/>
    <mergeCell ref="A36:A58"/>
    <mergeCell ref="F59:F66"/>
    <mergeCell ref="D68:E68"/>
    <mergeCell ref="D50:E50"/>
    <mergeCell ref="D58:E58"/>
    <mergeCell ref="F36:F42"/>
    <mergeCell ref="F44:F49"/>
    <mergeCell ref="F51:F57"/>
    <mergeCell ref="D36:D39"/>
    <mergeCell ref="D40:D42"/>
    <mergeCell ref="D44:D46"/>
    <mergeCell ref="D47:D49"/>
    <mergeCell ref="D51:D54"/>
    <mergeCell ref="D55:D57"/>
    <mergeCell ref="B59:B67"/>
    <mergeCell ref="C59:C67"/>
    <mergeCell ref="D59:D63"/>
    <mergeCell ref="D64:D66"/>
    <mergeCell ref="D67:E67"/>
  </mergeCells>
  <phoneticPr fontId="228" type="noConversion"/>
  <conditionalFormatting sqref="G39">
    <cfRule type="containsText" dxfId="147" priority="10" stopIfTrue="1" operator="containsText" text="面积有误">
      <formula>NOT(ISERROR(SEARCH("面积有误",G39)))</formula>
    </cfRule>
    <cfRule type="cellIs" dxfId="146" priority="12" stopIfTrue="1" operator="equal">
      <formula>"地下面积有误"</formula>
    </cfRule>
  </conditionalFormatting>
  <conditionalFormatting sqref="H39">
    <cfRule type="cellIs" dxfId="145" priority="11" stopIfTrue="1" operator="equal">
      <formula>"地上面积有误"</formula>
    </cfRule>
  </conditionalFormatting>
  <conditionalFormatting sqref="G46">
    <cfRule type="containsText" dxfId="144" priority="7" stopIfTrue="1" operator="containsText" text="面积有误">
      <formula>NOT(ISERROR(SEARCH("面积有误",G46)))</formula>
    </cfRule>
    <cfRule type="cellIs" dxfId="143" priority="9" stopIfTrue="1" operator="equal">
      <formula>"地下面积有误"</formula>
    </cfRule>
  </conditionalFormatting>
  <conditionalFormatting sqref="H46">
    <cfRule type="cellIs" dxfId="142" priority="8" stopIfTrue="1" operator="equal">
      <formula>"地上面积有误"</formula>
    </cfRule>
  </conditionalFormatting>
  <conditionalFormatting sqref="G54">
    <cfRule type="containsText" dxfId="141" priority="4" stopIfTrue="1" operator="containsText" text="面积有误">
      <formula>NOT(ISERROR(SEARCH("面积有误",G54)))</formula>
    </cfRule>
    <cfRule type="cellIs" dxfId="140" priority="6" stopIfTrue="1" operator="equal">
      <formula>"地下面积有误"</formula>
    </cfRule>
  </conditionalFormatting>
  <conditionalFormatting sqref="H54">
    <cfRule type="cellIs" dxfId="139" priority="5" stopIfTrue="1" operator="equal">
      <formula>"地上面积有误"</formula>
    </cfRule>
  </conditionalFormatting>
  <conditionalFormatting sqref="G63">
    <cfRule type="containsText" dxfId="138" priority="1" stopIfTrue="1" operator="containsText" text="面积有误">
      <formula>NOT(ISERROR(SEARCH("面积有误",G63)))</formula>
    </cfRule>
    <cfRule type="cellIs" dxfId="137" priority="3" stopIfTrue="1" operator="equal">
      <formula>"地下面积有误"</formula>
    </cfRule>
  </conditionalFormatting>
  <conditionalFormatting sqref="H63">
    <cfRule type="cellIs" dxfId="136" priority="2" stopIfTrue="1" operator="equal">
      <formula>"地上面积有误"</formula>
    </cfRule>
  </conditionalFormatting>
  <dataValidations count="1">
    <dataValidation type="list" allowBlank="1" showInputMessage="1" showErrorMessage="1" sqref="D40 D36 D44 D47 D51 D55 D59 D64">
      <formula1>类别</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P73"/>
  <sheetViews>
    <sheetView topLeftCell="A10" workbookViewId="0">
      <selection activeCell="L30" sqref="L30"/>
    </sheetView>
  </sheetViews>
  <sheetFormatPr defaultColWidth="8.875" defaultRowHeight="12"/>
  <cols>
    <col min="1" max="1" width="8.875" style="3180"/>
    <col min="2" max="2" width="8.375" style="3180" customWidth="1"/>
    <col min="3" max="3" width="18" style="3180" customWidth="1"/>
    <col min="4" max="4" width="18.25" style="3180" customWidth="1"/>
    <col min="5" max="5" width="3" style="3180" customWidth="1"/>
    <col min="6" max="6" width="10.375" style="3180" customWidth="1"/>
    <col min="7" max="7" width="16.25" style="3180" customWidth="1"/>
    <col min="8" max="8" width="10.375" style="3180" customWidth="1"/>
    <col min="9" max="9" width="16" style="3180" customWidth="1"/>
    <col min="10" max="10" width="11.75" style="3180" customWidth="1"/>
    <col min="11" max="11" width="41.625" style="3180" customWidth="1"/>
    <col min="12" max="12" width="10.25" style="3180" bestFit="1" customWidth="1"/>
    <col min="13" max="16384" width="8.875" style="3180"/>
  </cols>
  <sheetData>
    <row r="1" spans="2:12">
      <c r="J1" s="3180">
        <f>0.4*J2</f>
        <v>34127.599999999999</v>
      </c>
    </row>
    <row r="2" spans="2:12">
      <c r="F2" s="3180">
        <f>ROUND(F4*F49,0)</f>
        <v>51018</v>
      </c>
      <c r="G2" s="3180">
        <f>ROUND(G4*G49,0)</f>
        <v>176314</v>
      </c>
      <c r="H2" s="3180">
        <f>ROUND(H4*H49,0)</f>
        <v>56798</v>
      </c>
      <c r="I2" s="3180">
        <f>ROUND(I4*I49,0)</f>
        <v>130508</v>
      </c>
      <c r="J2" s="3180">
        <f>ROUND(J4*J49,0)</f>
        <v>85319</v>
      </c>
    </row>
    <row r="3" spans="2:12">
      <c r="B3" s="3447" t="s">
        <v>3127</v>
      </c>
      <c r="C3" s="3448"/>
      <c r="D3" s="3449"/>
      <c r="E3" s="3177"/>
      <c r="F3" s="3178" t="s">
        <v>3018</v>
      </c>
      <c r="G3" s="3178" t="s">
        <v>3019</v>
      </c>
      <c r="H3" s="3178" t="s">
        <v>3020</v>
      </c>
      <c r="I3" s="3179" t="s">
        <v>3021</v>
      </c>
      <c r="J3" s="3179" t="s">
        <v>3022</v>
      </c>
      <c r="K3" s="3177"/>
    </row>
    <row r="4" spans="2:12" ht="16.5">
      <c r="B4" s="3450" t="s">
        <v>3023</v>
      </c>
      <c r="C4" s="3450"/>
      <c r="D4" s="3450"/>
      <c r="E4" s="3181" t="s">
        <v>3024</v>
      </c>
      <c r="F4" s="3182">
        <v>20407</v>
      </c>
      <c r="G4" s="3182">
        <v>73464.09</v>
      </c>
      <c r="H4" s="3182">
        <v>35498.75</v>
      </c>
      <c r="I4" s="3182">
        <v>48336.14</v>
      </c>
      <c r="J4" s="3182">
        <v>32815.18</v>
      </c>
      <c r="K4" s="3183"/>
    </row>
    <row r="5" spans="2:12" ht="16.5">
      <c r="B5" s="3450" t="s">
        <v>3025</v>
      </c>
      <c r="C5" s="3450"/>
      <c r="D5" s="3450"/>
      <c r="E5" s="3181" t="s">
        <v>3024</v>
      </c>
      <c r="F5" s="3184">
        <v>117304.03760000001</v>
      </c>
      <c r="G5" s="3184">
        <f>G6+G30</f>
        <v>252351.54</v>
      </c>
      <c r="H5" s="3184">
        <f t="shared" ref="H5:J5" si="0">H6+H30</f>
        <v>81285.67</v>
      </c>
      <c r="I5" s="3184">
        <f>I6+I30</f>
        <v>186789.62999999998</v>
      </c>
      <c r="J5" s="3184">
        <f t="shared" si="0"/>
        <v>115898.92</v>
      </c>
      <c r="K5" s="3185" t="s">
        <v>3026</v>
      </c>
    </row>
    <row r="6" spans="2:12" ht="16.5">
      <c r="B6" s="3450" t="s">
        <v>3027</v>
      </c>
      <c r="C6" s="3450"/>
      <c r="D6" s="3450"/>
      <c r="E6" s="3181" t="s">
        <v>3024</v>
      </c>
      <c r="F6" s="3186">
        <v>51018.177600000003</v>
      </c>
      <c r="G6" s="3186">
        <f>G7+G13+G21</f>
        <v>176313.81</v>
      </c>
      <c r="H6" s="3186">
        <f t="shared" ref="H6" si="1">H7+H13+H21</f>
        <v>56798</v>
      </c>
      <c r="I6" s="3186">
        <f>I7+I13+I21</f>
        <v>130507.57999999999</v>
      </c>
      <c r="J6" s="3186">
        <f>J7+J13+J21</f>
        <v>85319.47</v>
      </c>
      <c r="K6" s="3185"/>
    </row>
    <row r="7" spans="2:12" ht="16.5">
      <c r="B7" s="3451" t="s">
        <v>3028</v>
      </c>
      <c r="C7" s="3450" t="s">
        <v>921</v>
      </c>
      <c r="D7" s="3450"/>
      <c r="E7" s="3181" t="s">
        <v>3024</v>
      </c>
      <c r="F7" s="3186">
        <v>40222</v>
      </c>
      <c r="G7" s="3186">
        <f>G8+G9+G10+G12</f>
        <v>175693.26</v>
      </c>
      <c r="H7" s="3186">
        <f t="shared" ref="H7" si="2">H8+H9+H10+H12</f>
        <v>56547.76</v>
      </c>
      <c r="I7" s="3186">
        <f>I8+I9+I10+I12</f>
        <v>130040.54999999999</v>
      </c>
      <c r="J7" s="3186">
        <f>J8+J9+J10+J12</f>
        <v>80101.89</v>
      </c>
      <c r="K7" s="3187"/>
    </row>
    <row r="8" spans="2:12" ht="16.5">
      <c r="B8" s="3452"/>
      <c r="C8" s="3188"/>
      <c r="D8" s="3181" t="s">
        <v>3029</v>
      </c>
      <c r="E8" s="3181" t="s">
        <v>3024</v>
      </c>
      <c r="F8" s="3186">
        <v>20217</v>
      </c>
      <c r="G8" s="3186">
        <v>0</v>
      </c>
      <c r="H8" s="3186">
        <v>0</v>
      </c>
      <c r="I8" s="3186">
        <v>93223.65</v>
      </c>
      <c r="J8" s="3186">
        <v>0</v>
      </c>
      <c r="K8" s="3187"/>
    </row>
    <row r="9" spans="2:12" ht="16.5">
      <c r="B9" s="3452"/>
      <c r="C9" s="3451" t="s">
        <v>3028</v>
      </c>
      <c r="D9" s="3181" t="s">
        <v>3030</v>
      </c>
      <c r="E9" s="3181" t="s">
        <v>3024</v>
      </c>
      <c r="F9" s="3186">
        <v>0</v>
      </c>
      <c r="G9" s="3186">
        <v>96961.26</v>
      </c>
      <c r="H9" s="3186">
        <v>0</v>
      </c>
      <c r="I9" s="3186">
        <v>0</v>
      </c>
      <c r="J9" s="3186">
        <v>0</v>
      </c>
      <c r="K9" s="3187"/>
    </row>
    <row r="10" spans="2:12" ht="16.5">
      <c r="B10" s="3452"/>
      <c r="C10" s="3452"/>
      <c r="D10" s="3181" t="s">
        <v>3031</v>
      </c>
      <c r="E10" s="3181" t="s">
        <v>3024</v>
      </c>
      <c r="F10" s="3186">
        <v>20005</v>
      </c>
      <c r="G10" s="3186">
        <v>78732</v>
      </c>
      <c r="H10" s="3186">
        <v>56547.76</v>
      </c>
      <c r="I10" s="3186">
        <v>36816.9</v>
      </c>
      <c r="J10" s="3186">
        <v>41846.53</v>
      </c>
      <c r="K10" s="3187"/>
    </row>
    <row r="11" spans="2:12" ht="16.5">
      <c r="B11" s="3452"/>
      <c r="C11" s="3452"/>
      <c r="D11" s="3181" t="s">
        <v>3032</v>
      </c>
      <c r="E11" s="3181" t="s">
        <v>3024</v>
      </c>
      <c r="F11" s="3186"/>
      <c r="G11" s="3186"/>
      <c r="H11" s="3186">
        <v>0</v>
      </c>
      <c r="I11" s="3186"/>
      <c r="J11" s="3186"/>
      <c r="K11" s="3187"/>
      <c r="L11" s="3180">
        <f>J10/J6</f>
        <v>0.4904687054432007</v>
      </c>
    </row>
    <row r="12" spans="2:12" ht="16.5">
      <c r="B12" s="3452"/>
      <c r="C12" s="3453"/>
      <c r="D12" s="3181" t="s">
        <v>3033</v>
      </c>
      <c r="E12" s="3181" t="s">
        <v>3024</v>
      </c>
      <c r="F12" s="3186">
        <v>0</v>
      </c>
      <c r="G12" s="3186">
        <v>0</v>
      </c>
      <c r="H12" s="3186">
        <v>0</v>
      </c>
      <c r="I12" s="3186">
        <v>0</v>
      </c>
      <c r="J12" s="3244">
        <v>38255.360000000001</v>
      </c>
      <c r="K12" s="3187"/>
    </row>
    <row r="13" spans="2:12" ht="16.5">
      <c r="B13" s="3452"/>
      <c r="C13" s="3454" t="s">
        <v>3034</v>
      </c>
      <c r="D13" s="3454"/>
      <c r="E13" s="3181" t="s">
        <v>3024</v>
      </c>
      <c r="F13" s="3186">
        <v>212.17759999999998</v>
      </c>
      <c r="G13" s="3186">
        <f>G14+G15+G16+G19</f>
        <v>620.54999999999995</v>
      </c>
      <c r="H13" s="3186">
        <f t="shared" ref="H13:I13" si="3">H14+H15+H16+H19</f>
        <v>250.24</v>
      </c>
      <c r="I13" s="3186">
        <f t="shared" si="3"/>
        <v>467.03</v>
      </c>
      <c r="J13" s="3186">
        <f>J14+J15+J16+J19</f>
        <v>317.58</v>
      </c>
      <c r="K13" s="3187"/>
    </row>
    <row r="14" spans="2:12" ht="16.5">
      <c r="B14" s="3452"/>
      <c r="C14" s="3454" t="s">
        <v>3028</v>
      </c>
      <c r="D14" s="3189" t="s">
        <v>3035</v>
      </c>
      <c r="E14" s="3181" t="s">
        <v>3024</v>
      </c>
      <c r="F14" s="3182"/>
      <c r="G14" s="3182"/>
      <c r="H14" s="3182"/>
      <c r="I14" s="3182"/>
      <c r="J14" s="3182"/>
      <c r="K14" s="3185" t="s">
        <v>3036</v>
      </c>
    </row>
    <row r="15" spans="2:12" ht="49.5">
      <c r="B15" s="3452"/>
      <c r="C15" s="3454"/>
      <c r="D15" s="3189" t="s">
        <v>3037</v>
      </c>
      <c r="E15" s="3181" t="s">
        <v>3024</v>
      </c>
      <c r="F15" s="3182">
        <v>100</v>
      </c>
      <c r="G15" s="3182">
        <v>400</v>
      </c>
      <c r="H15" s="3182">
        <v>125</v>
      </c>
      <c r="I15" s="3182">
        <v>283</v>
      </c>
      <c r="J15" s="3182">
        <v>173.5</v>
      </c>
      <c r="K15" s="3190" t="s">
        <v>3038</v>
      </c>
    </row>
    <row r="16" spans="2:12" ht="16.5">
      <c r="B16" s="3452"/>
      <c r="C16" s="3454"/>
      <c r="D16" s="3189" t="s">
        <v>3039</v>
      </c>
      <c r="E16" s="3181" t="s">
        <v>3024</v>
      </c>
      <c r="F16" s="3182">
        <v>80</v>
      </c>
      <c r="G16" s="3182">
        <v>80</v>
      </c>
      <c r="H16" s="3182">
        <v>80</v>
      </c>
      <c r="I16" s="3182">
        <v>80</v>
      </c>
      <c r="J16" s="3182">
        <v>80</v>
      </c>
      <c r="K16" s="3185"/>
    </row>
    <row r="17" spans="2:12" ht="16.5">
      <c r="B17" s="3452"/>
      <c r="C17" s="3454"/>
      <c r="D17" s="3189" t="s">
        <v>3040</v>
      </c>
      <c r="E17" s="3181" t="s">
        <v>3024</v>
      </c>
      <c r="F17" s="3182"/>
      <c r="G17" s="3182"/>
      <c r="H17" s="3182"/>
      <c r="I17" s="3182"/>
      <c r="J17" s="3182"/>
      <c r="K17" s="3185"/>
    </row>
    <row r="18" spans="2:12" ht="16.5">
      <c r="B18" s="3452"/>
      <c r="C18" s="3454"/>
      <c r="D18" s="3189" t="s">
        <v>3041</v>
      </c>
      <c r="E18" s="3181" t="s">
        <v>3024</v>
      </c>
      <c r="F18" s="3186"/>
      <c r="G18" s="3186"/>
      <c r="H18" s="3186"/>
      <c r="I18" s="3186"/>
      <c r="J18" s="3186"/>
      <c r="K18" s="3187"/>
    </row>
    <row r="19" spans="2:12" ht="16.5">
      <c r="B19" s="3452"/>
      <c r="C19" s="3454"/>
      <c r="D19" s="3189" t="s">
        <v>3042</v>
      </c>
      <c r="E19" s="3181" t="s">
        <v>3024</v>
      </c>
      <c r="F19" s="3186">
        <v>32.177599999999998</v>
      </c>
      <c r="G19" s="3186">
        <v>140.55000000000001</v>
      </c>
      <c r="H19" s="3186">
        <v>45.24</v>
      </c>
      <c r="I19" s="3186">
        <v>104.03</v>
      </c>
      <c r="J19" s="3186">
        <v>64.08</v>
      </c>
      <c r="K19" s="3187" t="s">
        <v>3043</v>
      </c>
    </row>
    <row r="20" spans="2:12" ht="16.5">
      <c r="B20" s="3452"/>
      <c r="C20" s="3454"/>
      <c r="D20" s="3189" t="s">
        <v>3044</v>
      </c>
      <c r="E20" s="3181" t="s">
        <v>3024</v>
      </c>
      <c r="F20" s="3182">
        <v>0</v>
      </c>
      <c r="G20" s="3182">
        <v>0</v>
      </c>
      <c r="H20" s="3182">
        <v>0</v>
      </c>
      <c r="I20" s="3182">
        <v>0</v>
      </c>
      <c r="J20" s="3182">
        <v>0</v>
      </c>
      <c r="K20" s="3185"/>
    </row>
    <row r="21" spans="2:12" ht="16.5">
      <c r="B21" s="3452"/>
      <c r="C21" s="3454" t="s">
        <v>3045</v>
      </c>
      <c r="D21" s="3454"/>
      <c r="E21" s="3181" t="s">
        <v>3024</v>
      </c>
      <c r="F21" s="3186">
        <v>10584</v>
      </c>
      <c r="G21" s="3186">
        <v>0</v>
      </c>
      <c r="H21" s="3186">
        <v>0</v>
      </c>
      <c r="I21" s="3186">
        <v>0</v>
      </c>
      <c r="J21" s="3186">
        <v>4900</v>
      </c>
      <c r="K21" s="3191"/>
    </row>
    <row r="22" spans="2:12" ht="16.5">
      <c r="B22" s="3452"/>
      <c r="C22" s="3450" t="s">
        <v>3028</v>
      </c>
      <c r="D22" s="3181" t="s">
        <v>3046</v>
      </c>
      <c r="E22" s="3181" t="s">
        <v>3024</v>
      </c>
      <c r="F22" s="3186">
        <v>10584</v>
      </c>
      <c r="G22" s="3186">
        <v>0</v>
      </c>
      <c r="H22" s="3186">
        <v>0</v>
      </c>
      <c r="I22" s="3186">
        <v>0</v>
      </c>
      <c r="J22" s="3186">
        <v>4400</v>
      </c>
      <c r="K22" s="3191"/>
    </row>
    <row r="23" spans="2:12" ht="16.5">
      <c r="B23" s="3452"/>
      <c r="C23" s="3450"/>
      <c r="D23" s="3181" t="s">
        <v>3047</v>
      </c>
      <c r="E23" s="3181" t="s">
        <v>3024</v>
      </c>
      <c r="F23" s="3186">
        <v>0</v>
      </c>
      <c r="G23" s="3186">
        <v>0</v>
      </c>
      <c r="H23" s="3186">
        <v>0</v>
      </c>
      <c r="I23" s="3186">
        <v>0</v>
      </c>
      <c r="J23" s="3186">
        <v>500</v>
      </c>
      <c r="K23" s="3183" t="s">
        <v>3048</v>
      </c>
    </row>
    <row r="24" spans="2:12" ht="16.5">
      <c r="B24" s="3453"/>
      <c r="C24" s="3450"/>
      <c r="D24" s="3181" t="s">
        <v>3049</v>
      </c>
      <c r="E24" s="3181" t="s">
        <v>3024</v>
      </c>
      <c r="F24" s="3186">
        <v>0</v>
      </c>
      <c r="G24" s="3186">
        <v>0</v>
      </c>
      <c r="H24" s="3186">
        <v>0</v>
      </c>
      <c r="I24" s="3186">
        <v>0</v>
      </c>
      <c r="J24" s="3186">
        <v>0</v>
      </c>
      <c r="K24" s="3187" t="s">
        <v>3050</v>
      </c>
    </row>
    <row r="25" spans="2:12" ht="16.5">
      <c r="B25" s="3455" t="s">
        <v>3051</v>
      </c>
      <c r="C25" s="3456"/>
      <c r="D25" s="3457"/>
      <c r="E25" s="3181" t="s">
        <v>3024</v>
      </c>
      <c r="F25" s="3183">
        <v>1485</v>
      </c>
      <c r="G25" s="3183">
        <v>0</v>
      </c>
      <c r="H25" s="3183">
        <v>0</v>
      </c>
      <c r="I25" s="3183">
        <v>0</v>
      </c>
      <c r="J25" s="3183">
        <v>0</v>
      </c>
      <c r="K25" s="3185"/>
    </row>
    <row r="26" spans="2:12" ht="16.5">
      <c r="B26" s="3450" t="s">
        <v>3028</v>
      </c>
      <c r="C26" s="3455" t="s">
        <v>3052</v>
      </c>
      <c r="D26" s="3457"/>
      <c r="E26" s="3181" t="s">
        <v>3024</v>
      </c>
      <c r="F26" s="3183">
        <v>1485</v>
      </c>
      <c r="G26" s="3183">
        <v>0</v>
      </c>
      <c r="H26" s="3183">
        <v>0</v>
      </c>
      <c r="I26" s="3183">
        <v>0</v>
      </c>
      <c r="J26" s="3183">
        <v>0</v>
      </c>
      <c r="K26" s="3185"/>
    </row>
    <row r="27" spans="2:12" ht="16.5">
      <c r="B27" s="3450"/>
      <c r="C27" s="3455" t="s">
        <v>3035</v>
      </c>
      <c r="D27" s="3457"/>
      <c r="E27" s="3181" t="s">
        <v>3024</v>
      </c>
      <c r="F27" s="3182"/>
      <c r="G27" s="3182"/>
      <c r="H27" s="3182"/>
      <c r="I27" s="3182"/>
      <c r="J27" s="3182"/>
      <c r="K27" s="3185" t="s">
        <v>3036</v>
      </c>
    </row>
    <row r="28" spans="2:12" ht="16.5">
      <c r="B28" s="3450"/>
      <c r="C28" s="3455" t="s">
        <v>3040</v>
      </c>
      <c r="D28" s="3457"/>
      <c r="E28" s="3181" t="s">
        <v>3024</v>
      </c>
      <c r="F28" s="3183"/>
      <c r="G28" s="3183"/>
      <c r="H28" s="3183"/>
      <c r="I28" s="3183"/>
      <c r="J28" s="3183"/>
      <c r="K28" s="3185" t="s">
        <v>3036</v>
      </c>
    </row>
    <row r="29" spans="2:12" ht="16.5">
      <c r="B29" s="3450"/>
      <c r="C29" s="3455" t="s">
        <v>3042</v>
      </c>
      <c r="D29" s="3457"/>
      <c r="E29" s="3181" t="s">
        <v>3024</v>
      </c>
      <c r="F29" s="3183">
        <v>0</v>
      </c>
      <c r="G29" s="3183">
        <v>0</v>
      </c>
      <c r="H29" s="3183">
        <v>0</v>
      </c>
      <c r="I29" s="3183">
        <v>0</v>
      </c>
      <c r="J29" s="3183">
        <v>0</v>
      </c>
      <c r="K29" s="3185" t="s">
        <v>3036</v>
      </c>
    </row>
    <row r="30" spans="2:12" ht="16.5">
      <c r="B30" s="3455" t="s">
        <v>3053</v>
      </c>
      <c r="C30" s="3456"/>
      <c r="D30" s="3457"/>
      <c r="E30" s="3181" t="s">
        <v>3024</v>
      </c>
      <c r="F30" s="3184">
        <v>64800.86</v>
      </c>
      <c r="G30" s="3184">
        <f>SUM(G31:G34)</f>
        <v>76037.73000000001</v>
      </c>
      <c r="H30" s="3184">
        <f t="shared" ref="H30" si="4">SUM(H31:H34)</f>
        <v>24487.670000000002</v>
      </c>
      <c r="I30" s="3184">
        <f>SUM(I31:I34)</f>
        <v>56282.049999999996</v>
      </c>
      <c r="J30" s="3184">
        <f>SUM(J31:J34)</f>
        <v>30579.45</v>
      </c>
      <c r="K30" s="3187"/>
      <c r="L30" s="3245">
        <f>G31+H31+I31+J31</f>
        <v>170301.98</v>
      </c>
    </row>
    <row r="31" spans="2:12" ht="16.5">
      <c r="B31" s="3451" t="s">
        <v>3028</v>
      </c>
      <c r="C31" s="3450" t="s">
        <v>3054</v>
      </c>
      <c r="D31" s="3450"/>
      <c r="E31" s="3181" t="s">
        <v>3024</v>
      </c>
      <c r="F31" s="3184">
        <v>60695.544336000006</v>
      </c>
      <c r="G31" s="3184">
        <v>69191.13</v>
      </c>
      <c r="H31" s="3184">
        <v>22286.32</v>
      </c>
      <c r="I31" s="3184">
        <v>51227.34</v>
      </c>
      <c r="J31" s="3184">
        <v>27597.19</v>
      </c>
      <c r="K31" s="3187"/>
    </row>
    <row r="32" spans="2:12" ht="16.5">
      <c r="B32" s="3452"/>
      <c r="C32" s="3455" t="s">
        <v>3055</v>
      </c>
      <c r="D32" s="3457"/>
      <c r="E32" s="3181" t="s">
        <v>3024</v>
      </c>
      <c r="F32" s="3184">
        <v>100</v>
      </c>
      <c r="G32" s="3184">
        <v>400</v>
      </c>
      <c r="H32" s="3184">
        <v>125</v>
      </c>
      <c r="I32" s="3184">
        <v>283</v>
      </c>
      <c r="J32" s="3184">
        <v>173.5</v>
      </c>
      <c r="K32" s="3187"/>
    </row>
    <row r="33" spans="2:11" ht="16.5">
      <c r="B33" s="3452"/>
      <c r="C33" s="3450" t="s">
        <v>3056</v>
      </c>
      <c r="D33" s="3450"/>
      <c r="E33" s="3181" t="s">
        <v>3024</v>
      </c>
      <c r="F33" s="3184">
        <v>3240.0430000000001</v>
      </c>
      <c r="G33" s="3184">
        <v>3801.89</v>
      </c>
      <c r="H33" s="3184">
        <v>1224.3800000000001</v>
      </c>
      <c r="I33" s="3184">
        <v>2814.1</v>
      </c>
      <c r="J33" s="3184">
        <v>1528.97</v>
      </c>
      <c r="K33" s="3185" t="s">
        <v>3057</v>
      </c>
    </row>
    <row r="34" spans="2:11" ht="16.5">
      <c r="B34" s="3452"/>
      <c r="C34" s="3450" t="s">
        <v>3058</v>
      </c>
      <c r="D34" s="3450"/>
      <c r="E34" s="3181" t="s">
        <v>3024</v>
      </c>
      <c r="F34" s="3184">
        <v>765.27266400000008</v>
      </c>
      <c r="G34" s="3184">
        <v>2644.71</v>
      </c>
      <c r="H34" s="3184">
        <v>851.97</v>
      </c>
      <c r="I34" s="3184">
        <v>1957.61</v>
      </c>
      <c r="J34" s="3184">
        <v>1279.79</v>
      </c>
      <c r="K34" s="3185" t="s">
        <v>3059</v>
      </c>
    </row>
    <row r="35" spans="2:11" ht="16.5">
      <c r="B35" s="3453"/>
      <c r="C35" s="3450" t="s">
        <v>3060</v>
      </c>
      <c r="D35" s="3450"/>
      <c r="E35" s="3181" t="s">
        <v>3024</v>
      </c>
      <c r="F35" s="3192">
        <v>0</v>
      </c>
      <c r="G35" s="3192">
        <v>0</v>
      </c>
      <c r="H35" s="3192">
        <v>0</v>
      </c>
      <c r="I35" s="3192">
        <v>0</v>
      </c>
      <c r="J35" s="3192">
        <v>0</v>
      </c>
      <c r="K35" s="3185"/>
    </row>
    <row r="36" spans="2:11" ht="49.5" customHeight="1">
      <c r="B36" s="3455" t="s">
        <v>3061</v>
      </c>
      <c r="C36" s="3456"/>
      <c r="D36" s="3457"/>
      <c r="E36" s="3181" t="s">
        <v>3024</v>
      </c>
      <c r="F36" s="3193">
        <v>17510.43</v>
      </c>
      <c r="G36" s="3193">
        <v>13816.95</v>
      </c>
      <c r="H36" s="3193">
        <v>10504.2</v>
      </c>
      <c r="I36" s="3193">
        <v>11443.32</v>
      </c>
      <c r="J36" s="3193">
        <v>8605.4639999999999</v>
      </c>
      <c r="K36" s="3194" t="s">
        <v>3106</v>
      </c>
    </row>
    <row r="37" spans="2:11" ht="16.5">
      <c r="B37" s="3450" t="s">
        <v>3062</v>
      </c>
      <c r="C37" s="3450" t="s">
        <v>3063</v>
      </c>
      <c r="D37" s="3450"/>
      <c r="E37" s="3181" t="s">
        <v>3024</v>
      </c>
      <c r="F37" s="3195">
        <v>3599.7948000000001</v>
      </c>
      <c r="G37" s="3195">
        <v>13816.95</v>
      </c>
      <c r="H37" s="3195">
        <v>10504.2</v>
      </c>
      <c r="I37" s="3195">
        <v>11443.32</v>
      </c>
      <c r="J37" s="3195">
        <v>7013.7839999999997</v>
      </c>
      <c r="K37" s="3196"/>
    </row>
    <row r="38" spans="2:11" ht="16.5">
      <c r="B38" s="3450"/>
      <c r="C38" s="3458" t="s">
        <v>3028</v>
      </c>
      <c r="D38" s="3181" t="s">
        <v>3064</v>
      </c>
      <c r="E38" s="3181" t="s">
        <v>3024</v>
      </c>
      <c r="F38" s="3197">
        <v>0</v>
      </c>
      <c r="G38" s="3197">
        <v>13816.95</v>
      </c>
      <c r="H38" s="3197">
        <v>10504.2</v>
      </c>
      <c r="I38" s="3197">
        <v>11443.32</v>
      </c>
      <c r="J38" s="3197">
        <v>4405.4639999999999</v>
      </c>
      <c r="K38" s="3196"/>
    </row>
    <row r="39" spans="2:11" ht="16.5">
      <c r="B39" s="3450"/>
      <c r="C39" s="3459"/>
      <c r="D39" s="3181" t="s">
        <v>3032</v>
      </c>
      <c r="E39" s="3181" t="s">
        <v>3024</v>
      </c>
      <c r="F39" s="3197">
        <v>0</v>
      </c>
      <c r="G39" s="3197">
        <v>0</v>
      </c>
      <c r="H39" s="3197">
        <v>0</v>
      </c>
      <c r="I39" s="3197">
        <v>0</v>
      </c>
      <c r="J39" s="3197">
        <v>0</v>
      </c>
      <c r="K39" s="3185"/>
    </row>
    <row r="40" spans="2:11" ht="16.5">
      <c r="B40" s="3450"/>
      <c r="C40" s="3460"/>
      <c r="D40" s="3181" t="s">
        <v>3033</v>
      </c>
      <c r="E40" s="3181" t="s">
        <v>3024</v>
      </c>
      <c r="F40" s="3197">
        <v>0</v>
      </c>
      <c r="G40" s="3197">
        <v>0</v>
      </c>
      <c r="H40" s="3197">
        <v>0</v>
      </c>
      <c r="I40" s="3197">
        <v>0</v>
      </c>
      <c r="J40" s="3197">
        <v>2608.3200000000002</v>
      </c>
      <c r="K40" s="3185"/>
    </row>
    <row r="41" spans="2:11" ht="16.5">
      <c r="B41" s="3450"/>
      <c r="C41" s="3454" t="s">
        <v>3065</v>
      </c>
      <c r="D41" s="3454"/>
      <c r="E41" s="3181" t="s">
        <v>3024</v>
      </c>
      <c r="F41" s="3197">
        <v>0</v>
      </c>
      <c r="G41" s="3197">
        <v>0</v>
      </c>
      <c r="H41" s="3197">
        <v>0</v>
      </c>
      <c r="I41" s="3197">
        <v>0</v>
      </c>
      <c r="J41" s="3197">
        <v>1591.68</v>
      </c>
      <c r="K41" s="3185"/>
    </row>
    <row r="42" spans="2:11" ht="16.5">
      <c r="B42" s="3450"/>
      <c r="C42" s="3458" t="s">
        <v>3028</v>
      </c>
      <c r="D42" s="3181" t="s">
        <v>3046</v>
      </c>
      <c r="E42" s="3181" t="s">
        <v>3024</v>
      </c>
      <c r="F42" s="3186">
        <v>0</v>
      </c>
      <c r="G42" s="3186">
        <v>0</v>
      </c>
      <c r="H42" s="3186">
        <v>0</v>
      </c>
      <c r="I42" s="3186">
        <v>0</v>
      </c>
      <c r="J42" s="3186">
        <v>1091.68</v>
      </c>
      <c r="K42" s="3196"/>
    </row>
    <row r="43" spans="2:11" ht="16.5">
      <c r="B43" s="3450"/>
      <c r="C43" s="3459"/>
      <c r="D43" s="3181" t="s">
        <v>3047</v>
      </c>
      <c r="E43" s="3181" t="s">
        <v>3024</v>
      </c>
      <c r="F43" s="3186">
        <v>0</v>
      </c>
      <c r="G43" s="3186">
        <v>0</v>
      </c>
      <c r="H43" s="3186">
        <v>0</v>
      </c>
      <c r="I43" s="3186">
        <v>0</v>
      </c>
      <c r="J43" s="3186">
        <v>500</v>
      </c>
      <c r="K43" s="3185"/>
    </row>
    <row r="44" spans="2:11" ht="16.5">
      <c r="B44" s="3450"/>
      <c r="C44" s="3459"/>
      <c r="D44" s="3181" t="s">
        <v>3066</v>
      </c>
      <c r="E44" s="3181" t="s">
        <v>3024</v>
      </c>
      <c r="F44" s="3197">
        <v>0</v>
      </c>
      <c r="G44" s="3197">
        <v>0</v>
      </c>
      <c r="H44" s="3197">
        <v>0</v>
      </c>
      <c r="I44" s="3197">
        <v>0</v>
      </c>
      <c r="J44" s="3197">
        <v>0</v>
      </c>
      <c r="K44" s="3185"/>
    </row>
    <row r="45" spans="2:11" ht="16.5">
      <c r="B45" s="3450"/>
      <c r="C45" s="3460"/>
      <c r="D45" s="3181" t="s">
        <v>3067</v>
      </c>
      <c r="E45" s="3181" t="s">
        <v>3024</v>
      </c>
      <c r="F45" s="3197">
        <v>0</v>
      </c>
      <c r="G45" s="3197">
        <v>0</v>
      </c>
      <c r="H45" s="3197">
        <v>0</v>
      </c>
      <c r="I45" s="3197">
        <v>0</v>
      </c>
      <c r="J45" s="3197">
        <v>0</v>
      </c>
      <c r="K45" s="3185"/>
    </row>
    <row r="46" spans="2:11" ht="16.5">
      <c r="B46" s="3450"/>
      <c r="C46" s="3450" t="s">
        <v>3068</v>
      </c>
      <c r="D46" s="3450"/>
      <c r="E46" s="3181" t="s">
        <v>3024</v>
      </c>
      <c r="F46" s="3197">
        <v>3599.7948000000001</v>
      </c>
      <c r="G46" s="3197">
        <v>13816.95</v>
      </c>
      <c r="H46" s="3197">
        <v>10504.2</v>
      </c>
      <c r="I46" s="3197">
        <v>11443.32</v>
      </c>
      <c r="J46" s="3197">
        <v>8605.4639999999999</v>
      </c>
      <c r="K46" s="3185"/>
    </row>
    <row r="47" spans="2:11" ht="16.5">
      <c r="B47" s="3450"/>
      <c r="C47" s="3450" t="s">
        <v>3062</v>
      </c>
      <c r="D47" s="3450"/>
      <c r="E47" s="3181"/>
      <c r="F47" s="3198">
        <v>0.1764</v>
      </c>
      <c r="G47" s="3198">
        <v>0.18807760362920201</v>
      </c>
      <c r="H47" s="3198">
        <v>0.29590337687946799</v>
      </c>
      <c r="I47" s="3198">
        <v>0.23674459731372799</v>
      </c>
      <c r="J47" s="3198">
        <v>0.26224034120794099</v>
      </c>
      <c r="K47" s="3185"/>
    </row>
    <row r="48" spans="2:11" ht="16.5">
      <c r="B48" s="3455" t="s">
        <v>3069</v>
      </c>
      <c r="C48" s="3456"/>
      <c r="D48" s="3457"/>
      <c r="E48" s="3199" t="s">
        <v>3070</v>
      </c>
      <c r="F48" s="3197" t="s">
        <v>3071</v>
      </c>
      <c r="G48" s="3197" t="s">
        <v>3072</v>
      </c>
      <c r="H48" s="3197" t="s">
        <v>3073</v>
      </c>
      <c r="I48" s="3197" t="s">
        <v>3074</v>
      </c>
      <c r="J48" s="3197" t="s">
        <v>3074</v>
      </c>
      <c r="K48" s="3200"/>
    </row>
    <row r="49" spans="2:16" ht="16.5">
      <c r="B49" s="3455" t="s">
        <v>2030</v>
      </c>
      <c r="C49" s="3456"/>
      <c r="D49" s="3457"/>
      <c r="E49" s="3181"/>
      <c r="F49" s="3197">
        <v>2.5000332042926448</v>
      </c>
      <c r="G49" s="3197">
        <v>2.3999999810519701</v>
      </c>
      <c r="H49" s="3197">
        <v>1.59999994951935</v>
      </c>
      <c r="I49" s="3201">
        <v>2.7000000918567402</v>
      </c>
      <c r="J49" s="3197">
        <v>2.6000001070236398</v>
      </c>
      <c r="K49" s="3200"/>
    </row>
    <row r="50" spans="2:16" ht="16.5">
      <c r="B50" s="3455" t="s">
        <v>3075</v>
      </c>
      <c r="C50" s="3456"/>
      <c r="D50" s="3457"/>
      <c r="E50" s="3181"/>
      <c r="F50" s="3196">
        <v>0.35</v>
      </c>
      <c r="G50" s="3196">
        <v>0.35</v>
      </c>
      <c r="H50" s="3196">
        <v>0.35</v>
      </c>
      <c r="I50" s="3196">
        <v>0.35</v>
      </c>
      <c r="J50" s="3196">
        <v>0.35</v>
      </c>
      <c r="K50" s="3185" t="s">
        <v>3076</v>
      </c>
    </row>
    <row r="51" spans="2:16" ht="16.5">
      <c r="B51" s="3455" t="s">
        <v>3077</v>
      </c>
      <c r="C51" s="3456"/>
      <c r="D51" s="3457"/>
      <c r="E51" s="3181" t="s">
        <v>3078</v>
      </c>
      <c r="F51" s="3195">
        <v>0</v>
      </c>
      <c r="G51" s="3195">
        <v>56</v>
      </c>
      <c r="H51" s="3195">
        <v>43</v>
      </c>
      <c r="I51" s="3195">
        <v>38</v>
      </c>
      <c r="J51" s="3195">
        <v>29</v>
      </c>
      <c r="K51" s="3185"/>
    </row>
    <row r="52" spans="2:16" ht="16.5">
      <c r="B52" s="3451" t="s">
        <v>3028</v>
      </c>
      <c r="C52" s="3450" t="s">
        <v>3079</v>
      </c>
      <c r="D52" s="3450"/>
      <c r="E52" s="3181" t="s">
        <v>3078</v>
      </c>
      <c r="F52" s="3195">
        <v>0</v>
      </c>
      <c r="G52" s="3195">
        <v>0</v>
      </c>
      <c r="H52" s="3195">
        <v>0</v>
      </c>
      <c r="I52" s="3195">
        <v>20</v>
      </c>
      <c r="J52" s="3195">
        <v>0</v>
      </c>
      <c r="K52" s="3185" t="s">
        <v>3080</v>
      </c>
    </row>
    <row r="53" spans="2:16" ht="16.5">
      <c r="B53" s="3452"/>
      <c r="C53" s="3450" t="s">
        <v>3081</v>
      </c>
      <c r="D53" s="3450"/>
      <c r="E53" s="3181" t="s">
        <v>3078</v>
      </c>
      <c r="F53" s="3195">
        <v>0</v>
      </c>
      <c r="G53" s="3195">
        <v>26</v>
      </c>
      <c r="H53" s="3195">
        <v>0</v>
      </c>
      <c r="I53" s="3195">
        <v>0</v>
      </c>
      <c r="J53" s="3195">
        <v>0</v>
      </c>
      <c r="K53" s="3185" t="s">
        <v>3082</v>
      </c>
    </row>
    <row r="54" spans="2:16" ht="16.5">
      <c r="B54" s="3452"/>
      <c r="C54" s="3450" t="s">
        <v>3083</v>
      </c>
      <c r="D54" s="3450"/>
      <c r="E54" s="3181" t="s">
        <v>3078</v>
      </c>
      <c r="F54" s="3193">
        <v>0</v>
      </c>
      <c r="G54" s="3193">
        <v>30</v>
      </c>
      <c r="H54" s="3193">
        <v>43</v>
      </c>
      <c r="I54" s="3193">
        <v>18</v>
      </c>
      <c r="J54" s="3193">
        <v>17</v>
      </c>
      <c r="K54" s="3185" t="s">
        <v>3084</v>
      </c>
    </row>
    <row r="55" spans="2:16" ht="16.5">
      <c r="B55" s="3452"/>
      <c r="C55" s="3450" t="s">
        <v>3033</v>
      </c>
      <c r="D55" s="3450"/>
      <c r="E55" s="3181" t="s">
        <v>3078</v>
      </c>
      <c r="F55" s="3195">
        <v>0</v>
      </c>
      <c r="G55" s="3195">
        <v>0</v>
      </c>
      <c r="H55" s="3195">
        <v>0</v>
      </c>
      <c r="I55" s="3195">
        <v>0</v>
      </c>
      <c r="J55" s="3195">
        <v>12</v>
      </c>
      <c r="K55" s="3185" t="s">
        <v>3085</v>
      </c>
    </row>
    <row r="56" spans="2:16" ht="16.5">
      <c r="B56" s="3453"/>
      <c r="C56" s="3450" t="s">
        <v>3032</v>
      </c>
      <c r="D56" s="3450"/>
      <c r="E56" s="3181" t="s">
        <v>3078</v>
      </c>
      <c r="F56" s="3195">
        <v>0</v>
      </c>
      <c r="G56" s="3195">
        <v>0</v>
      </c>
      <c r="H56" s="3195">
        <v>0</v>
      </c>
      <c r="I56" s="3195">
        <v>0</v>
      </c>
      <c r="J56" s="3195">
        <v>0</v>
      </c>
      <c r="K56" s="3185" t="s">
        <v>3086</v>
      </c>
    </row>
    <row r="57" spans="2:16" ht="16.5">
      <c r="B57" s="3455" t="s">
        <v>3087</v>
      </c>
      <c r="C57" s="3456"/>
      <c r="D57" s="3457"/>
      <c r="E57" s="3181" t="s">
        <v>3088</v>
      </c>
      <c r="F57" s="3195">
        <v>402</v>
      </c>
      <c r="G57" s="3195">
        <v>1454</v>
      </c>
      <c r="H57" s="3195">
        <v>496</v>
      </c>
      <c r="I57" s="3195">
        <v>1168</v>
      </c>
      <c r="J57" s="3195">
        <v>320</v>
      </c>
      <c r="K57" s="3185"/>
    </row>
    <row r="58" spans="2:16" ht="16.5">
      <c r="B58" s="3450" t="s">
        <v>3028</v>
      </c>
      <c r="C58" s="3450" t="s">
        <v>3089</v>
      </c>
      <c r="D58" s="3450"/>
      <c r="E58" s="3181" t="s">
        <v>3088</v>
      </c>
      <c r="F58" s="3195">
        <v>236</v>
      </c>
      <c r="G58" s="3195">
        <v>854</v>
      </c>
      <c r="H58" s="3195"/>
      <c r="I58" s="3195">
        <v>884</v>
      </c>
      <c r="J58" s="3195"/>
      <c r="K58" s="3193"/>
    </row>
    <row r="59" spans="2:16" ht="16.5">
      <c r="B59" s="3450"/>
      <c r="C59" s="3450" t="s">
        <v>3090</v>
      </c>
      <c r="D59" s="3450"/>
      <c r="E59" s="3181" t="s">
        <v>3088</v>
      </c>
      <c r="F59" s="3195">
        <v>166</v>
      </c>
      <c r="G59" s="3195">
        <v>600</v>
      </c>
      <c r="H59" s="3195">
        <v>496</v>
      </c>
      <c r="I59" s="3195">
        <v>284</v>
      </c>
      <c r="J59" s="3195">
        <v>320</v>
      </c>
      <c r="K59" s="3185"/>
    </row>
    <row r="60" spans="2:16" ht="16.5">
      <c r="B60" s="3450"/>
      <c r="C60" s="3450" t="s">
        <v>3032</v>
      </c>
      <c r="D60" s="3450"/>
      <c r="E60" s="3181" t="s">
        <v>3088</v>
      </c>
      <c r="F60" s="3195"/>
      <c r="G60" s="3195"/>
      <c r="H60" s="3195"/>
      <c r="I60" s="3195"/>
      <c r="J60" s="3195"/>
      <c r="K60" s="3202"/>
    </row>
    <row r="61" spans="2:16" ht="16.5">
      <c r="B61" s="3455" t="s">
        <v>3091</v>
      </c>
      <c r="C61" s="3456"/>
      <c r="D61" s="3457"/>
      <c r="E61" s="3181" t="s">
        <v>3088</v>
      </c>
      <c r="F61" s="3195">
        <v>0</v>
      </c>
      <c r="G61" s="3195">
        <v>0</v>
      </c>
      <c r="H61" s="3195">
        <v>0</v>
      </c>
      <c r="I61" s="3195">
        <v>0</v>
      </c>
      <c r="J61" s="3195">
        <v>880</v>
      </c>
      <c r="K61" s="3185"/>
    </row>
    <row r="62" spans="2:16" ht="16.5">
      <c r="B62" s="3450" t="s">
        <v>3028</v>
      </c>
      <c r="C62" s="3450" t="s">
        <v>3092</v>
      </c>
      <c r="D62" s="3450"/>
      <c r="E62" s="3181" t="s">
        <v>3088</v>
      </c>
      <c r="F62" s="3195">
        <v>0</v>
      </c>
      <c r="G62" s="3195">
        <v>0</v>
      </c>
      <c r="H62" s="3195">
        <v>0</v>
      </c>
      <c r="I62" s="3195">
        <v>0</v>
      </c>
      <c r="J62" s="3195">
        <v>0</v>
      </c>
      <c r="K62" s="3193"/>
    </row>
    <row r="63" spans="2:16" ht="16.5">
      <c r="B63" s="3450"/>
      <c r="C63" s="3450" t="s">
        <v>3049</v>
      </c>
      <c r="D63" s="3450"/>
      <c r="E63" s="3181" t="s">
        <v>3088</v>
      </c>
      <c r="F63" s="3195">
        <v>0</v>
      </c>
      <c r="G63" s="3195">
        <v>0</v>
      </c>
      <c r="H63" s="3195">
        <v>0</v>
      </c>
      <c r="I63" s="3195">
        <v>0</v>
      </c>
      <c r="J63" s="3195">
        <v>880</v>
      </c>
      <c r="K63" s="3185"/>
    </row>
    <row r="64" spans="2:16" ht="16.5">
      <c r="B64" s="3461" t="s">
        <v>3093</v>
      </c>
      <c r="C64" s="3462"/>
      <c r="D64" s="3463"/>
      <c r="E64" s="3189" t="s">
        <v>3094</v>
      </c>
      <c r="F64" s="3203">
        <v>2191</v>
      </c>
      <c r="G64" s="3203">
        <v>2112.1591199999998</v>
      </c>
      <c r="H64" s="3203">
        <v>680.21312</v>
      </c>
      <c r="I64" s="3203">
        <v>1563.3905999999999</v>
      </c>
      <c r="J64" s="3203">
        <v>849.42924000000005</v>
      </c>
      <c r="K64" s="3187" t="s">
        <v>3095</v>
      </c>
      <c r="N64" s="3180">
        <v>5774</v>
      </c>
      <c r="O64" s="3180">
        <v>1199</v>
      </c>
      <c r="P64" s="3180">
        <f>N64-O64</f>
        <v>4575</v>
      </c>
    </row>
    <row r="65" spans="2:14" ht="16.5">
      <c r="B65" s="3450" t="s">
        <v>3028</v>
      </c>
      <c r="C65" s="3450" t="s">
        <v>921</v>
      </c>
      <c r="D65" s="3450"/>
      <c r="E65" s="3181" t="s">
        <v>3094</v>
      </c>
      <c r="F65" s="3203">
        <v>2191</v>
      </c>
      <c r="G65" s="3203">
        <v>2108.3191200000001</v>
      </c>
      <c r="H65" s="3203">
        <v>678.57312000000002</v>
      </c>
      <c r="I65" s="3203">
        <v>1560.4866</v>
      </c>
      <c r="J65" s="3203">
        <v>502.15836000000002</v>
      </c>
      <c r="K65" s="3187" t="s">
        <v>3096</v>
      </c>
      <c r="N65" s="3180">
        <f>7396-1734</f>
        <v>5662</v>
      </c>
    </row>
    <row r="66" spans="2:14" ht="16.5">
      <c r="B66" s="3450"/>
      <c r="C66" s="3450" t="s">
        <v>3097</v>
      </c>
      <c r="D66" s="3450"/>
      <c r="E66" s="3181" t="s">
        <v>3094</v>
      </c>
      <c r="F66" s="3203">
        <v>0</v>
      </c>
      <c r="G66" s="3203">
        <v>3.84</v>
      </c>
      <c r="H66" s="3203">
        <v>1.64</v>
      </c>
      <c r="I66" s="3203">
        <v>2.9039999999999999</v>
      </c>
      <c r="J66" s="3203">
        <v>347.27087999999998</v>
      </c>
      <c r="K66" s="3187" t="s">
        <v>3098</v>
      </c>
    </row>
    <row r="67" spans="2:14" ht="16.5">
      <c r="B67" s="3450"/>
      <c r="C67" s="3450" t="s">
        <v>3028</v>
      </c>
      <c r="D67" s="3204" t="s">
        <v>3099</v>
      </c>
      <c r="E67" s="3181" t="s">
        <v>3094</v>
      </c>
      <c r="F67" s="3205">
        <v>0</v>
      </c>
      <c r="G67" s="3205">
        <v>0</v>
      </c>
      <c r="H67" s="3205">
        <v>0</v>
      </c>
      <c r="I67" s="3205">
        <v>0</v>
      </c>
      <c r="J67" s="3205">
        <v>0</v>
      </c>
      <c r="K67" s="3185"/>
    </row>
    <row r="68" spans="2:14" ht="16.5">
      <c r="B68" s="3450"/>
      <c r="C68" s="3450"/>
      <c r="D68" s="3204" t="s">
        <v>3100</v>
      </c>
      <c r="E68" s="3181" t="s">
        <v>3094</v>
      </c>
      <c r="F68" s="3203">
        <v>2191</v>
      </c>
      <c r="G68" s="3203">
        <v>2112.1591199999998</v>
      </c>
      <c r="H68" s="3203">
        <v>680.21312</v>
      </c>
      <c r="I68" s="3203">
        <v>1563.3905999999999</v>
      </c>
      <c r="J68" s="3203">
        <v>849.42924000000005</v>
      </c>
      <c r="K68" s="3185" t="s">
        <v>3105</v>
      </c>
    </row>
    <row r="69" spans="2:14" ht="16.5">
      <c r="B69" s="3461" t="s">
        <v>3101</v>
      </c>
      <c r="C69" s="3462"/>
      <c r="D69" s="3463"/>
      <c r="E69" s="3181" t="s">
        <v>3094</v>
      </c>
      <c r="F69" s="3206">
        <v>510.18177600000001</v>
      </c>
      <c r="G69" s="3206">
        <v>1763.1381460800001</v>
      </c>
      <c r="H69" s="3206">
        <v>567.97998208000001</v>
      </c>
      <c r="I69" s="3206">
        <v>1305.0758244000001</v>
      </c>
      <c r="J69" s="3206">
        <v>853.19471511999996</v>
      </c>
      <c r="K69" s="3187"/>
    </row>
    <row r="70" spans="2:14" ht="16.5">
      <c r="B70" s="3450" t="s">
        <v>3028</v>
      </c>
      <c r="C70" s="3450" t="s">
        <v>921</v>
      </c>
      <c r="D70" s="3450"/>
      <c r="E70" s="3181" t="s">
        <v>3094</v>
      </c>
      <c r="F70" s="3207">
        <v>402.22</v>
      </c>
      <c r="G70" s="3207">
        <v>1756.9326000000001</v>
      </c>
      <c r="H70" s="3207">
        <v>565.47760000000005</v>
      </c>
      <c r="I70" s="3207">
        <v>1300.4055000000001</v>
      </c>
      <c r="J70" s="3207">
        <v>418.46530000000001</v>
      </c>
      <c r="K70" s="3185" t="s">
        <v>3102</v>
      </c>
    </row>
    <row r="71" spans="2:14" ht="16.5">
      <c r="B71" s="3450"/>
      <c r="C71" s="3450" t="s">
        <v>3097</v>
      </c>
      <c r="D71" s="3450"/>
      <c r="E71" s="3181" t="s">
        <v>3094</v>
      </c>
      <c r="F71" s="3207">
        <v>107.96177599999999</v>
      </c>
      <c r="G71" s="3207">
        <v>6.2055460800000004</v>
      </c>
      <c r="H71" s="3207">
        <v>2.5023820799999998</v>
      </c>
      <c r="I71" s="3207">
        <v>4.6703244000000002</v>
      </c>
      <c r="J71" s="3207">
        <v>434.72941512</v>
      </c>
      <c r="K71" s="3185" t="s">
        <v>3103</v>
      </c>
    </row>
    <row r="72" spans="2:14" ht="16.5">
      <c r="B72" s="3450"/>
      <c r="C72" s="3450" t="s">
        <v>3028</v>
      </c>
      <c r="D72" s="3204" t="s">
        <v>3099</v>
      </c>
      <c r="E72" s="3181" t="s">
        <v>3094</v>
      </c>
      <c r="F72" s="3208">
        <v>0</v>
      </c>
      <c r="G72" s="3208">
        <v>0</v>
      </c>
      <c r="H72" s="3208">
        <v>0</v>
      </c>
      <c r="I72" s="3208">
        <v>0</v>
      </c>
      <c r="J72" s="3208">
        <v>0</v>
      </c>
      <c r="K72" s="3185">
        <v>0</v>
      </c>
    </row>
    <row r="73" spans="2:14" ht="16.5">
      <c r="B73" s="3450"/>
      <c r="C73" s="3450"/>
      <c r="D73" s="3204" t="s">
        <v>3100</v>
      </c>
      <c r="E73" s="3181" t="s">
        <v>3094</v>
      </c>
      <c r="F73" s="3207">
        <v>510.18177600000001</v>
      </c>
      <c r="G73" s="3207">
        <v>1763.1381460800001</v>
      </c>
      <c r="H73" s="3207">
        <v>567.97998208000001</v>
      </c>
      <c r="I73" s="3207">
        <v>1305.0758244000001</v>
      </c>
      <c r="J73" s="3207">
        <v>853.19471511999996</v>
      </c>
      <c r="K73" s="3185" t="s">
        <v>3104</v>
      </c>
    </row>
  </sheetData>
  <mergeCells count="61">
    <mergeCell ref="B69:D69"/>
    <mergeCell ref="B70:B73"/>
    <mergeCell ref="C70:D70"/>
    <mergeCell ref="C71:D71"/>
    <mergeCell ref="C72:C73"/>
    <mergeCell ref="B62:B63"/>
    <mergeCell ref="C62:D62"/>
    <mergeCell ref="C63:D63"/>
    <mergeCell ref="B64:D64"/>
    <mergeCell ref="B65:B68"/>
    <mergeCell ref="C65:D65"/>
    <mergeCell ref="C66:D66"/>
    <mergeCell ref="C67:C68"/>
    <mergeCell ref="B61:D61"/>
    <mergeCell ref="B48:D48"/>
    <mergeCell ref="B49:D49"/>
    <mergeCell ref="B50:D50"/>
    <mergeCell ref="B51:D51"/>
    <mergeCell ref="B52:B56"/>
    <mergeCell ref="C52:D52"/>
    <mergeCell ref="C53:D53"/>
    <mergeCell ref="C54:D54"/>
    <mergeCell ref="C55:D55"/>
    <mergeCell ref="C56:D56"/>
    <mergeCell ref="B57:D57"/>
    <mergeCell ref="B58:B60"/>
    <mergeCell ref="C58:D58"/>
    <mergeCell ref="C59:D59"/>
    <mergeCell ref="C60:D60"/>
    <mergeCell ref="B36:D36"/>
    <mergeCell ref="B37:B47"/>
    <mergeCell ref="C37:D37"/>
    <mergeCell ref="C38:C40"/>
    <mergeCell ref="C41:D41"/>
    <mergeCell ref="C42:C45"/>
    <mergeCell ref="C46:D46"/>
    <mergeCell ref="C47:D47"/>
    <mergeCell ref="B30:D30"/>
    <mergeCell ref="B31:B35"/>
    <mergeCell ref="C31:D31"/>
    <mergeCell ref="C32:D32"/>
    <mergeCell ref="C33:D33"/>
    <mergeCell ref="C34:D34"/>
    <mergeCell ref="C35:D35"/>
    <mergeCell ref="B25:D25"/>
    <mergeCell ref="B26:B29"/>
    <mergeCell ref="C26:D26"/>
    <mergeCell ref="C27:D27"/>
    <mergeCell ref="C28:D28"/>
    <mergeCell ref="C29:D29"/>
    <mergeCell ref="B3:D3"/>
    <mergeCell ref="B4:D4"/>
    <mergeCell ref="B5:D5"/>
    <mergeCell ref="B6:D6"/>
    <mergeCell ref="B7:B24"/>
    <mergeCell ref="C7:D7"/>
    <mergeCell ref="C9:C12"/>
    <mergeCell ref="C13:D13"/>
    <mergeCell ref="C14:C20"/>
    <mergeCell ref="C21:D21"/>
    <mergeCell ref="C22:C24"/>
  </mergeCells>
  <phoneticPr fontId="228"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257" t="str">
        <f>项目基本情况!B1</f>
        <v>四川省成都市郫都区（原郫县）红光镇护国村一社、郫筒镇鹃城村十社2号地出让国有建设用地使用权抵押价格预评估</v>
      </c>
      <c r="C37" s="3257"/>
      <c r="D37" s="3257"/>
      <c r="E37" s="3257"/>
      <c r="F37" s="3257"/>
      <c r="G37" s="3257"/>
      <c r="H37" s="3257"/>
      <c r="I37" s="3257"/>
    </row>
    <row r="38" spans="1:9">
      <c r="A38" s="1657"/>
      <c r="B38" s="1657"/>
    </row>
    <row r="39" spans="1:9">
      <c r="A39" s="1655" t="s">
        <v>1900</v>
      </c>
      <c r="B39" s="1655" t="s">
        <v>2044</v>
      </c>
    </row>
    <row r="40" spans="1:9">
      <c r="A40" s="1655"/>
      <c r="B40" s="1655" t="str">
        <f>项目基本情况!B5</f>
        <v>成都聚锦商务有限公司</v>
      </c>
    </row>
    <row r="41" spans="1:9">
      <c r="A41" s="1655"/>
      <c r="B41" s="1655"/>
    </row>
    <row r="42" spans="1:9">
      <c r="A42" s="1655" t="s">
        <v>1900</v>
      </c>
      <c r="B42" s="1655" t="s">
        <v>2045</v>
      </c>
    </row>
    <row r="43" spans="1:9">
      <c r="A43" s="1655"/>
      <c r="B43" s="1655" t="s">
        <v>1902</v>
      </c>
    </row>
    <row r="44" spans="1:9">
      <c r="A44" s="1655"/>
      <c r="B44" s="1655"/>
    </row>
    <row r="45" spans="1:9">
      <c r="A45" s="1655" t="s">
        <v>1900</v>
      </c>
      <c r="B45" s="1655" t="s">
        <v>2043</v>
      </c>
    </row>
    <row r="46" spans="1:9" s="1655" customFormat="1" ht="12.75">
      <c r="B46" s="1655" t="str">
        <f>项目基本情况!K4</f>
        <v>郑燚、王鹏</v>
      </c>
    </row>
    <row r="47" spans="1:9">
      <c r="A47" s="1655"/>
      <c r="B47" s="1655"/>
    </row>
    <row r="48" spans="1:9">
      <c r="A48" s="1655" t="s">
        <v>1900</v>
      </c>
      <c r="B48" s="1655" t="s">
        <v>2046</v>
      </c>
    </row>
    <row r="49" spans="2:2">
      <c r="B49" s="1655" t="str">
        <f>"康正预评字"&amp;项目基本情况!B2&amp;"号"</f>
        <v>康正预评字2019-1-0121号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D4" sqref="D4"/>
    </sheetView>
  </sheetViews>
  <sheetFormatPr defaultRowHeight="13.5"/>
  <cols>
    <col min="1" max="1" width="45.125" style="2917" customWidth="1"/>
    <col min="2" max="2" width="6.25" style="2917" customWidth="1"/>
    <col min="3" max="5" width="13.875" style="2917" customWidth="1"/>
    <col min="6" max="6" width="18.125" style="3222" customWidth="1"/>
    <col min="7" max="7" width="10.875" style="3222" customWidth="1"/>
    <col min="8" max="8" width="7.875" style="2917" customWidth="1"/>
    <col min="9" max="9" width="11.875" style="2917" customWidth="1"/>
    <col min="10" max="11" width="10.625" style="2917" customWidth="1"/>
    <col min="12" max="12" width="14.375" style="2917" customWidth="1"/>
    <col min="13" max="13" width="10.625" style="2917" customWidth="1"/>
    <col min="14" max="14" width="6.25" style="2917" customWidth="1"/>
    <col min="15" max="15" width="34.25" style="2917" customWidth="1"/>
    <col min="16" max="16" width="7.875" style="2917" customWidth="1"/>
    <col min="17" max="258" width="9" style="2917"/>
    <col min="259" max="259" width="69.375" style="2917" customWidth="1"/>
    <col min="260" max="260" width="6.25" style="2917" customWidth="1"/>
    <col min="261" max="263" width="13.875" style="2917" customWidth="1"/>
    <col min="264" max="264" width="18.125" style="2917" customWidth="1"/>
    <col min="265" max="265" width="7.875" style="2917" customWidth="1"/>
    <col min="266" max="266" width="9" style="2917" customWidth="1"/>
    <col min="267" max="268" width="10.625" style="2917" customWidth="1"/>
    <col min="269" max="269" width="14.375" style="2917" customWidth="1"/>
    <col min="270" max="270" width="6.25" style="2917" customWidth="1"/>
    <col min="271" max="271" width="34.25" style="2917" customWidth="1"/>
    <col min="272" max="272" width="7.875" style="2917" customWidth="1"/>
    <col min="273" max="514" width="9" style="2917"/>
    <col min="515" max="515" width="69.375" style="2917" customWidth="1"/>
    <col min="516" max="516" width="6.25" style="2917" customWidth="1"/>
    <col min="517" max="519" width="13.875" style="2917" customWidth="1"/>
    <col min="520" max="520" width="18.125" style="2917" customWidth="1"/>
    <col min="521" max="521" width="7.875" style="2917" customWidth="1"/>
    <col min="522" max="522" width="9" style="2917" customWidth="1"/>
    <col min="523" max="524" width="10.625" style="2917" customWidth="1"/>
    <col min="525" max="525" width="14.375" style="2917" customWidth="1"/>
    <col min="526" max="526" width="6.25" style="2917" customWidth="1"/>
    <col min="527" max="527" width="34.25" style="2917" customWidth="1"/>
    <col min="528" max="528" width="7.875" style="2917" customWidth="1"/>
    <col min="529" max="770" width="9" style="2917"/>
    <col min="771" max="771" width="69.375" style="2917" customWidth="1"/>
    <col min="772" max="772" width="6.25" style="2917" customWidth="1"/>
    <col min="773" max="775" width="13.875" style="2917" customWidth="1"/>
    <col min="776" max="776" width="18.125" style="2917" customWidth="1"/>
    <col min="777" max="777" width="7.875" style="2917" customWidth="1"/>
    <col min="778" max="778" width="9" style="2917" customWidth="1"/>
    <col min="779" max="780" width="10.625" style="2917" customWidth="1"/>
    <col min="781" max="781" width="14.375" style="2917" customWidth="1"/>
    <col min="782" max="782" width="6.25" style="2917" customWidth="1"/>
    <col min="783" max="783" width="34.25" style="2917" customWidth="1"/>
    <col min="784" max="784" width="7.875" style="2917" customWidth="1"/>
    <col min="785" max="1026" width="9" style="2917"/>
    <col min="1027" max="1027" width="69.375" style="2917" customWidth="1"/>
    <col min="1028" max="1028" width="6.25" style="2917" customWidth="1"/>
    <col min="1029" max="1031" width="13.875" style="2917" customWidth="1"/>
    <col min="1032" max="1032" width="18.125" style="2917" customWidth="1"/>
    <col min="1033" max="1033" width="7.875" style="2917" customWidth="1"/>
    <col min="1034" max="1034" width="9" style="2917" customWidth="1"/>
    <col min="1035" max="1036" width="10.625" style="2917" customWidth="1"/>
    <col min="1037" max="1037" width="14.375" style="2917" customWidth="1"/>
    <col min="1038" max="1038" width="6.25" style="2917" customWidth="1"/>
    <col min="1039" max="1039" width="34.25" style="2917" customWidth="1"/>
    <col min="1040" max="1040" width="7.875" style="2917" customWidth="1"/>
    <col min="1041" max="1282" width="9" style="2917"/>
    <col min="1283" max="1283" width="69.375" style="2917" customWidth="1"/>
    <col min="1284" max="1284" width="6.25" style="2917" customWidth="1"/>
    <col min="1285" max="1287" width="13.875" style="2917" customWidth="1"/>
    <col min="1288" max="1288" width="18.125" style="2917" customWidth="1"/>
    <col min="1289" max="1289" width="7.875" style="2917" customWidth="1"/>
    <col min="1290" max="1290" width="9" style="2917" customWidth="1"/>
    <col min="1291" max="1292" width="10.625" style="2917" customWidth="1"/>
    <col min="1293" max="1293" width="14.375" style="2917" customWidth="1"/>
    <col min="1294" max="1294" width="6.25" style="2917" customWidth="1"/>
    <col min="1295" max="1295" width="34.25" style="2917" customWidth="1"/>
    <col min="1296" max="1296" width="7.875" style="2917" customWidth="1"/>
    <col min="1297" max="1538" width="9" style="2917"/>
    <col min="1539" max="1539" width="69.375" style="2917" customWidth="1"/>
    <col min="1540" max="1540" width="6.25" style="2917" customWidth="1"/>
    <col min="1541" max="1543" width="13.875" style="2917" customWidth="1"/>
    <col min="1544" max="1544" width="18.125" style="2917" customWidth="1"/>
    <col min="1545" max="1545" width="7.875" style="2917" customWidth="1"/>
    <col min="1546" max="1546" width="9" style="2917" customWidth="1"/>
    <col min="1547" max="1548" width="10.625" style="2917" customWidth="1"/>
    <col min="1549" max="1549" width="14.375" style="2917" customWidth="1"/>
    <col min="1550" max="1550" width="6.25" style="2917" customWidth="1"/>
    <col min="1551" max="1551" width="34.25" style="2917" customWidth="1"/>
    <col min="1552" max="1552" width="7.875" style="2917" customWidth="1"/>
    <col min="1553" max="1794" width="9" style="2917"/>
    <col min="1795" max="1795" width="69.375" style="2917" customWidth="1"/>
    <col min="1796" max="1796" width="6.25" style="2917" customWidth="1"/>
    <col min="1797" max="1799" width="13.875" style="2917" customWidth="1"/>
    <col min="1800" max="1800" width="18.125" style="2917" customWidth="1"/>
    <col min="1801" max="1801" width="7.875" style="2917" customWidth="1"/>
    <col min="1802" max="1802" width="9" style="2917" customWidth="1"/>
    <col min="1803" max="1804" width="10.625" style="2917" customWidth="1"/>
    <col min="1805" max="1805" width="14.375" style="2917" customWidth="1"/>
    <col min="1806" max="1806" width="6.25" style="2917" customWidth="1"/>
    <col min="1807" max="1807" width="34.25" style="2917" customWidth="1"/>
    <col min="1808" max="1808" width="7.875" style="2917" customWidth="1"/>
    <col min="1809" max="2050" width="9" style="2917"/>
    <col min="2051" max="2051" width="69.375" style="2917" customWidth="1"/>
    <col min="2052" max="2052" width="6.25" style="2917" customWidth="1"/>
    <col min="2053" max="2055" width="13.875" style="2917" customWidth="1"/>
    <col min="2056" max="2056" width="18.125" style="2917" customWidth="1"/>
    <col min="2057" max="2057" width="7.875" style="2917" customWidth="1"/>
    <col min="2058" max="2058" width="9" style="2917" customWidth="1"/>
    <col min="2059" max="2060" width="10.625" style="2917" customWidth="1"/>
    <col min="2061" max="2061" width="14.375" style="2917" customWidth="1"/>
    <col min="2062" max="2062" width="6.25" style="2917" customWidth="1"/>
    <col min="2063" max="2063" width="34.25" style="2917" customWidth="1"/>
    <col min="2064" max="2064" width="7.875" style="2917" customWidth="1"/>
    <col min="2065" max="2306" width="9" style="2917"/>
    <col min="2307" max="2307" width="69.375" style="2917" customWidth="1"/>
    <col min="2308" max="2308" width="6.25" style="2917" customWidth="1"/>
    <col min="2309" max="2311" width="13.875" style="2917" customWidth="1"/>
    <col min="2312" max="2312" width="18.125" style="2917" customWidth="1"/>
    <col min="2313" max="2313" width="7.875" style="2917" customWidth="1"/>
    <col min="2314" max="2314" width="9" style="2917" customWidth="1"/>
    <col min="2315" max="2316" width="10.625" style="2917" customWidth="1"/>
    <col min="2317" max="2317" width="14.375" style="2917" customWidth="1"/>
    <col min="2318" max="2318" width="6.25" style="2917" customWidth="1"/>
    <col min="2319" max="2319" width="34.25" style="2917" customWidth="1"/>
    <col min="2320" max="2320" width="7.875" style="2917" customWidth="1"/>
    <col min="2321" max="2562" width="9" style="2917"/>
    <col min="2563" max="2563" width="69.375" style="2917" customWidth="1"/>
    <col min="2564" max="2564" width="6.25" style="2917" customWidth="1"/>
    <col min="2565" max="2567" width="13.875" style="2917" customWidth="1"/>
    <col min="2568" max="2568" width="18.125" style="2917" customWidth="1"/>
    <col min="2569" max="2569" width="7.875" style="2917" customWidth="1"/>
    <col min="2570" max="2570" width="9" style="2917" customWidth="1"/>
    <col min="2571" max="2572" width="10.625" style="2917" customWidth="1"/>
    <col min="2573" max="2573" width="14.375" style="2917" customWidth="1"/>
    <col min="2574" max="2574" width="6.25" style="2917" customWidth="1"/>
    <col min="2575" max="2575" width="34.25" style="2917" customWidth="1"/>
    <col min="2576" max="2576" width="7.875" style="2917" customWidth="1"/>
    <col min="2577" max="2818" width="9" style="2917"/>
    <col min="2819" max="2819" width="69.375" style="2917" customWidth="1"/>
    <col min="2820" max="2820" width="6.25" style="2917" customWidth="1"/>
    <col min="2821" max="2823" width="13.875" style="2917" customWidth="1"/>
    <col min="2824" max="2824" width="18.125" style="2917" customWidth="1"/>
    <col min="2825" max="2825" width="7.875" style="2917" customWidth="1"/>
    <col min="2826" max="2826" width="9" style="2917" customWidth="1"/>
    <col min="2827" max="2828" width="10.625" style="2917" customWidth="1"/>
    <col min="2829" max="2829" width="14.375" style="2917" customWidth="1"/>
    <col min="2830" max="2830" width="6.25" style="2917" customWidth="1"/>
    <col min="2831" max="2831" width="34.25" style="2917" customWidth="1"/>
    <col min="2832" max="2832" width="7.875" style="2917" customWidth="1"/>
    <col min="2833" max="3074" width="9" style="2917"/>
    <col min="3075" max="3075" width="69.375" style="2917" customWidth="1"/>
    <col min="3076" max="3076" width="6.25" style="2917" customWidth="1"/>
    <col min="3077" max="3079" width="13.875" style="2917" customWidth="1"/>
    <col min="3080" max="3080" width="18.125" style="2917" customWidth="1"/>
    <col min="3081" max="3081" width="7.875" style="2917" customWidth="1"/>
    <col min="3082" max="3082" width="9" style="2917" customWidth="1"/>
    <col min="3083" max="3084" width="10.625" style="2917" customWidth="1"/>
    <col min="3085" max="3085" width="14.375" style="2917" customWidth="1"/>
    <col min="3086" max="3086" width="6.25" style="2917" customWidth="1"/>
    <col min="3087" max="3087" width="34.25" style="2917" customWidth="1"/>
    <col min="3088" max="3088" width="7.875" style="2917" customWidth="1"/>
    <col min="3089" max="3330" width="9" style="2917"/>
    <col min="3331" max="3331" width="69.375" style="2917" customWidth="1"/>
    <col min="3332" max="3332" width="6.25" style="2917" customWidth="1"/>
    <col min="3333" max="3335" width="13.875" style="2917" customWidth="1"/>
    <col min="3336" max="3336" width="18.125" style="2917" customWidth="1"/>
    <col min="3337" max="3337" width="7.875" style="2917" customWidth="1"/>
    <col min="3338" max="3338" width="9" style="2917" customWidth="1"/>
    <col min="3339" max="3340" width="10.625" style="2917" customWidth="1"/>
    <col min="3341" max="3341" width="14.375" style="2917" customWidth="1"/>
    <col min="3342" max="3342" width="6.25" style="2917" customWidth="1"/>
    <col min="3343" max="3343" width="34.25" style="2917" customWidth="1"/>
    <col min="3344" max="3344" width="7.875" style="2917" customWidth="1"/>
    <col min="3345" max="3586" width="9" style="2917"/>
    <col min="3587" max="3587" width="69.375" style="2917" customWidth="1"/>
    <col min="3588" max="3588" width="6.25" style="2917" customWidth="1"/>
    <col min="3589" max="3591" width="13.875" style="2917" customWidth="1"/>
    <col min="3592" max="3592" width="18.125" style="2917" customWidth="1"/>
    <col min="3593" max="3593" width="7.875" style="2917" customWidth="1"/>
    <col min="3594" max="3594" width="9" style="2917" customWidth="1"/>
    <col min="3595" max="3596" width="10.625" style="2917" customWidth="1"/>
    <col min="3597" max="3597" width="14.375" style="2917" customWidth="1"/>
    <col min="3598" max="3598" width="6.25" style="2917" customWidth="1"/>
    <col min="3599" max="3599" width="34.25" style="2917" customWidth="1"/>
    <col min="3600" max="3600" width="7.875" style="2917" customWidth="1"/>
    <col min="3601" max="3842" width="9" style="2917"/>
    <col min="3843" max="3843" width="69.375" style="2917" customWidth="1"/>
    <col min="3844" max="3844" width="6.25" style="2917" customWidth="1"/>
    <col min="3845" max="3847" width="13.875" style="2917" customWidth="1"/>
    <col min="3848" max="3848" width="18.125" style="2917" customWidth="1"/>
    <col min="3849" max="3849" width="7.875" style="2917" customWidth="1"/>
    <col min="3850" max="3850" width="9" style="2917" customWidth="1"/>
    <col min="3851" max="3852" width="10.625" style="2917" customWidth="1"/>
    <col min="3853" max="3853" width="14.375" style="2917" customWidth="1"/>
    <col min="3854" max="3854" width="6.25" style="2917" customWidth="1"/>
    <col min="3855" max="3855" width="34.25" style="2917" customWidth="1"/>
    <col min="3856" max="3856" width="7.875" style="2917" customWidth="1"/>
    <col min="3857" max="4098" width="9" style="2917"/>
    <col min="4099" max="4099" width="69.375" style="2917" customWidth="1"/>
    <col min="4100" max="4100" width="6.25" style="2917" customWidth="1"/>
    <col min="4101" max="4103" width="13.875" style="2917" customWidth="1"/>
    <col min="4104" max="4104" width="18.125" style="2917" customWidth="1"/>
    <col min="4105" max="4105" width="7.875" style="2917" customWidth="1"/>
    <col min="4106" max="4106" width="9" style="2917" customWidth="1"/>
    <col min="4107" max="4108" width="10.625" style="2917" customWidth="1"/>
    <col min="4109" max="4109" width="14.375" style="2917" customWidth="1"/>
    <col min="4110" max="4110" width="6.25" style="2917" customWidth="1"/>
    <col min="4111" max="4111" width="34.25" style="2917" customWidth="1"/>
    <col min="4112" max="4112" width="7.875" style="2917" customWidth="1"/>
    <col min="4113" max="4354" width="9" style="2917"/>
    <col min="4355" max="4355" width="69.375" style="2917" customWidth="1"/>
    <col min="4356" max="4356" width="6.25" style="2917" customWidth="1"/>
    <col min="4357" max="4359" width="13.875" style="2917" customWidth="1"/>
    <col min="4360" max="4360" width="18.125" style="2917" customWidth="1"/>
    <col min="4361" max="4361" width="7.875" style="2917" customWidth="1"/>
    <col min="4362" max="4362" width="9" style="2917" customWidth="1"/>
    <col min="4363" max="4364" width="10.625" style="2917" customWidth="1"/>
    <col min="4365" max="4365" width="14.375" style="2917" customWidth="1"/>
    <col min="4366" max="4366" width="6.25" style="2917" customWidth="1"/>
    <col min="4367" max="4367" width="34.25" style="2917" customWidth="1"/>
    <col min="4368" max="4368" width="7.875" style="2917" customWidth="1"/>
    <col min="4369" max="4610" width="9" style="2917"/>
    <col min="4611" max="4611" width="69.375" style="2917" customWidth="1"/>
    <col min="4612" max="4612" width="6.25" style="2917" customWidth="1"/>
    <col min="4613" max="4615" width="13.875" style="2917" customWidth="1"/>
    <col min="4616" max="4616" width="18.125" style="2917" customWidth="1"/>
    <col min="4617" max="4617" width="7.875" style="2917" customWidth="1"/>
    <col min="4618" max="4618" width="9" style="2917" customWidth="1"/>
    <col min="4619" max="4620" width="10.625" style="2917" customWidth="1"/>
    <col min="4621" max="4621" width="14.375" style="2917" customWidth="1"/>
    <col min="4622" max="4622" width="6.25" style="2917" customWidth="1"/>
    <col min="4623" max="4623" width="34.25" style="2917" customWidth="1"/>
    <col min="4624" max="4624" width="7.875" style="2917" customWidth="1"/>
    <col min="4625" max="4866" width="9" style="2917"/>
    <col min="4867" max="4867" width="69.375" style="2917" customWidth="1"/>
    <col min="4868" max="4868" width="6.25" style="2917" customWidth="1"/>
    <col min="4869" max="4871" width="13.875" style="2917" customWidth="1"/>
    <col min="4872" max="4872" width="18.125" style="2917" customWidth="1"/>
    <col min="4873" max="4873" width="7.875" style="2917" customWidth="1"/>
    <col min="4874" max="4874" width="9" style="2917" customWidth="1"/>
    <col min="4875" max="4876" width="10.625" style="2917" customWidth="1"/>
    <col min="4877" max="4877" width="14.375" style="2917" customWidth="1"/>
    <col min="4878" max="4878" width="6.25" style="2917" customWidth="1"/>
    <col min="4879" max="4879" width="34.25" style="2917" customWidth="1"/>
    <col min="4880" max="4880" width="7.875" style="2917" customWidth="1"/>
    <col min="4881" max="5122" width="9" style="2917"/>
    <col min="5123" max="5123" width="69.375" style="2917" customWidth="1"/>
    <col min="5124" max="5124" width="6.25" style="2917" customWidth="1"/>
    <col min="5125" max="5127" width="13.875" style="2917" customWidth="1"/>
    <col min="5128" max="5128" width="18.125" style="2917" customWidth="1"/>
    <col min="5129" max="5129" width="7.875" style="2917" customWidth="1"/>
    <col min="5130" max="5130" width="9" style="2917" customWidth="1"/>
    <col min="5131" max="5132" width="10.625" style="2917" customWidth="1"/>
    <col min="5133" max="5133" width="14.375" style="2917" customWidth="1"/>
    <col min="5134" max="5134" width="6.25" style="2917" customWidth="1"/>
    <col min="5135" max="5135" width="34.25" style="2917" customWidth="1"/>
    <col min="5136" max="5136" width="7.875" style="2917" customWidth="1"/>
    <col min="5137" max="5378" width="9" style="2917"/>
    <col min="5379" max="5379" width="69.375" style="2917" customWidth="1"/>
    <col min="5380" max="5380" width="6.25" style="2917" customWidth="1"/>
    <col min="5381" max="5383" width="13.875" style="2917" customWidth="1"/>
    <col min="5384" max="5384" width="18.125" style="2917" customWidth="1"/>
    <col min="5385" max="5385" width="7.875" style="2917" customWidth="1"/>
    <col min="5386" max="5386" width="9" style="2917" customWidth="1"/>
    <col min="5387" max="5388" width="10.625" style="2917" customWidth="1"/>
    <col min="5389" max="5389" width="14.375" style="2917" customWidth="1"/>
    <col min="5390" max="5390" width="6.25" style="2917" customWidth="1"/>
    <col min="5391" max="5391" width="34.25" style="2917" customWidth="1"/>
    <col min="5392" max="5392" width="7.875" style="2917" customWidth="1"/>
    <col min="5393" max="5634" width="9" style="2917"/>
    <col min="5635" max="5635" width="69.375" style="2917" customWidth="1"/>
    <col min="5636" max="5636" width="6.25" style="2917" customWidth="1"/>
    <col min="5637" max="5639" width="13.875" style="2917" customWidth="1"/>
    <col min="5640" max="5640" width="18.125" style="2917" customWidth="1"/>
    <col min="5641" max="5641" width="7.875" style="2917" customWidth="1"/>
    <col min="5642" max="5642" width="9" style="2917" customWidth="1"/>
    <col min="5643" max="5644" width="10.625" style="2917" customWidth="1"/>
    <col min="5645" max="5645" width="14.375" style="2917" customWidth="1"/>
    <col min="5646" max="5646" width="6.25" style="2917" customWidth="1"/>
    <col min="5647" max="5647" width="34.25" style="2917" customWidth="1"/>
    <col min="5648" max="5648" width="7.875" style="2917" customWidth="1"/>
    <col min="5649" max="5890" width="9" style="2917"/>
    <col min="5891" max="5891" width="69.375" style="2917" customWidth="1"/>
    <col min="5892" max="5892" width="6.25" style="2917" customWidth="1"/>
    <col min="5893" max="5895" width="13.875" style="2917" customWidth="1"/>
    <col min="5896" max="5896" width="18.125" style="2917" customWidth="1"/>
    <col min="5897" max="5897" width="7.875" style="2917" customWidth="1"/>
    <col min="5898" max="5898" width="9" style="2917" customWidth="1"/>
    <col min="5899" max="5900" width="10.625" style="2917" customWidth="1"/>
    <col min="5901" max="5901" width="14.375" style="2917" customWidth="1"/>
    <col min="5902" max="5902" width="6.25" style="2917" customWidth="1"/>
    <col min="5903" max="5903" width="34.25" style="2917" customWidth="1"/>
    <col min="5904" max="5904" width="7.875" style="2917" customWidth="1"/>
    <col min="5905" max="6146" width="9" style="2917"/>
    <col min="6147" max="6147" width="69.375" style="2917" customWidth="1"/>
    <col min="6148" max="6148" width="6.25" style="2917" customWidth="1"/>
    <col min="6149" max="6151" width="13.875" style="2917" customWidth="1"/>
    <col min="6152" max="6152" width="18.125" style="2917" customWidth="1"/>
    <col min="6153" max="6153" width="7.875" style="2917" customWidth="1"/>
    <col min="6154" max="6154" width="9" style="2917" customWidth="1"/>
    <col min="6155" max="6156" width="10.625" style="2917" customWidth="1"/>
    <col min="6157" max="6157" width="14.375" style="2917" customWidth="1"/>
    <col min="6158" max="6158" width="6.25" style="2917" customWidth="1"/>
    <col min="6159" max="6159" width="34.25" style="2917" customWidth="1"/>
    <col min="6160" max="6160" width="7.875" style="2917" customWidth="1"/>
    <col min="6161" max="6402" width="9" style="2917"/>
    <col min="6403" max="6403" width="69.375" style="2917" customWidth="1"/>
    <col min="6404" max="6404" width="6.25" style="2917" customWidth="1"/>
    <col min="6405" max="6407" width="13.875" style="2917" customWidth="1"/>
    <col min="6408" max="6408" width="18.125" style="2917" customWidth="1"/>
    <col min="6409" max="6409" width="7.875" style="2917" customWidth="1"/>
    <col min="6410" max="6410" width="9" style="2917" customWidth="1"/>
    <col min="6411" max="6412" width="10.625" style="2917" customWidth="1"/>
    <col min="6413" max="6413" width="14.375" style="2917" customWidth="1"/>
    <col min="6414" max="6414" width="6.25" style="2917" customWidth="1"/>
    <col min="6415" max="6415" width="34.25" style="2917" customWidth="1"/>
    <col min="6416" max="6416" width="7.875" style="2917" customWidth="1"/>
    <col min="6417" max="6658" width="9" style="2917"/>
    <col min="6659" max="6659" width="69.375" style="2917" customWidth="1"/>
    <col min="6660" max="6660" width="6.25" style="2917" customWidth="1"/>
    <col min="6661" max="6663" width="13.875" style="2917" customWidth="1"/>
    <col min="6664" max="6664" width="18.125" style="2917" customWidth="1"/>
    <col min="6665" max="6665" width="7.875" style="2917" customWidth="1"/>
    <col min="6666" max="6666" width="9" style="2917" customWidth="1"/>
    <col min="6667" max="6668" width="10.625" style="2917" customWidth="1"/>
    <col min="6669" max="6669" width="14.375" style="2917" customWidth="1"/>
    <col min="6670" max="6670" width="6.25" style="2917" customWidth="1"/>
    <col min="6671" max="6671" width="34.25" style="2917" customWidth="1"/>
    <col min="6672" max="6672" width="7.875" style="2917" customWidth="1"/>
    <col min="6673" max="6914" width="9" style="2917"/>
    <col min="6915" max="6915" width="69.375" style="2917" customWidth="1"/>
    <col min="6916" max="6916" width="6.25" style="2917" customWidth="1"/>
    <col min="6917" max="6919" width="13.875" style="2917" customWidth="1"/>
    <col min="6920" max="6920" width="18.125" style="2917" customWidth="1"/>
    <col min="6921" max="6921" width="7.875" style="2917" customWidth="1"/>
    <col min="6922" max="6922" width="9" style="2917" customWidth="1"/>
    <col min="6923" max="6924" width="10.625" style="2917" customWidth="1"/>
    <col min="6925" max="6925" width="14.375" style="2917" customWidth="1"/>
    <col min="6926" max="6926" width="6.25" style="2917" customWidth="1"/>
    <col min="6927" max="6927" width="34.25" style="2917" customWidth="1"/>
    <col min="6928" max="6928" width="7.875" style="2917" customWidth="1"/>
    <col min="6929" max="7170" width="9" style="2917"/>
    <col min="7171" max="7171" width="69.375" style="2917" customWidth="1"/>
    <col min="7172" max="7172" width="6.25" style="2917" customWidth="1"/>
    <col min="7173" max="7175" width="13.875" style="2917" customWidth="1"/>
    <col min="7176" max="7176" width="18.125" style="2917" customWidth="1"/>
    <col min="7177" max="7177" width="7.875" style="2917" customWidth="1"/>
    <col min="7178" max="7178" width="9" style="2917" customWidth="1"/>
    <col min="7179" max="7180" width="10.625" style="2917" customWidth="1"/>
    <col min="7181" max="7181" width="14.375" style="2917" customWidth="1"/>
    <col min="7182" max="7182" width="6.25" style="2917" customWidth="1"/>
    <col min="7183" max="7183" width="34.25" style="2917" customWidth="1"/>
    <col min="7184" max="7184" width="7.875" style="2917" customWidth="1"/>
    <col min="7185" max="7426" width="9" style="2917"/>
    <col min="7427" max="7427" width="69.375" style="2917" customWidth="1"/>
    <col min="7428" max="7428" width="6.25" style="2917" customWidth="1"/>
    <col min="7429" max="7431" width="13.875" style="2917" customWidth="1"/>
    <col min="7432" max="7432" width="18.125" style="2917" customWidth="1"/>
    <col min="7433" max="7433" width="7.875" style="2917" customWidth="1"/>
    <col min="7434" max="7434" width="9" style="2917" customWidth="1"/>
    <col min="7435" max="7436" width="10.625" style="2917" customWidth="1"/>
    <col min="7437" max="7437" width="14.375" style="2917" customWidth="1"/>
    <col min="7438" max="7438" width="6.25" style="2917" customWidth="1"/>
    <col min="7439" max="7439" width="34.25" style="2917" customWidth="1"/>
    <col min="7440" max="7440" width="7.875" style="2917" customWidth="1"/>
    <col min="7441" max="7682" width="9" style="2917"/>
    <col min="7683" max="7683" width="69.375" style="2917" customWidth="1"/>
    <col min="7684" max="7684" width="6.25" style="2917" customWidth="1"/>
    <col min="7685" max="7687" width="13.875" style="2917" customWidth="1"/>
    <col min="7688" max="7688" width="18.125" style="2917" customWidth="1"/>
    <col min="7689" max="7689" width="7.875" style="2917" customWidth="1"/>
    <col min="7690" max="7690" width="9" style="2917" customWidth="1"/>
    <col min="7691" max="7692" width="10.625" style="2917" customWidth="1"/>
    <col min="7693" max="7693" width="14.375" style="2917" customWidth="1"/>
    <col min="7694" max="7694" width="6.25" style="2917" customWidth="1"/>
    <col min="7695" max="7695" width="34.25" style="2917" customWidth="1"/>
    <col min="7696" max="7696" width="7.875" style="2917" customWidth="1"/>
    <col min="7697" max="7938" width="9" style="2917"/>
    <col min="7939" max="7939" width="69.375" style="2917" customWidth="1"/>
    <col min="7940" max="7940" width="6.25" style="2917" customWidth="1"/>
    <col min="7941" max="7943" width="13.875" style="2917" customWidth="1"/>
    <col min="7944" max="7944" width="18.125" style="2917" customWidth="1"/>
    <col min="7945" max="7945" width="7.875" style="2917" customWidth="1"/>
    <col min="7946" max="7946" width="9" style="2917" customWidth="1"/>
    <col min="7947" max="7948" width="10.625" style="2917" customWidth="1"/>
    <col min="7949" max="7949" width="14.375" style="2917" customWidth="1"/>
    <col min="7950" max="7950" width="6.25" style="2917" customWidth="1"/>
    <col min="7951" max="7951" width="34.25" style="2917" customWidth="1"/>
    <col min="7952" max="7952" width="7.875" style="2917" customWidth="1"/>
    <col min="7953" max="8194" width="9" style="2917"/>
    <col min="8195" max="8195" width="69.375" style="2917" customWidth="1"/>
    <col min="8196" max="8196" width="6.25" style="2917" customWidth="1"/>
    <col min="8197" max="8199" width="13.875" style="2917" customWidth="1"/>
    <col min="8200" max="8200" width="18.125" style="2917" customWidth="1"/>
    <col min="8201" max="8201" width="7.875" style="2917" customWidth="1"/>
    <col min="8202" max="8202" width="9" style="2917" customWidth="1"/>
    <col min="8203" max="8204" width="10.625" style="2917" customWidth="1"/>
    <col min="8205" max="8205" width="14.375" style="2917" customWidth="1"/>
    <col min="8206" max="8206" width="6.25" style="2917" customWidth="1"/>
    <col min="8207" max="8207" width="34.25" style="2917" customWidth="1"/>
    <col min="8208" max="8208" width="7.875" style="2917" customWidth="1"/>
    <col min="8209" max="8450" width="9" style="2917"/>
    <col min="8451" max="8451" width="69.375" style="2917" customWidth="1"/>
    <col min="8452" max="8452" width="6.25" style="2917" customWidth="1"/>
    <col min="8453" max="8455" width="13.875" style="2917" customWidth="1"/>
    <col min="8456" max="8456" width="18.125" style="2917" customWidth="1"/>
    <col min="8457" max="8457" width="7.875" style="2917" customWidth="1"/>
    <col min="8458" max="8458" width="9" style="2917" customWidth="1"/>
    <col min="8459" max="8460" width="10.625" style="2917" customWidth="1"/>
    <col min="8461" max="8461" width="14.375" style="2917" customWidth="1"/>
    <col min="8462" max="8462" width="6.25" style="2917" customWidth="1"/>
    <col min="8463" max="8463" width="34.25" style="2917" customWidth="1"/>
    <col min="8464" max="8464" width="7.875" style="2917" customWidth="1"/>
    <col min="8465" max="8706" width="9" style="2917"/>
    <col min="8707" max="8707" width="69.375" style="2917" customWidth="1"/>
    <col min="8708" max="8708" width="6.25" style="2917" customWidth="1"/>
    <col min="8709" max="8711" width="13.875" style="2917" customWidth="1"/>
    <col min="8712" max="8712" width="18.125" style="2917" customWidth="1"/>
    <col min="8713" max="8713" width="7.875" style="2917" customWidth="1"/>
    <col min="8714" max="8714" width="9" style="2917" customWidth="1"/>
    <col min="8715" max="8716" width="10.625" style="2917" customWidth="1"/>
    <col min="8717" max="8717" width="14.375" style="2917" customWidth="1"/>
    <col min="8718" max="8718" width="6.25" style="2917" customWidth="1"/>
    <col min="8719" max="8719" width="34.25" style="2917" customWidth="1"/>
    <col min="8720" max="8720" width="7.875" style="2917" customWidth="1"/>
    <col min="8721" max="8962" width="9" style="2917"/>
    <col min="8963" max="8963" width="69.375" style="2917" customWidth="1"/>
    <col min="8964" max="8964" width="6.25" style="2917" customWidth="1"/>
    <col min="8965" max="8967" width="13.875" style="2917" customWidth="1"/>
    <col min="8968" max="8968" width="18.125" style="2917" customWidth="1"/>
    <col min="8969" max="8969" width="7.875" style="2917" customWidth="1"/>
    <col min="8970" max="8970" width="9" style="2917" customWidth="1"/>
    <col min="8971" max="8972" width="10.625" style="2917" customWidth="1"/>
    <col min="8973" max="8973" width="14.375" style="2917" customWidth="1"/>
    <col min="8974" max="8974" width="6.25" style="2917" customWidth="1"/>
    <col min="8975" max="8975" width="34.25" style="2917" customWidth="1"/>
    <col min="8976" max="8976" width="7.875" style="2917" customWidth="1"/>
    <col min="8977" max="9218" width="9" style="2917"/>
    <col min="9219" max="9219" width="69.375" style="2917" customWidth="1"/>
    <col min="9220" max="9220" width="6.25" style="2917" customWidth="1"/>
    <col min="9221" max="9223" width="13.875" style="2917" customWidth="1"/>
    <col min="9224" max="9224" width="18.125" style="2917" customWidth="1"/>
    <col min="9225" max="9225" width="7.875" style="2917" customWidth="1"/>
    <col min="9226" max="9226" width="9" style="2917" customWidth="1"/>
    <col min="9227" max="9228" width="10.625" style="2917" customWidth="1"/>
    <col min="9229" max="9229" width="14.375" style="2917" customWidth="1"/>
    <col min="9230" max="9230" width="6.25" style="2917" customWidth="1"/>
    <col min="9231" max="9231" width="34.25" style="2917" customWidth="1"/>
    <col min="9232" max="9232" width="7.875" style="2917" customWidth="1"/>
    <col min="9233" max="9474" width="9" style="2917"/>
    <col min="9475" max="9475" width="69.375" style="2917" customWidth="1"/>
    <col min="9476" max="9476" width="6.25" style="2917" customWidth="1"/>
    <col min="9477" max="9479" width="13.875" style="2917" customWidth="1"/>
    <col min="9480" max="9480" width="18.125" style="2917" customWidth="1"/>
    <col min="9481" max="9481" width="7.875" style="2917" customWidth="1"/>
    <col min="9482" max="9482" width="9" style="2917" customWidth="1"/>
    <col min="9483" max="9484" width="10.625" style="2917" customWidth="1"/>
    <col min="9485" max="9485" width="14.375" style="2917" customWidth="1"/>
    <col min="9486" max="9486" width="6.25" style="2917" customWidth="1"/>
    <col min="9487" max="9487" width="34.25" style="2917" customWidth="1"/>
    <col min="9488" max="9488" width="7.875" style="2917" customWidth="1"/>
    <col min="9489" max="9730" width="9" style="2917"/>
    <col min="9731" max="9731" width="69.375" style="2917" customWidth="1"/>
    <col min="9732" max="9732" width="6.25" style="2917" customWidth="1"/>
    <col min="9733" max="9735" width="13.875" style="2917" customWidth="1"/>
    <col min="9736" max="9736" width="18.125" style="2917" customWidth="1"/>
    <col min="9737" max="9737" width="7.875" style="2917" customWidth="1"/>
    <col min="9738" max="9738" width="9" style="2917" customWidth="1"/>
    <col min="9739" max="9740" width="10.625" style="2917" customWidth="1"/>
    <col min="9741" max="9741" width="14.375" style="2917" customWidth="1"/>
    <col min="9742" max="9742" width="6.25" style="2917" customWidth="1"/>
    <col min="9743" max="9743" width="34.25" style="2917" customWidth="1"/>
    <col min="9744" max="9744" width="7.875" style="2917" customWidth="1"/>
    <col min="9745" max="9986" width="9" style="2917"/>
    <col min="9987" max="9987" width="69.375" style="2917" customWidth="1"/>
    <col min="9988" max="9988" width="6.25" style="2917" customWidth="1"/>
    <col min="9989" max="9991" width="13.875" style="2917" customWidth="1"/>
    <col min="9992" max="9992" width="18.125" style="2917" customWidth="1"/>
    <col min="9993" max="9993" width="7.875" style="2917" customWidth="1"/>
    <col min="9994" max="9994" width="9" style="2917" customWidth="1"/>
    <col min="9995" max="9996" width="10.625" style="2917" customWidth="1"/>
    <col min="9997" max="9997" width="14.375" style="2917" customWidth="1"/>
    <col min="9998" max="9998" width="6.25" style="2917" customWidth="1"/>
    <col min="9999" max="9999" width="34.25" style="2917" customWidth="1"/>
    <col min="10000" max="10000" width="7.875" style="2917" customWidth="1"/>
    <col min="10001" max="10242" width="9" style="2917"/>
    <col min="10243" max="10243" width="69.375" style="2917" customWidth="1"/>
    <col min="10244" max="10244" width="6.25" style="2917" customWidth="1"/>
    <col min="10245" max="10247" width="13.875" style="2917" customWidth="1"/>
    <col min="10248" max="10248" width="18.125" style="2917" customWidth="1"/>
    <col min="10249" max="10249" width="7.875" style="2917" customWidth="1"/>
    <col min="10250" max="10250" width="9" style="2917" customWidth="1"/>
    <col min="10251" max="10252" width="10.625" style="2917" customWidth="1"/>
    <col min="10253" max="10253" width="14.375" style="2917" customWidth="1"/>
    <col min="10254" max="10254" width="6.25" style="2917" customWidth="1"/>
    <col min="10255" max="10255" width="34.25" style="2917" customWidth="1"/>
    <col min="10256" max="10256" width="7.875" style="2917" customWidth="1"/>
    <col min="10257" max="10498" width="9" style="2917"/>
    <col min="10499" max="10499" width="69.375" style="2917" customWidth="1"/>
    <col min="10500" max="10500" width="6.25" style="2917" customWidth="1"/>
    <col min="10501" max="10503" width="13.875" style="2917" customWidth="1"/>
    <col min="10504" max="10504" width="18.125" style="2917" customWidth="1"/>
    <col min="10505" max="10505" width="7.875" style="2917" customWidth="1"/>
    <col min="10506" max="10506" width="9" style="2917" customWidth="1"/>
    <col min="10507" max="10508" width="10.625" style="2917" customWidth="1"/>
    <col min="10509" max="10509" width="14.375" style="2917" customWidth="1"/>
    <col min="10510" max="10510" width="6.25" style="2917" customWidth="1"/>
    <col min="10511" max="10511" width="34.25" style="2917" customWidth="1"/>
    <col min="10512" max="10512" width="7.875" style="2917" customWidth="1"/>
    <col min="10513" max="10754" width="9" style="2917"/>
    <col min="10755" max="10755" width="69.375" style="2917" customWidth="1"/>
    <col min="10756" max="10756" width="6.25" style="2917" customWidth="1"/>
    <col min="10757" max="10759" width="13.875" style="2917" customWidth="1"/>
    <col min="10760" max="10760" width="18.125" style="2917" customWidth="1"/>
    <col min="10761" max="10761" width="7.875" style="2917" customWidth="1"/>
    <col min="10762" max="10762" width="9" style="2917" customWidth="1"/>
    <col min="10763" max="10764" width="10.625" style="2917" customWidth="1"/>
    <col min="10765" max="10765" width="14.375" style="2917" customWidth="1"/>
    <col min="10766" max="10766" width="6.25" style="2917" customWidth="1"/>
    <col min="10767" max="10767" width="34.25" style="2917" customWidth="1"/>
    <col min="10768" max="10768" width="7.875" style="2917" customWidth="1"/>
    <col min="10769" max="11010" width="9" style="2917"/>
    <col min="11011" max="11011" width="69.375" style="2917" customWidth="1"/>
    <col min="11012" max="11012" width="6.25" style="2917" customWidth="1"/>
    <col min="11013" max="11015" width="13.875" style="2917" customWidth="1"/>
    <col min="11016" max="11016" width="18.125" style="2917" customWidth="1"/>
    <col min="11017" max="11017" width="7.875" style="2917" customWidth="1"/>
    <col min="11018" max="11018" width="9" style="2917" customWidth="1"/>
    <col min="11019" max="11020" width="10.625" style="2917" customWidth="1"/>
    <col min="11021" max="11021" width="14.375" style="2917" customWidth="1"/>
    <col min="11022" max="11022" width="6.25" style="2917" customWidth="1"/>
    <col min="11023" max="11023" width="34.25" style="2917" customWidth="1"/>
    <col min="11024" max="11024" width="7.875" style="2917" customWidth="1"/>
    <col min="11025" max="11266" width="9" style="2917"/>
    <col min="11267" max="11267" width="69.375" style="2917" customWidth="1"/>
    <col min="11268" max="11268" width="6.25" style="2917" customWidth="1"/>
    <col min="11269" max="11271" width="13.875" style="2917" customWidth="1"/>
    <col min="11272" max="11272" width="18.125" style="2917" customWidth="1"/>
    <col min="11273" max="11273" width="7.875" style="2917" customWidth="1"/>
    <col min="11274" max="11274" width="9" style="2917" customWidth="1"/>
    <col min="11275" max="11276" width="10.625" style="2917" customWidth="1"/>
    <col min="11277" max="11277" width="14.375" style="2917" customWidth="1"/>
    <col min="11278" max="11278" width="6.25" style="2917" customWidth="1"/>
    <col min="11279" max="11279" width="34.25" style="2917" customWidth="1"/>
    <col min="11280" max="11280" width="7.875" style="2917" customWidth="1"/>
    <col min="11281" max="11522" width="9" style="2917"/>
    <col min="11523" max="11523" width="69.375" style="2917" customWidth="1"/>
    <col min="11524" max="11524" width="6.25" style="2917" customWidth="1"/>
    <col min="11525" max="11527" width="13.875" style="2917" customWidth="1"/>
    <col min="11528" max="11528" width="18.125" style="2917" customWidth="1"/>
    <col min="11529" max="11529" width="7.875" style="2917" customWidth="1"/>
    <col min="11530" max="11530" width="9" style="2917" customWidth="1"/>
    <col min="11531" max="11532" width="10.625" style="2917" customWidth="1"/>
    <col min="11533" max="11533" width="14.375" style="2917" customWidth="1"/>
    <col min="11534" max="11534" width="6.25" style="2917" customWidth="1"/>
    <col min="11535" max="11535" width="34.25" style="2917" customWidth="1"/>
    <col min="11536" max="11536" width="7.875" style="2917" customWidth="1"/>
    <col min="11537" max="11778" width="9" style="2917"/>
    <col min="11779" max="11779" width="69.375" style="2917" customWidth="1"/>
    <col min="11780" max="11780" width="6.25" style="2917" customWidth="1"/>
    <col min="11781" max="11783" width="13.875" style="2917" customWidth="1"/>
    <col min="11784" max="11784" width="18.125" style="2917" customWidth="1"/>
    <col min="11785" max="11785" width="7.875" style="2917" customWidth="1"/>
    <col min="11786" max="11786" width="9" style="2917" customWidth="1"/>
    <col min="11787" max="11788" width="10.625" style="2917" customWidth="1"/>
    <col min="11789" max="11789" width="14.375" style="2917" customWidth="1"/>
    <col min="11790" max="11790" width="6.25" style="2917" customWidth="1"/>
    <col min="11791" max="11791" width="34.25" style="2917" customWidth="1"/>
    <col min="11792" max="11792" width="7.875" style="2917" customWidth="1"/>
    <col min="11793" max="12034" width="9" style="2917"/>
    <col min="12035" max="12035" width="69.375" style="2917" customWidth="1"/>
    <col min="12036" max="12036" width="6.25" style="2917" customWidth="1"/>
    <col min="12037" max="12039" width="13.875" style="2917" customWidth="1"/>
    <col min="12040" max="12040" width="18.125" style="2917" customWidth="1"/>
    <col min="12041" max="12041" width="7.875" style="2917" customWidth="1"/>
    <col min="12042" max="12042" width="9" style="2917" customWidth="1"/>
    <col min="12043" max="12044" width="10.625" style="2917" customWidth="1"/>
    <col min="12045" max="12045" width="14.375" style="2917" customWidth="1"/>
    <col min="12046" max="12046" width="6.25" style="2917" customWidth="1"/>
    <col min="12047" max="12047" width="34.25" style="2917" customWidth="1"/>
    <col min="12048" max="12048" width="7.875" style="2917" customWidth="1"/>
    <col min="12049" max="12290" width="9" style="2917"/>
    <col min="12291" max="12291" width="69.375" style="2917" customWidth="1"/>
    <col min="12292" max="12292" width="6.25" style="2917" customWidth="1"/>
    <col min="12293" max="12295" width="13.875" style="2917" customWidth="1"/>
    <col min="12296" max="12296" width="18.125" style="2917" customWidth="1"/>
    <col min="12297" max="12297" width="7.875" style="2917" customWidth="1"/>
    <col min="12298" max="12298" width="9" style="2917" customWidth="1"/>
    <col min="12299" max="12300" width="10.625" style="2917" customWidth="1"/>
    <col min="12301" max="12301" width="14.375" style="2917" customWidth="1"/>
    <col min="12302" max="12302" width="6.25" style="2917" customWidth="1"/>
    <col min="12303" max="12303" width="34.25" style="2917" customWidth="1"/>
    <col min="12304" max="12304" width="7.875" style="2917" customWidth="1"/>
    <col min="12305" max="12546" width="9" style="2917"/>
    <col min="12547" max="12547" width="69.375" style="2917" customWidth="1"/>
    <col min="12548" max="12548" width="6.25" style="2917" customWidth="1"/>
    <col min="12549" max="12551" width="13.875" style="2917" customWidth="1"/>
    <col min="12552" max="12552" width="18.125" style="2917" customWidth="1"/>
    <col min="12553" max="12553" width="7.875" style="2917" customWidth="1"/>
    <col min="12554" max="12554" width="9" style="2917" customWidth="1"/>
    <col min="12555" max="12556" width="10.625" style="2917" customWidth="1"/>
    <col min="12557" max="12557" width="14.375" style="2917" customWidth="1"/>
    <col min="12558" max="12558" width="6.25" style="2917" customWidth="1"/>
    <col min="12559" max="12559" width="34.25" style="2917" customWidth="1"/>
    <col min="12560" max="12560" width="7.875" style="2917" customWidth="1"/>
    <col min="12561" max="12802" width="9" style="2917"/>
    <col min="12803" max="12803" width="69.375" style="2917" customWidth="1"/>
    <col min="12804" max="12804" width="6.25" style="2917" customWidth="1"/>
    <col min="12805" max="12807" width="13.875" style="2917" customWidth="1"/>
    <col min="12808" max="12808" width="18.125" style="2917" customWidth="1"/>
    <col min="12809" max="12809" width="7.875" style="2917" customWidth="1"/>
    <col min="12810" max="12810" width="9" style="2917" customWidth="1"/>
    <col min="12811" max="12812" width="10.625" style="2917" customWidth="1"/>
    <col min="12813" max="12813" width="14.375" style="2917" customWidth="1"/>
    <col min="12814" max="12814" width="6.25" style="2917" customWidth="1"/>
    <col min="12815" max="12815" width="34.25" style="2917" customWidth="1"/>
    <col min="12816" max="12816" width="7.875" style="2917" customWidth="1"/>
    <col min="12817" max="13058" width="9" style="2917"/>
    <col min="13059" max="13059" width="69.375" style="2917" customWidth="1"/>
    <col min="13060" max="13060" width="6.25" style="2917" customWidth="1"/>
    <col min="13061" max="13063" width="13.875" style="2917" customWidth="1"/>
    <col min="13064" max="13064" width="18.125" style="2917" customWidth="1"/>
    <col min="13065" max="13065" width="7.875" style="2917" customWidth="1"/>
    <col min="13066" max="13066" width="9" style="2917" customWidth="1"/>
    <col min="13067" max="13068" width="10.625" style="2917" customWidth="1"/>
    <col min="13069" max="13069" width="14.375" style="2917" customWidth="1"/>
    <col min="13070" max="13070" width="6.25" style="2917" customWidth="1"/>
    <col min="13071" max="13071" width="34.25" style="2917" customWidth="1"/>
    <col min="13072" max="13072" width="7.875" style="2917" customWidth="1"/>
    <col min="13073" max="13314" width="9" style="2917"/>
    <col min="13315" max="13315" width="69.375" style="2917" customWidth="1"/>
    <col min="13316" max="13316" width="6.25" style="2917" customWidth="1"/>
    <col min="13317" max="13319" width="13.875" style="2917" customWidth="1"/>
    <col min="13320" max="13320" width="18.125" style="2917" customWidth="1"/>
    <col min="13321" max="13321" width="7.875" style="2917" customWidth="1"/>
    <col min="13322" max="13322" width="9" style="2917" customWidth="1"/>
    <col min="13323" max="13324" width="10.625" style="2917" customWidth="1"/>
    <col min="13325" max="13325" width="14.375" style="2917" customWidth="1"/>
    <col min="13326" max="13326" width="6.25" style="2917" customWidth="1"/>
    <col min="13327" max="13327" width="34.25" style="2917" customWidth="1"/>
    <col min="13328" max="13328" width="7.875" style="2917" customWidth="1"/>
    <col min="13329" max="13570" width="9" style="2917"/>
    <col min="13571" max="13571" width="69.375" style="2917" customWidth="1"/>
    <col min="13572" max="13572" width="6.25" style="2917" customWidth="1"/>
    <col min="13573" max="13575" width="13.875" style="2917" customWidth="1"/>
    <col min="13576" max="13576" width="18.125" style="2917" customWidth="1"/>
    <col min="13577" max="13577" width="7.875" style="2917" customWidth="1"/>
    <col min="13578" max="13578" width="9" style="2917" customWidth="1"/>
    <col min="13579" max="13580" width="10.625" style="2917" customWidth="1"/>
    <col min="13581" max="13581" width="14.375" style="2917" customWidth="1"/>
    <col min="13582" max="13582" width="6.25" style="2917" customWidth="1"/>
    <col min="13583" max="13583" width="34.25" style="2917" customWidth="1"/>
    <col min="13584" max="13584" width="7.875" style="2917" customWidth="1"/>
    <col min="13585" max="13826" width="9" style="2917"/>
    <col min="13827" max="13827" width="69.375" style="2917" customWidth="1"/>
    <col min="13828" max="13828" width="6.25" style="2917" customWidth="1"/>
    <col min="13829" max="13831" width="13.875" style="2917" customWidth="1"/>
    <col min="13832" max="13832" width="18.125" style="2917" customWidth="1"/>
    <col min="13833" max="13833" width="7.875" style="2917" customWidth="1"/>
    <col min="13834" max="13834" width="9" style="2917" customWidth="1"/>
    <col min="13835" max="13836" width="10.625" style="2917" customWidth="1"/>
    <col min="13837" max="13837" width="14.375" style="2917" customWidth="1"/>
    <col min="13838" max="13838" width="6.25" style="2917" customWidth="1"/>
    <col min="13839" max="13839" width="34.25" style="2917" customWidth="1"/>
    <col min="13840" max="13840" width="7.875" style="2917" customWidth="1"/>
    <col min="13841" max="14082" width="9" style="2917"/>
    <col min="14083" max="14083" width="69.375" style="2917" customWidth="1"/>
    <col min="14084" max="14084" width="6.25" style="2917" customWidth="1"/>
    <col min="14085" max="14087" width="13.875" style="2917" customWidth="1"/>
    <col min="14088" max="14088" width="18.125" style="2917" customWidth="1"/>
    <col min="14089" max="14089" width="7.875" style="2917" customWidth="1"/>
    <col min="14090" max="14090" width="9" style="2917" customWidth="1"/>
    <col min="14091" max="14092" width="10.625" style="2917" customWidth="1"/>
    <col min="14093" max="14093" width="14.375" style="2917" customWidth="1"/>
    <col min="14094" max="14094" width="6.25" style="2917" customWidth="1"/>
    <col min="14095" max="14095" width="34.25" style="2917" customWidth="1"/>
    <col min="14096" max="14096" width="7.875" style="2917" customWidth="1"/>
    <col min="14097" max="14338" width="9" style="2917"/>
    <col min="14339" max="14339" width="69.375" style="2917" customWidth="1"/>
    <col min="14340" max="14340" width="6.25" style="2917" customWidth="1"/>
    <col min="14341" max="14343" width="13.875" style="2917" customWidth="1"/>
    <col min="14344" max="14344" width="18.125" style="2917" customWidth="1"/>
    <col min="14345" max="14345" width="7.875" style="2917" customWidth="1"/>
    <col min="14346" max="14346" width="9" style="2917" customWidth="1"/>
    <col min="14347" max="14348" width="10.625" style="2917" customWidth="1"/>
    <col min="14349" max="14349" width="14.375" style="2917" customWidth="1"/>
    <col min="14350" max="14350" width="6.25" style="2917" customWidth="1"/>
    <col min="14351" max="14351" width="34.25" style="2917" customWidth="1"/>
    <col min="14352" max="14352" width="7.875" style="2917" customWidth="1"/>
    <col min="14353" max="14594" width="9" style="2917"/>
    <col min="14595" max="14595" width="69.375" style="2917" customWidth="1"/>
    <col min="14596" max="14596" width="6.25" style="2917" customWidth="1"/>
    <col min="14597" max="14599" width="13.875" style="2917" customWidth="1"/>
    <col min="14600" max="14600" width="18.125" style="2917" customWidth="1"/>
    <col min="14601" max="14601" width="7.875" style="2917" customWidth="1"/>
    <col min="14602" max="14602" width="9" style="2917" customWidth="1"/>
    <col min="14603" max="14604" width="10.625" style="2917" customWidth="1"/>
    <col min="14605" max="14605" width="14.375" style="2917" customWidth="1"/>
    <col min="14606" max="14606" width="6.25" style="2917" customWidth="1"/>
    <col min="14607" max="14607" width="34.25" style="2917" customWidth="1"/>
    <col min="14608" max="14608" width="7.875" style="2917" customWidth="1"/>
    <col min="14609" max="14850" width="9" style="2917"/>
    <col min="14851" max="14851" width="69.375" style="2917" customWidth="1"/>
    <col min="14852" max="14852" width="6.25" style="2917" customWidth="1"/>
    <col min="14853" max="14855" width="13.875" style="2917" customWidth="1"/>
    <col min="14856" max="14856" width="18.125" style="2917" customWidth="1"/>
    <col min="14857" max="14857" width="7.875" style="2917" customWidth="1"/>
    <col min="14858" max="14858" width="9" style="2917" customWidth="1"/>
    <col min="14859" max="14860" width="10.625" style="2917" customWidth="1"/>
    <col min="14861" max="14861" width="14.375" style="2917" customWidth="1"/>
    <col min="14862" max="14862" width="6.25" style="2917" customWidth="1"/>
    <col min="14863" max="14863" width="34.25" style="2917" customWidth="1"/>
    <col min="14864" max="14864" width="7.875" style="2917" customWidth="1"/>
    <col min="14865" max="15106" width="9" style="2917"/>
    <col min="15107" max="15107" width="69.375" style="2917" customWidth="1"/>
    <col min="15108" max="15108" width="6.25" style="2917" customWidth="1"/>
    <col min="15109" max="15111" width="13.875" style="2917" customWidth="1"/>
    <col min="15112" max="15112" width="18.125" style="2917" customWidth="1"/>
    <col min="15113" max="15113" width="7.875" style="2917" customWidth="1"/>
    <col min="15114" max="15114" width="9" style="2917" customWidth="1"/>
    <col min="15115" max="15116" width="10.625" style="2917" customWidth="1"/>
    <col min="15117" max="15117" width="14.375" style="2917" customWidth="1"/>
    <col min="15118" max="15118" width="6.25" style="2917" customWidth="1"/>
    <col min="15119" max="15119" width="34.25" style="2917" customWidth="1"/>
    <col min="15120" max="15120" width="7.875" style="2917" customWidth="1"/>
    <col min="15121" max="15362" width="9" style="2917"/>
    <col min="15363" max="15363" width="69.375" style="2917" customWidth="1"/>
    <col min="15364" max="15364" width="6.25" style="2917" customWidth="1"/>
    <col min="15365" max="15367" width="13.875" style="2917" customWidth="1"/>
    <col min="15368" max="15368" width="18.125" style="2917" customWidth="1"/>
    <col min="15369" max="15369" width="7.875" style="2917" customWidth="1"/>
    <col min="15370" max="15370" width="9" style="2917" customWidth="1"/>
    <col min="15371" max="15372" width="10.625" style="2917" customWidth="1"/>
    <col min="15373" max="15373" width="14.375" style="2917" customWidth="1"/>
    <col min="15374" max="15374" width="6.25" style="2917" customWidth="1"/>
    <col min="15375" max="15375" width="34.25" style="2917" customWidth="1"/>
    <col min="15376" max="15376" width="7.875" style="2917" customWidth="1"/>
    <col min="15377" max="15618" width="9" style="2917"/>
    <col min="15619" max="15619" width="69.375" style="2917" customWidth="1"/>
    <col min="15620" max="15620" width="6.25" style="2917" customWidth="1"/>
    <col min="15621" max="15623" width="13.875" style="2917" customWidth="1"/>
    <col min="15624" max="15624" width="18.125" style="2917" customWidth="1"/>
    <col min="15625" max="15625" width="7.875" style="2917" customWidth="1"/>
    <col min="15626" max="15626" width="9" style="2917" customWidth="1"/>
    <col min="15627" max="15628" width="10.625" style="2917" customWidth="1"/>
    <col min="15629" max="15629" width="14.375" style="2917" customWidth="1"/>
    <col min="15630" max="15630" width="6.25" style="2917" customWidth="1"/>
    <col min="15631" max="15631" width="34.25" style="2917" customWidth="1"/>
    <col min="15632" max="15632" width="7.875" style="2917" customWidth="1"/>
    <col min="15633" max="15874" width="9" style="2917"/>
    <col min="15875" max="15875" width="69.375" style="2917" customWidth="1"/>
    <col min="15876" max="15876" width="6.25" style="2917" customWidth="1"/>
    <col min="15877" max="15879" width="13.875" style="2917" customWidth="1"/>
    <col min="15880" max="15880" width="18.125" style="2917" customWidth="1"/>
    <col min="15881" max="15881" width="7.875" style="2917" customWidth="1"/>
    <col min="15882" max="15882" width="9" style="2917" customWidth="1"/>
    <col min="15883" max="15884" width="10.625" style="2917" customWidth="1"/>
    <col min="15885" max="15885" width="14.375" style="2917" customWidth="1"/>
    <col min="15886" max="15886" width="6.25" style="2917" customWidth="1"/>
    <col min="15887" max="15887" width="34.25" style="2917" customWidth="1"/>
    <col min="15888" max="15888" width="7.875" style="2917" customWidth="1"/>
    <col min="15889" max="16130" width="9" style="2917"/>
    <col min="16131" max="16131" width="69.375" style="2917" customWidth="1"/>
    <col min="16132" max="16132" width="6.25" style="2917" customWidth="1"/>
    <col min="16133" max="16135" width="13.875" style="2917" customWidth="1"/>
    <col min="16136" max="16136" width="18.125" style="2917" customWidth="1"/>
    <col min="16137" max="16137" width="7.875" style="2917" customWidth="1"/>
    <col min="16138" max="16138" width="9" style="2917" customWidth="1"/>
    <col min="16139" max="16140" width="10.625" style="2917" customWidth="1"/>
    <col min="16141" max="16141" width="14.375" style="2917" customWidth="1"/>
    <col min="16142" max="16142" width="6.25" style="2917" customWidth="1"/>
    <col min="16143" max="16143" width="34.25" style="2917" customWidth="1"/>
    <col min="16144" max="16144" width="7.875" style="2917" customWidth="1"/>
    <col min="16145" max="16384" width="9" style="2917"/>
  </cols>
  <sheetData>
    <row r="1" spans="1:16" s="3224" customFormat="1" ht="42.75">
      <c r="A1" s="3223" t="s">
        <v>3162</v>
      </c>
      <c r="B1" s="3223" t="s">
        <v>3163</v>
      </c>
      <c r="C1" s="3223" t="s">
        <v>3164</v>
      </c>
      <c r="D1" s="3223" t="s">
        <v>3165</v>
      </c>
      <c r="E1" s="3223" t="s">
        <v>3166</v>
      </c>
      <c r="F1" s="3223" t="s">
        <v>2030</v>
      </c>
      <c r="G1" s="3223" t="s">
        <v>3294</v>
      </c>
      <c r="H1" s="3223" t="s">
        <v>3167</v>
      </c>
      <c r="I1" s="3223" t="s">
        <v>3168</v>
      </c>
      <c r="J1" s="3223" t="s">
        <v>3169</v>
      </c>
      <c r="K1" s="3223" t="s">
        <v>3170</v>
      </c>
      <c r="L1" s="3223" t="s">
        <v>3295</v>
      </c>
      <c r="M1" s="3223" t="s">
        <v>3296</v>
      </c>
      <c r="N1" s="3223" t="s">
        <v>3171</v>
      </c>
      <c r="O1" s="3223" t="s">
        <v>3172</v>
      </c>
      <c r="P1" s="3223" t="s">
        <v>3173</v>
      </c>
    </row>
    <row r="2" spans="1:16" ht="60">
      <c r="A2" s="3226" t="s">
        <v>3174</v>
      </c>
      <c r="B2" s="3226" t="s">
        <v>3175</v>
      </c>
      <c r="C2" s="3226" t="s">
        <v>3176</v>
      </c>
      <c r="D2" s="3226">
        <v>185549.3</v>
      </c>
      <c r="E2" s="3226">
        <v>475711.8</v>
      </c>
      <c r="F2" s="3226" t="s">
        <v>3177</v>
      </c>
      <c r="G2" s="3226">
        <f>ROUND(E2/D2,2)</f>
        <v>2.56</v>
      </c>
      <c r="H2" s="3226" t="s">
        <v>3178</v>
      </c>
      <c r="I2" s="3226" t="s">
        <v>3179</v>
      </c>
      <c r="J2" s="3226">
        <v>30892.400000000001</v>
      </c>
      <c r="K2" s="3226">
        <v>30892.400000000001</v>
      </c>
      <c r="L2" s="3226">
        <v>649.38</v>
      </c>
      <c r="M2" s="3226">
        <f t="shared" ref="M2:M34" si="0">ROUND(J2/E2*10000,0)</f>
        <v>649</v>
      </c>
      <c r="N2" s="3226">
        <v>0</v>
      </c>
      <c r="O2" s="3226" t="s">
        <v>3180</v>
      </c>
      <c r="P2" s="3226" t="s">
        <v>3181</v>
      </c>
    </row>
    <row r="3" spans="1:16" s="3228" customFormat="1" ht="36">
      <c r="A3" s="3227" t="s">
        <v>3182</v>
      </c>
      <c r="B3" s="3227" t="s">
        <v>3175</v>
      </c>
      <c r="C3" s="3227" t="s">
        <v>3176</v>
      </c>
      <c r="D3" s="3227">
        <v>62169.78</v>
      </c>
      <c r="E3" s="3227">
        <v>152316</v>
      </c>
      <c r="F3" s="3227" t="s">
        <v>3183</v>
      </c>
      <c r="G3" s="3227">
        <f t="shared" ref="G3:G34" si="1">ROUND(E3/D3,2)</f>
        <v>2.4500000000000002</v>
      </c>
      <c r="H3" s="3227" t="s">
        <v>3178</v>
      </c>
      <c r="I3" s="3227" t="s">
        <v>3184</v>
      </c>
      <c r="J3" s="3227">
        <v>65495.86</v>
      </c>
      <c r="K3" s="3227">
        <v>94435.91</v>
      </c>
      <c r="L3" s="3227">
        <v>6200</v>
      </c>
      <c r="M3" s="3227">
        <f t="shared" si="0"/>
        <v>4300</v>
      </c>
      <c r="N3" s="3227">
        <v>44.19</v>
      </c>
      <c r="O3" s="3227" t="s">
        <v>3185</v>
      </c>
      <c r="P3" s="3227" t="s">
        <v>3186</v>
      </c>
    </row>
    <row r="4" spans="1:16" s="3228" customFormat="1" ht="36">
      <c r="A4" s="3227" t="s">
        <v>3187</v>
      </c>
      <c r="B4" s="3227" t="s">
        <v>3175</v>
      </c>
      <c r="C4" s="3227" t="s">
        <v>3188</v>
      </c>
      <c r="D4" s="3227">
        <v>38628.6</v>
      </c>
      <c r="E4" s="3227">
        <v>77257.2</v>
      </c>
      <c r="F4" s="3227" t="s">
        <v>3189</v>
      </c>
      <c r="G4" s="3227">
        <f t="shared" si="1"/>
        <v>2</v>
      </c>
      <c r="H4" s="3227" t="s">
        <v>3178</v>
      </c>
      <c r="I4" s="3227" t="s">
        <v>3190</v>
      </c>
      <c r="J4" s="3227">
        <v>38628.589999999997</v>
      </c>
      <c r="K4" s="3227">
        <v>43264.02</v>
      </c>
      <c r="L4" s="3227">
        <v>5600</v>
      </c>
      <c r="M4" s="3227">
        <f t="shared" si="0"/>
        <v>5000</v>
      </c>
      <c r="N4" s="3227">
        <v>12</v>
      </c>
      <c r="O4" s="3227" t="s">
        <v>3191</v>
      </c>
      <c r="P4" s="3227" t="s">
        <v>3186</v>
      </c>
    </row>
    <row r="5" spans="1:16" ht="36" hidden="1">
      <c r="A5" s="3226" t="s">
        <v>3192</v>
      </c>
      <c r="B5" s="3226" t="s">
        <v>3175</v>
      </c>
      <c r="C5" s="3226" t="s">
        <v>3188</v>
      </c>
      <c r="D5" s="3226">
        <v>25540.28</v>
      </c>
      <c r="E5" s="3226">
        <v>60470.65</v>
      </c>
      <c r="F5" s="3226" t="s">
        <v>3193</v>
      </c>
      <c r="G5" s="3226">
        <f t="shared" si="1"/>
        <v>2.37</v>
      </c>
      <c r="H5" s="3226" t="s">
        <v>3178</v>
      </c>
      <c r="I5" s="3226" t="s">
        <v>3194</v>
      </c>
      <c r="J5" s="3226">
        <v>49803.55</v>
      </c>
      <c r="K5" s="3226">
        <v>49803.55</v>
      </c>
      <c r="L5" s="3226">
        <v>8235.98</v>
      </c>
      <c r="M5" s="3226">
        <f t="shared" si="0"/>
        <v>8236</v>
      </c>
      <c r="N5" s="3226">
        <v>0</v>
      </c>
      <c r="O5" s="3226" t="s">
        <v>3195</v>
      </c>
      <c r="P5" s="3226" t="s">
        <v>3196</v>
      </c>
    </row>
    <row r="6" spans="1:16" hidden="1">
      <c r="A6" s="3226" t="s">
        <v>3197</v>
      </c>
      <c r="B6" s="3226" t="s">
        <v>3175</v>
      </c>
      <c r="C6" s="3226" t="s">
        <v>3176</v>
      </c>
      <c r="D6" s="3226">
        <v>23133.24</v>
      </c>
      <c r="E6" s="3226">
        <v>48959.89</v>
      </c>
      <c r="F6" s="3226" t="s">
        <v>3198</v>
      </c>
      <c r="G6" s="3226">
        <f t="shared" si="1"/>
        <v>2.12</v>
      </c>
      <c r="H6" s="3226" t="s">
        <v>3178</v>
      </c>
      <c r="I6" s="3226" t="s">
        <v>3199</v>
      </c>
      <c r="J6" s="3226">
        <v>3469.98</v>
      </c>
      <c r="K6" s="3226">
        <v>3469.98</v>
      </c>
      <c r="L6" s="3226">
        <v>708.74</v>
      </c>
      <c r="M6" s="3226">
        <f t="shared" si="0"/>
        <v>709</v>
      </c>
      <c r="N6" s="3226">
        <v>0</v>
      </c>
      <c r="O6" s="3226" t="s">
        <v>3200</v>
      </c>
      <c r="P6" s="3226" t="s">
        <v>3196</v>
      </c>
    </row>
    <row r="7" spans="1:16" ht="24" hidden="1">
      <c r="A7" s="3226" t="s">
        <v>3201</v>
      </c>
      <c r="B7" s="3226" t="s">
        <v>3175</v>
      </c>
      <c r="C7" s="3226" t="s">
        <v>3188</v>
      </c>
      <c r="D7" s="3226">
        <v>30428.19</v>
      </c>
      <c r="E7" s="3226">
        <v>60856.38</v>
      </c>
      <c r="F7" s="3226" t="s">
        <v>3202</v>
      </c>
      <c r="G7" s="3226">
        <f t="shared" si="1"/>
        <v>2</v>
      </c>
      <c r="H7" s="3226" t="s">
        <v>3178</v>
      </c>
      <c r="I7" s="3226" t="s">
        <v>3203</v>
      </c>
      <c r="J7" s="3226">
        <v>30428.18</v>
      </c>
      <c r="K7" s="3226">
        <v>30730.93</v>
      </c>
      <c r="L7" s="3226">
        <v>5049.75</v>
      </c>
      <c r="M7" s="3226">
        <f t="shared" si="0"/>
        <v>5000</v>
      </c>
      <c r="N7" s="3226">
        <v>0.99</v>
      </c>
      <c r="O7" s="3226" t="s">
        <v>3204</v>
      </c>
      <c r="P7" s="3226" t="s">
        <v>3205</v>
      </c>
    </row>
    <row r="8" spans="1:16" ht="24" hidden="1">
      <c r="A8" s="3226" t="s">
        <v>3206</v>
      </c>
      <c r="B8" s="3226" t="s">
        <v>3175</v>
      </c>
      <c r="C8" s="3226" t="s">
        <v>3188</v>
      </c>
      <c r="D8" s="3226">
        <v>64953.33</v>
      </c>
      <c r="E8" s="3226">
        <v>108550.6</v>
      </c>
      <c r="F8" s="3226" t="s">
        <v>3207</v>
      </c>
      <c r="G8" s="3226">
        <f t="shared" si="1"/>
        <v>1.67</v>
      </c>
      <c r="H8" s="3226" t="s">
        <v>3178</v>
      </c>
      <c r="I8" s="3226" t="s">
        <v>3208</v>
      </c>
      <c r="J8" s="3226">
        <v>21989.95</v>
      </c>
      <c r="K8" s="3226">
        <v>21989.95</v>
      </c>
      <c r="L8" s="3226">
        <v>2025.77</v>
      </c>
      <c r="M8" s="3226">
        <f t="shared" si="0"/>
        <v>2026</v>
      </c>
      <c r="N8" s="3226">
        <v>0</v>
      </c>
      <c r="O8" s="3226" t="s">
        <v>3209</v>
      </c>
      <c r="P8" s="3226" t="s">
        <v>3181</v>
      </c>
    </row>
    <row r="9" spans="1:16" ht="24" hidden="1">
      <c r="A9" s="3226" t="s">
        <v>3210</v>
      </c>
      <c r="B9" s="3226" t="s">
        <v>3175</v>
      </c>
      <c r="C9" s="3226" t="s">
        <v>3188</v>
      </c>
      <c r="D9" s="3226">
        <v>22324.45</v>
      </c>
      <c r="E9" s="3226">
        <v>33486.67</v>
      </c>
      <c r="F9" s="3226" t="s">
        <v>3211</v>
      </c>
      <c r="G9" s="3226">
        <f t="shared" si="1"/>
        <v>1.5</v>
      </c>
      <c r="H9" s="3226" t="s">
        <v>3178</v>
      </c>
      <c r="I9" s="3226" t="s">
        <v>3212</v>
      </c>
      <c r="J9" s="3226">
        <v>7367.06</v>
      </c>
      <c r="K9" s="3226">
        <v>7367.06</v>
      </c>
      <c r="L9" s="3226">
        <v>2200</v>
      </c>
      <c r="M9" s="3226">
        <f t="shared" si="0"/>
        <v>2200</v>
      </c>
      <c r="N9" s="3226">
        <v>0</v>
      </c>
      <c r="O9" s="3226" t="s">
        <v>3213</v>
      </c>
      <c r="P9" s="3226" t="s">
        <v>3196</v>
      </c>
    </row>
    <row r="10" spans="1:16" ht="24" hidden="1">
      <c r="A10" s="3226" t="s">
        <v>3214</v>
      </c>
      <c r="B10" s="3226" t="s">
        <v>3175</v>
      </c>
      <c r="C10" s="3226" t="s">
        <v>3188</v>
      </c>
      <c r="D10" s="3226">
        <v>34385.79</v>
      </c>
      <c r="E10" s="3226">
        <v>51578.68</v>
      </c>
      <c r="F10" s="3226" t="s">
        <v>3215</v>
      </c>
      <c r="G10" s="3226">
        <f t="shared" si="1"/>
        <v>1.5</v>
      </c>
      <c r="H10" s="3226" t="s">
        <v>3178</v>
      </c>
      <c r="I10" s="3226" t="s">
        <v>3212</v>
      </c>
      <c r="J10" s="3226">
        <v>10315.73</v>
      </c>
      <c r="K10" s="3226">
        <v>10315.73</v>
      </c>
      <c r="L10" s="3226">
        <v>2000</v>
      </c>
      <c r="M10" s="3226">
        <f t="shared" si="0"/>
        <v>2000</v>
      </c>
      <c r="N10" s="3226">
        <v>0</v>
      </c>
      <c r="O10" s="3226" t="s">
        <v>3213</v>
      </c>
      <c r="P10" s="3226" t="s">
        <v>3196</v>
      </c>
    </row>
    <row r="11" spans="1:16" ht="24" hidden="1">
      <c r="A11" s="3226" t="s">
        <v>3216</v>
      </c>
      <c r="B11" s="3226" t="s">
        <v>3175</v>
      </c>
      <c r="C11" s="3226" t="s">
        <v>3188</v>
      </c>
      <c r="D11" s="3226">
        <v>7503.74</v>
      </c>
      <c r="E11" s="3226">
        <v>22511.22</v>
      </c>
      <c r="F11" s="3226" t="s">
        <v>3217</v>
      </c>
      <c r="G11" s="3226">
        <f t="shared" si="1"/>
        <v>3</v>
      </c>
      <c r="H11" s="3226" t="s">
        <v>3178</v>
      </c>
      <c r="I11" s="3226" t="s">
        <v>3218</v>
      </c>
      <c r="J11" s="3226">
        <v>15757.85</v>
      </c>
      <c r="K11" s="3226">
        <v>17873.900000000001</v>
      </c>
      <c r="L11" s="3226">
        <v>7940</v>
      </c>
      <c r="M11" s="3226">
        <f t="shared" si="0"/>
        <v>7000</v>
      </c>
      <c r="N11" s="3226">
        <v>13.43</v>
      </c>
      <c r="O11" s="3226" t="s">
        <v>3219</v>
      </c>
      <c r="P11" s="3226" t="s">
        <v>3205</v>
      </c>
    </row>
    <row r="12" spans="1:16" hidden="1">
      <c r="A12" s="3226" t="s">
        <v>3220</v>
      </c>
      <c r="B12" s="3226" t="s">
        <v>3175</v>
      </c>
      <c r="C12" s="3226" t="s">
        <v>3176</v>
      </c>
      <c r="D12" s="3226">
        <v>34140.550000000003</v>
      </c>
      <c r="E12" s="3226">
        <v>68281.100000000006</v>
      </c>
      <c r="F12" s="3226" t="s">
        <v>3221</v>
      </c>
      <c r="G12" s="3226">
        <f t="shared" si="1"/>
        <v>2</v>
      </c>
      <c r="H12" s="3226" t="s">
        <v>3178</v>
      </c>
      <c r="I12" s="3226" t="s">
        <v>3222</v>
      </c>
      <c r="J12" s="3226">
        <v>5530.77</v>
      </c>
      <c r="K12" s="3226">
        <v>12393.01</v>
      </c>
      <c r="L12" s="3226">
        <v>1815</v>
      </c>
      <c r="M12" s="3226">
        <f t="shared" si="0"/>
        <v>810</v>
      </c>
      <c r="N12" s="3226">
        <v>124.07</v>
      </c>
      <c r="O12" s="3226" t="s">
        <v>3223</v>
      </c>
      <c r="P12" s="3226" t="s">
        <v>3196</v>
      </c>
    </row>
    <row r="13" spans="1:16" hidden="1">
      <c r="A13" s="3226" t="s">
        <v>3224</v>
      </c>
      <c r="B13" s="3226" t="s">
        <v>3175</v>
      </c>
      <c r="C13" s="3226" t="s">
        <v>3176</v>
      </c>
      <c r="D13" s="3226">
        <v>56006.21</v>
      </c>
      <c r="E13" s="3226">
        <v>100811.2</v>
      </c>
      <c r="F13" s="3226" t="s">
        <v>3225</v>
      </c>
      <c r="G13" s="3226">
        <f t="shared" si="1"/>
        <v>1.8</v>
      </c>
      <c r="H13" s="3226" t="s">
        <v>3178</v>
      </c>
      <c r="I13" s="3226" t="s">
        <v>3222</v>
      </c>
      <c r="J13" s="3226">
        <v>15121.67</v>
      </c>
      <c r="K13" s="3226">
        <v>15121.67</v>
      </c>
      <c r="L13" s="3226">
        <v>1500</v>
      </c>
      <c r="M13" s="3226">
        <f t="shared" si="0"/>
        <v>1500</v>
      </c>
      <c r="N13" s="3226">
        <v>0</v>
      </c>
      <c r="O13" s="3226" t="s">
        <v>3226</v>
      </c>
      <c r="P13" s="3226" t="s">
        <v>3196</v>
      </c>
    </row>
    <row r="14" spans="1:16" hidden="1">
      <c r="A14" s="3226" t="s">
        <v>3227</v>
      </c>
      <c r="B14" s="3226" t="s">
        <v>3175</v>
      </c>
      <c r="C14" s="3226" t="s">
        <v>3176</v>
      </c>
      <c r="D14" s="3226">
        <v>44227.360000000001</v>
      </c>
      <c r="E14" s="3226">
        <v>79609.25</v>
      </c>
      <c r="F14" s="3226" t="s">
        <v>3225</v>
      </c>
      <c r="G14" s="3226">
        <f t="shared" si="1"/>
        <v>1.8</v>
      </c>
      <c r="H14" s="3226" t="s">
        <v>3178</v>
      </c>
      <c r="I14" s="3226" t="s">
        <v>3222</v>
      </c>
      <c r="J14" s="3226">
        <v>11941.37</v>
      </c>
      <c r="K14" s="3226">
        <v>11941.37</v>
      </c>
      <c r="L14" s="3226">
        <v>1500</v>
      </c>
      <c r="M14" s="3226">
        <f t="shared" si="0"/>
        <v>1500</v>
      </c>
      <c r="N14" s="3226">
        <v>0</v>
      </c>
      <c r="O14" s="3226" t="s">
        <v>3228</v>
      </c>
      <c r="P14" s="3226" t="s">
        <v>3196</v>
      </c>
    </row>
    <row r="15" spans="1:16" hidden="1">
      <c r="A15" s="3226" t="s">
        <v>3229</v>
      </c>
      <c r="B15" s="3226" t="s">
        <v>3175</v>
      </c>
      <c r="C15" s="3226" t="s">
        <v>3188</v>
      </c>
      <c r="D15" s="3226">
        <v>25721.200000000001</v>
      </c>
      <c r="E15" s="3226">
        <v>35177</v>
      </c>
      <c r="F15" s="3226" t="s">
        <v>3230</v>
      </c>
      <c r="G15" s="3226">
        <f t="shared" si="1"/>
        <v>1.37</v>
      </c>
      <c r="H15" s="3226" t="s">
        <v>3178</v>
      </c>
      <c r="I15" s="3226" t="s">
        <v>3231</v>
      </c>
      <c r="J15" s="3226">
        <v>4385.59</v>
      </c>
      <c r="K15" s="3226">
        <v>4385.59</v>
      </c>
      <c r="L15" s="3226">
        <v>1246.72</v>
      </c>
      <c r="M15" s="3226">
        <f t="shared" si="0"/>
        <v>1247</v>
      </c>
      <c r="N15" s="3226">
        <v>0</v>
      </c>
      <c r="O15" s="3226" t="s">
        <v>3232</v>
      </c>
      <c r="P15" s="3226" t="s">
        <v>3196</v>
      </c>
    </row>
    <row r="16" spans="1:16" ht="24" hidden="1">
      <c r="A16" s="3226" t="s">
        <v>3233</v>
      </c>
      <c r="B16" s="3226" t="s">
        <v>3175</v>
      </c>
      <c r="C16" s="3226" t="s">
        <v>3188</v>
      </c>
      <c r="D16" s="3226">
        <v>71743.789999999994</v>
      </c>
      <c r="E16" s="3226">
        <v>107615.7</v>
      </c>
      <c r="F16" s="3226" t="s">
        <v>3234</v>
      </c>
      <c r="G16" s="3226">
        <f t="shared" si="1"/>
        <v>1.5</v>
      </c>
      <c r="H16" s="3226" t="s">
        <v>3178</v>
      </c>
      <c r="I16" s="3226" t="s">
        <v>3235</v>
      </c>
      <c r="J16" s="3226">
        <v>38741.629999999997</v>
      </c>
      <c r="K16" s="3226">
        <v>38741.629999999997</v>
      </c>
      <c r="L16" s="3226">
        <v>3600</v>
      </c>
      <c r="M16" s="3226">
        <f t="shared" si="0"/>
        <v>3600</v>
      </c>
      <c r="N16" s="3226">
        <v>0</v>
      </c>
      <c r="O16" s="3226" t="s">
        <v>3195</v>
      </c>
      <c r="P16" s="3226" t="s">
        <v>3186</v>
      </c>
    </row>
    <row r="17" spans="1:17" ht="24" hidden="1">
      <c r="A17" s="3226" t="s">
        <v>3236</v>
      </c>
      <c r="B17" s="3226" t="s">
        <v>3175</v>
      </c>
      <c r="C17" s="3226" t="s">
        <v>3176</v>
      </c>
      <c r="D17" s="3226">
        <v>22648.73</v>
      </c>
      <c r="E17" s="3226">
        <v>56621.83</v>
      </c>
      <c r="F17" s="3226" t="s">
        <v>3237</v>
      </c>
      <c r="G17" s="3226">
        <f t="shared" si="1"/>
        <v>2.5</v>
      </c>
      <c r="H17" s="3226" t="s">
        <v>3178</v>
      </c>
      <c r="I17" s="3226" t="s">
        <v>3235</v>
      </c>
      <c r="J17" s="3226">
        <v>16227.81</v>
      </c>
      <c r="K17" s="3226">
        <v>16227.81</v>
      </c>
      <c r="L17" s="3226">
        <v>2866</v>
      </c>
      <c r="M17" s="3226">
        <f t="shared" si="0"/>
        <v>2866</v>
      </c>
      <c r="N17" s="3226">
        <v>0</v>
      </c>
      <c r="O17" s="3226" t="s">
        <v>3195</v>
      </c>
      <c r="P17" s="3226" t="s">
        <v>3186</v>
      </c>
    </row>
    <row r="18" spans="1:17" s="3230" customFormat="1" hidden="1">
      <c r="A18" s="3229" t="s">
        <v>3299</v>
      </c>
      <c r="B18" s="3229" t="s">
        <v>3175</v>
      </c>
      <c r="C18" s="3229" t="s">
        <v>3188</v>
      </c>
      <c r="D18" s="3229">
        <v>24636.5</v>
      </c>
      <c r="E18" s="3229">
        <v>74314</v>
      </c>
      <c r="F18" s="3229" t="s">
        <v>3238</v>
      </c>
      <c r="G18" s="3229">
        <f t="shared" si="1"/>
        <v>3.02</v>
      </c>
      <c r="H18" s="3229" t="s">
        <v>3178</v>
      </c>
      <c r="I18" s="3229" t="s">
        <v>3239</v>
      </c>
      <c r="J18" s="3229">
        <v>36398.449999999997</v>
      </c>
      <c r="K18" s="3229">
        <v>50810.09</v>
      </c>
      <c r="L18" s="3229">
        <v>6837</v>
      </c>
      <c r="M18" s="3229">
        <f t="shared" si="0"/>
        <v>4898</v>
      </c>
      <c r="N18" s="3229">
        <v>39.590000000000003</v>
      </c>
      <c r="O18" s="3229" t="s">
        <v>3240</v>
      </c>
      <c r="P18" s="3229" t="s">
        <v>3205</v>
      </c>
    </row>
    <row r="19" spans="1:17" hidden="1">
      <c r="A19" s="3226" t="s">
        <v>3241</v>
      </c>
      <c r="B19" s="3226" t="s">
        <v>3175</v>
      </c>
      <c r="C19" s="3226" t="s">
        <v>3176</v>
      </c>
      <c r="D19" s="3226">
        <v>38274.18</v>
      </c>
      <c r="E19" s="3226">
        <v>45929.02</v>
      </c>
      <c r="F19" s="3226" t="s">
        <v>3242</v>
      </c>
      <c r="G19" s="3226">
        <f t="shared" si="1"/>
        <v>1.2</v>
      </c>
      <c r="H19" s="3226" t="s">
        <v>3178</v>
      </c>
      <c r="I19" s="3226" t="s">
        <v>3243</v>
      </c>
      <c r="J19" s="3226">
        <v>6780.27</v>
      </c>
      <c r="K19" s="3226">
        <v>6780.27</v>
      </c>
      <c r="L19" s="3226">
        <v>1476.25</v>
      </c>
      <c r="M19" s="3226">
        <f t="shared" si="0"/>
        <v>1476</v>
      </c>
      <c r="N19" s="3226">
        <v>0</v>
      </c>
      <c r="O19" s="3226" t="s">
        <v>3244</v>
      </c>
      <c r="P19" s="3226" t="s">
        <v>3196</v>
      </c>
    </row>
    <row r="20" spans="1:17" hidden="1">
      <c r="A20" s="3226" t="s">
        <v>3245</v>
      </c>
      <c r="B20" s="3226" t="s">
        <v>3175</v>
      </c>
      <c r="C20" s="3226" t="s">
        <v>3176</v>
      </c>
      <c r="D20" s="3226">
        <v>59164.56</v>
      </c>
      <c r="E20" s="3226">
        <v>118323</v>
      </c>
      <c r="F20" s="3226" t="s">
        <v>3246</v>
      </c>
      <c r="G20" s="3226">
        <f t="shared" si="1"/>
        <v>2</v>
      </c>
      <c r="H20" s="3226" t="s">
        <v>3178</v>
      </c>
      <c r="I20" s="3226" t="s">
        <v>3247</v>
      </c>
      <c r="J20" s="3226">
        <v>12313.28</v>
      </c>
      <c r="K20" s="3226">
        <v>31947.200000000001</v>
      </c>
      <c r="L20" s="3226">
        <v>2700</v>
      </c>
      <c r="M20" s="3226">
        <f t="shared" si="0"/>
        <v>1041</v>
      </c>
      <c r="N20" s="3226">
        <v>159.44999999999999</v>
      </c>
      <c r="O20" s="3226" t="s">
        <v>3248</v>
      </c>
      <c r="P20" s="3226" t="s">
        <v>3196</v>
      </c>
    </row>
    <row r="21" spans="1:17" hidden="1">
      <c r="A21" s="3226" t="s">
        <v>3249</v>
      </c>
      <c r="B21" s="3226" t="s">
        <v>3175</v>
      </c>
      <c r="C21" s="3226" t="s">
        <v>3188</v>
      </c>
      <c r="D21" s="3226">
        <v>8504.09</v>
      </c>
      <c r="E21" s="3226">
        <v>17007</v>
      </c>
      <c r="F21" s="3226" t="s">
        <v>3246</v>
      </c>
      <c r="G21" s="3226">
        <f t="shared" si="1"/>
        <v>2</v>
      </c>
      <c r="H21" s="3226" t="s">
        <v>3178</v>
      </c>
      <c r="I21" s="3226" t="s">
        <v>3247</v>
      </c>
      <c r="J21" s="3226">
        <v>10247.56</v>
      </c>
      <c r="K21" s="3226">
        <v>12075.2</v>
      </c>
      <c r="L21" s="3226">
        <v>7100.14</v>
      </c>
      <c r="M21" s="3226">
        <f t="shared" si="0"/>
        <v>6025</v>
      </c>
      <c r="N21" s="3226">
        <v>17.829999999999998</v>
      </c>
      <c r="O21" s="3226" t="s">
        <v>3250</v>
      </c>
      <c r="P21" s="3226" t="s">
        <v>3205</v>
      </c>
    </row>
    <row r="22" spans="1:17" s="3230" customFormat="1" ht="24" hidden="1">
      <c r="A22" s="3229" t="s">
        <v>3251</v>
      </c>
      <c r="B22" s="3229" t="s">
        <v>3175</v>
      </c>
      <c r="C22" s="3229" t="s">
        <v>3188</v>
      </c>
      <c r="D22" s="3229">
        <v>40899.379999999997</v>
      </c>
      <c r="E22" s="3229">
        <v>81800</v>
      </c>
      <c r="F22" s="3229" t="s">
        <v>3252</v>
      </c>
      <c r="G22" s="3229">
        <f t="shared" si="1"/>
        <v>2</v>
      </c>
      <c r="H22" s="3229" t="s">
        <v>3178</v>
      </c>
      <c r="I22" s="3229" t="s">
        <v>3247</v>
      </c>
      <c r="J22" s="3229">
        <v>43354</v>
      </c>
      <c r="K22" s="3229">
        <v>64617.58</v>
      </c>
      <c r="L22" s="3229">
        <v>7899</v>
      </c>
      <c r="M22" s="3229">
        <f t="shared" si="0"/>
        <v>5300</v>
      </c>
      <c r="N22" s="3229">
        <v>49.05</v>
      </c>
      <c r="O22" s="3229" t="s">
        <v>3253</v>
      </c>
      <c r="P22" s="3229" t="s">
        <v>3205</v>
      </c>
    </row>
    <row r="23" spans="1:17" s="3228" customFormat="1" ht="36" customHeight="1">
      <c r="A23" s="3227" t="s">
        <v>3297</v>
      </c>
      <c r="B23" s="3227" t="s">
        <v>3175</v>
      </c>
      <c r="C23" s="3227" t="s">
        <v>3188</v>
      </c>
      <c r="D23" s="3227">
        <v>44977.78</v>
      </c>
      <c r="E23" s="3227">
        <v>89950</v>
      </c>
      <c r="F23" s="3227" t="s">
        <v>3254</v>
      </c>
      <c r="G23" s="3227">
        <f t="shared" si="1"/>
        <v>2</v>
      </c>
      <c r="H23" s="3227" t="s">
        <v>3178</v>
      </c>
      <c r="I23" s="3227" t="s">
        <v>3255</v>
      </c>
      <c r="J23" s="3227">
        <v>44975</v>
      </c>
      <c r="K23" s="3227">
        <v>61166.75</v>
      </c>
      <c r="L23" s="3227">
        <v>6800</v>
      </c>
      <c r="M23" s="3227">
        <f t="shared" si="0"/>
        <v>5000</v>
      </c>
      <c r="N23" s="3227">
        <v>36</v>
      </c>
      <c r="O23" s="3227" t="s">
        <v>3256</v>
      </c>
      <c r="P23" s="3227" t="s">
        <v>3205</v>
      </c>
      <c r="Q23" t="s">
        <v>3298</v>
      </c>
    </row>
    <row r="24" spans="1:17" ht="24.75" customHeight="1">
      <c r="A24" s="3226" t="s">
        <v>3381</v>
      </c>
      <c r="B24" s="3226" t="s">
        <v>3175</v>
      </c>
      <c r="C24" s="3226" t="s">
        <v>3176</v>
      </c>
      <c r="D24" s="3226">
        <v>10774.94</v>
      </c>
      <c r="E24" s="3226">
        <v>21548</v>
      </c>
      <c r="F24" s="3226" t="s">
        <v>3257</v>
      </c>
      <c r="G24" s="3226">
        <f t="shared" si="1"/>
        <v>2</v>
      </c>
      <c r="H24" s="3226" t="s">
        <v>3178</v>
      </c>
      <c r="I24" s="3226" t="s">
        <v>3255</v>
      </c>
      <c r="J24" s="3226">
        <v>12928.79</v>
      </c>
      <c r="K24" s="3226">
        <v>16808.060000000001</v>
      </c>
      <c r="L24" s="3226">
        <v>7800.28</v>
      </c>
      <c r="M24" s="3226">
        <f t="shared" si="0"/>
        <v>6000</v>
      </c>
      <c r="N24" s="3226">
        <v>30</v>
      </c>
      <c r="O24" s="3226" t="s">
        <v>3250</v>
      </c>
      <c r="P24" s="3226" t="s">
        <v>3205</v>
      </c>
    </row>
    <row r="25" spans="1:17" ht="36">
      <c r="A25" s="3226" t="s">
        <v>3258</v>
      </c>
      <c r="B25" s="3226" t="s">
        <v>3175</v>
      </c>
      <c r="C25" s="3226" t="s">
        <v>3176</v>
      </c>
      <c r="D25" s="3226">
        <v>81856.759999999995</v>
      </c>
      <c r="E25" s="3226">
        <v>204631</v>
      </c>
      <c r="F25" s="3226" t="s">
        <v>3259</v>
      </c>
      <c r="G25" s="3226">
        <f t="shared" si="1"/>
        <v>2.5</v>
      </c>
      <c r="H25" s="3226" t="s">
        <v>3178</v>
      </c>
      <c r="I25" s="3226" t="s">
        <v>3255</v>
      </c>
      <c r="J25" s="3226">
        <v>85945.02</v>
      </c>
      <c r="K25" s="3226">
        <v>92085</v>
      </c>
      <c r="L25" s="3226">
        <v>4500.05</v>
      </c>
      <c r="M25" s="3226">
        <f t="shared" si="0"/>
        <v>4200</v>
      </c>
      <c r="N25" s="3226">
        <v>7.14</v>
      </c>
      <c r="O25" s="3226" t="s">
        <v>3260</v>
      </c>
      <c r="P25" s="3226" t="s">
        <v>3186</v>
      </c>
    </row>
    <row r="26" spans="1:17">
      <c r="A26" s="3226" t="s">
        <v>3261</v>
      </c>
      <c r="B26" s="3226" t="s">
        <v>3175</v>
      </c>
      <c r="C26" s="3226" t="s">
        <v>3176</v>
      </c>
      <c r="D26" s="3226">
        <v>14793</v>
      </c>
      <c r="E26" s="3226">
        <v>42898</v>
      </c>
      <c r="F26" s="3226" t="s">
        <v>3262</v>
      </c>
      <c r="G26" s="3226">
        <f t="shared" si="1"/>
        <v>2.9</v>
      </c>
      <c r="H26" s="3226" t="s">
        <v>3178</v>
      </c>
      <c r="I26" s="3226" t="s">
        <v>3263</v>
      </c>
      <c r="J26" s="3226">
        <v>22306.95</v>
      </c>
      <c r="K26" s="3226">
        <v>43326.98</v>
      </c>
      <c r="L26" s="3226">
        <v>10100</v>
      </c>
      <c r="M26" s="3226">
        <f t="shared" si="0"/>
        <v>5200</v>
      </c>
      <c r="N26" s="3226">
        <v>94.23</v>
      </c>
      <c r="O26" s="3225" t="s">
        <v>3264</v>
      </c>
      <c r="P26" s="3226" t="s">
        <v>3205</v>
      </c>
    </row>
    <row r="27" spans="1:17" ht="24">
      <c r="A27" s="3226" t="s">
        <v>3265</v>
      </c>
      <c r="B27" s="3226" t="s">
        <v>3175</v>
      </c>
      <c r="C27" s="3226" t="s">
        <v>3176</v>
      </c>
      <c r="D27" s="3226">
        <v>25774</v>
      </c>
      <c r="E27" s="3226">
        <v>64433</v>
      </c>
      <c r="F27" s="3226" t="s">
        <v>3266</v>
      </c>
      <c r="G27" s="3226">
        <f t="shared" si="1"/>
        <v>2.5</v>
      </c>
      <c r="H27" s="3226" t="s">
        <v>3178</v>
      </c>
      <c r="I27" s="3226" t="s">
        <v>3263</v>
      </c>
      <c r="J27" s="3226">
        <v>24484.54</v>
      </c>
      <c r="K27" s="3226">
        <v>45747.43</v>
      </c>
      <c r="L27" s="3226">
        <v>7100</v>
      </c>
      <c r="M27" s="3226">
        <f t="shared" si="0"/>
        <v>3800</v>
      </c>
      <c r="N27" s="3226">
        <v>86.84</v>
      </c>
      <c r="O27" s="3226" t="s">
        <v>3267</v>
      </c>
      <c r="P27" s="3226" t="s">
        <v>3186</v>
      </c>
    </row>
    <row r="28" spans="1:17">
      <c r="A28" s="3226" t="s">
        <v>3268</v>
      </c>
      <c r="B28" s="3226" t="s">
        <v>3175</v>
      </c>
      <c r="C28" s="3226" t="s">
        <v>3176</v>
      </c>
      <c r="D28" s="3226">
        <v>41228.550000000003</v>
      </c>
      <c r="E28" s="3226">
        <v>98948</v>
      </c>
      <c r="F28" s="3226" t="s">
        <v>3269</v>
      </c>
      <c r="G28" s="3226">
        <f t="shared" si="1"/>
        <v>2.4</v>
      </c>
      <c r="H28" s="3226" t="s">
        <v>3178</v>
      </c>
      <c r="I28" s="3226" t="s">
        <v>3263</v>
      </c>
      <c r="J28" s="3226">
        <v>61347.76</v>
      </c>
      <c r="K28" s="3226">
        <v>100927</v>
      </c>
      <c r="L28" s="3226">
        <v>10200</v>
      </c>
      <c r="M28" s="3226">
        <f t="shared" si="0"/>
        <v>6200</v>
      </c>
      <c r="N28" s="3226">
        <v>64.52</v>
      </c>
      <c r="O28" s="3226" t="s">
        <v>3270</v>
      </c>
      <c r="P28" s="3226" t="s">
        <v>3205</v>
      </c>
    </row>
    <row r="29" spans="1:17" ht="24">
      <c r="A29" s="3226" t="s">
        <v>3271</v>
      </c>
      <c r="B29" s="3226" t="s">
        <v>3175</v>
      </c>
      <c r="C29" s="3226" t="s">
        <v>3188</v>
      </c>
      <c r="D29" s="3226">
        <v>31368.48</v>
      </c>
      <c r="E29" s="3226">
        <v>78421.2</v>
      </c>
      <c r="F29" s="3226" t="s">
        <v>3272</v>
      </c>
      <c r="G29" s="3226">
        <f t="shared" si="1"/>
        <v>2.5</v>
      </c>
      <c r="H29" s="3226" t="s">
        <v>3178</v>
      </c>
      <c r="I29" s="3226" t="s">
        <v>3273</v>
      </c>
      <c r="J29" s="3226" t="s">
        <v>2815</v>
      </c>
      <c r="K29" s="3226">
        <v>9090.1200000000008</v>
      </c>
      <c r="L29" s="3226">
        <v>1159.1400000000001</v>
      </c>
      <c r="M29" s="3226" t="e">
        <f t="shared" si="0"/>
        <v>#VALUE!</v>
      </c>
      <c r="N29" s="3226" t="s">
        <v>2815</v>
      </c>
      <c r="O29" s="3226" t="s">
        <v>3274</v>
      </c>
      <c r="P29" s="3226" t="s">
        <v>3275</v>
      </c>
    </row>
    <row r="30" spans="1:17" ht="36">
      <c r="A30" s="3226" t="s">
        <v>3276</v>
      </c>
      <c r="B30" s="3226" t="s">
        <v>3175</v>
      </c>
      <c r="C30" s="3226" t="s">
        <v>3188</v>
      </c>
      <c r="D30" s="3226">
        <v>24622.57</v>
      </c>
      <c r="E30" s="3226">
        <v>89336.7</v>
      </c>
      <c r="F30" s="3226" t="s">
        <v>3277</v>
      </c>
      <c r="G30" s="3226">
        <f t="shared" si="1"/>
        <v>3.63</v>
      </c>
      <c r="H30" s="3226" t="s">
        <v>3178</v>
      </c>
      <c r="I30" s="3226" t="s">
        <v>3278</v>
      </c>
      <c r="J30" s="3226" t="s">
        <v>2815</v>
      </c>
      <c r="K30" s="3226">
        <v>7869.39</v>
      </c>
      <c r="L30" s="3226">
        <v>880.87</v>
      </c>
      <c r="M30" s="3226" t="e">
        <f t="shared" si="0"/>
        <v>#VALUE!</v>
      </c>
      <c r="N30" s="3226" t="s">
        <v>2815</v>
      </c>
      <c r="O30" s="3226" t="s">
        <v>3279</v>
      </c>
      <c r="P30" s="3226" t="s">
        <v>3275</v>
      </c>
    </row>
    <row r="31" spans="1:17" ht="24">
      <c r="A31" s="3226" t="s">
        <v>3280</v>
      </c>
      <c r="B31" s="3226" t="s">
        <v>3175</v>
      </c>
      <c r="C31" s="3226" t="s">
        <v>3188</v>
      </c>
      <c r="D31" s="3226">
        <v>37975.71</v>
      </c>
      <c r="E31" s="3226">
        <v>94939.28</v>
      </c>
      <c r="F31" s="3226" t="s">
        <v>3272</v>
      </c>
      <c r="G31" s="3226">
        <f t="shared" si="1"/>
        <v>2.5</v>
      </c>
      <c r="H31" s="3226" t="s">
        <v>3178</v>
      </c>
      <c r="I31" s="3226" t="s">
        <v>3281</v>
      </c>
      <c r="J31" s="3226" t="s">
        <v>2815</v>
      </c>
      <c r="K31" s="3226">
        <v>10538.27</v>
      </c>
      <c r="L31" s="3226">
        <v>1110</v>
      </c>
      <c r="M31" s="3226" t="e">
        <f t="shared" si="0"/>
        <v>#VALUE!</v>
      </c>
      <c r="N31" s="3226" t="s">
        <v>2815</v>
      </c>
      <c r="O31" s="3226" t="s">
        <v>3282</v>
      </c>
      <c r="P31" s="3226" t="s">
        <v>3275</v>
      </c>
    </row>
    <row r="32" spans="1:17">
      <c r="A32" s="3226" t="s">
        <v>3283</v>
      </c>
      <c r="B32" s="3226" t="s">
        <v>3175</v>
      </c>
      <c r="C32" s="3226" t="s">
        <v>3176</v>
      </c>
      <c r="D32" s="3226">
        <v>196257</v>
      </c>
      <c r="E32" s="3226">
        <v>490630</v>
      </c>
      <c r="F32" s="3226" t="s">
        <v>3284</v>
      </c>
      <c r="G32" s="3226">
        <f t="shared" si="1"/>
        <v>2.5</v>
      </c>
      <c r="H32" s="3226" t="s">
        <v>3178</v>
      </c>
      <c r="I32" s="3226" t="s">
        <v>3285</v>
      </c>
      <c r="J32" s="3226">
        <v>50045.52</v>
      </c>
      <c r="K32" s="3226">
        <v>66236.72</v>
      </c>
      <c r="L32" s="3226">
        <v>1350.02</v>
      </c>
      <c r="M32" s="3226">
        <f t="shared" si="0"/>
        <v>1020</v>
      </c>
      <c r="N32" s="3226">
        <v>32.35</v>
      </c>
      <c r="O32" s="3226" t="s">
        <v>3286</v>
      </c>
      <c r="P32" s="3226" t="s">
        <v>3205</v>
      </c>
    </row>
    <row r="33" spans="1:16">
      <c r="A33" s="3226" t="s">
        <v>3287</v>
      </c>
      <c r="B33" s="3226" t="s">
        <v>3175</v>
      </c>
      <c r="C33" s="3226" t="s">
        <v>3176</v>
      </c>
      <c r="D33" s="3226">
        <v>21144.61</v>
      </c>
      <c r="E33" s="3226">
        <v>52861</v>
      </c>
      <c r="F33" s="3226" t="s">
        <v>3284</v>
      </c>
      <c r="G33" s="3226">
        <f t="shared" si="1"/>
        <v>2.5</v>
      </c>
      <c r="H33" s="3226" t="s">
        <v>3178</v>
      </c>
      <c r="I33" s="3226" t="s">
        <v>3288</v>
      </c>
      <c r="J33" s="3226">
        <v>9261.32</v>
      </c>
      <c r="K33" s="3226">
        <v>12052.43</v>
      </c>
      <c r="L33" s="3226">
        <v>2280.0100000000002</v>
      </c>
      <c r="M33" s="3226">
        <f t="shared" si="0"/>
        <v>1752</v>
      </c>
      <c r="N33" s="3226">
        <v>30.14</v>
      </c>
      <c r="O33" s="3226" t="s">
        <v>3289</v>
      </c>
      <c r="P33" s="3226" t="s">
        <v>3205</v>
      </c>
    </row>
    <row r="34" spans="1:16">
      <c r="A34" s="3226" t="s">
        <v>3290</v>
      </c>
      <c r="B34" s="3226" t="s">
        <v>3175</v>
      </c>
      <c r="C34" s="3226" t="s">
        <v>3176</v>
      </c>
      <c r="D34" s="3226">
        <v>17127.3</v>
      </c>
      <c r="E34" s="3226">
        <v>51380</v>
      </c>
      <c r="F34" s="3226" t="s">
        <v>3291</v>
      </c>
      <c r="G34" s="3226">
        <f t="shared" si="1"/>
        <v>3</v>
      </c>
      <c r="H34" s="3226" t="s">
        <v>3178</v>
      </c>
      <c r="I34" s="3226" t="s">
        <v>3292</v>
      </c>
      <c r="J34" s="3226">
        <v>11817.86</v>
      </c>
      <c r="K34" s="3226">
        <v>15722.88</v>
      </c>
      <c r="L34" s="3226">
        <v>3060.11</v>
      </c>
      <c r="M34" s="3226">
        <f t="shared" si="0"/>
        <v>2300</v>
      </c>
      <c r="N34" s="3226">
        <v>33.04</v>
      </c>
      <c r="O34" s="3226" t="s">
        <v>3293</v>
      </c>
      <c r="P34" s="3226" t="s">
        <v>3205</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0" sqref="G30:G33"/>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464</v>
      </c>
      <c r="B1" s="2787"/>
      <c r="C1" s="2104"/>
      <c r="D1" s="2104"/>
      <c r="E1" s="2104"/>
      <c r="F1" s="2104"/>
      <c r="G1" s="2104"/>
      <c r="H1" s="2104"/>
      <c r="I1" s="2104"/>
      <c r="J1" s="2104"/>
      <c r="K1" s="422">
        <f>MATCH(B1,'数据-取费表'!A6:A16,0)+5</f>
        <v>9</v>
      </c>
    </row>
    <row r="2" spans="1:41" s="2041" customFormat="1" ht="18" customHeight="1">
      <c r="A2" s="423" t="s">
        <v>465</v>
      </c>
      <c r="B2" s="424">
        <f ca="1">C32</f>
        <v>0</v>
      </c>
      <c r="C2" s="2104"/>
      <c r="D2" s="2104"/>
      <c r="E2" s="2104"/>
      <c r="F2" s="2104"/>
      <c r="G2" s="2104"/>
      <c r="H2" s="2104"/>
      <c r="I2" s="2104"/>
      <c r="J2" s="2104"/>
      <c r="K2" s="2104"/>
    </row>
    <row r="3" spans="1:41" s="2041" customFormat="1" ht="18" customHeight="1">
      <c r="A3" s="1380"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466</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467</v>
      </c>
      <c r="D5" s="2104"/>
      <c r="E5" s="2104"/>
      <c r="F5" s="2104"/>
      <c r="G5" s="2104"/>
      <c r="H5" s="2104"/>
      <c r="I5" s="2104"/>
      <c r="J5" s="2104"/>
      <c r="K5" s="2104"/>
    </row>
    <row r="6" spans="1:41" s="2111" customFormat="1" ht="16.5" customHeight="1">
      <c r="A6" s="432" t="s">
        <v>2649</v>
      </c>
      <c r="B6" s="433"/>
      <c r="C6" s="1624">
        <f>SUM(C10:K10)</f>
        <v>0</v>
      </c>
      <c r="D6" s="2109"/>
      <c r="E6" s="2109"/>
      <c r="F6" s="2109"/>
      <c r="G6" s="2109"/>
      <c r="H6" s="2109"/>
      <c r="I6" s="2109"/>
      <c r="J6" s="2109"/>
      <c r="K6" s="2110"/>
    </row>
    <row r="7" spans="1:41" s="2113" customFormat="1" ht="15">
      <c r="A7" s="434" t="s">
        <v>468</v>
      </c>
      <c r="B7" s="435" t="s">
        <v>469</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1844</v>
      </c>
      <c r="B8" s="438" t="s">
        <v>470</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1845</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1846</v>
      </c>
      <c r="B10" s="1625" t="s">
        <v>472</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1863</v>
      </c>
      <c r="B11" s="1622"/>
      <c r="C11" s="1622"/>
      <c r="D11" s="1622"/>
      <c r="E11" s="1622"/>
      <c r="F11" s="1622"/>
      <c r="G11" s="1622"/>
      <c r="H11" s="1622"/>
      <c r="I11" s="1622"/>
      <c r="J11" s="1622"/>
      <c r="K11" s="1623"/>
    </row>
    <row r="12" spans="1:41" s="2085" customFormat="1" ht="13.5" customHeight="1">
      <c r="A12" s="434" t="s">
        <v>468</v>
      </c>
      <c r="B12" s="444" t="s">
        <v>469</v>
      </c>
      <c r="C12" s="445" t="s">
        <v>473</v>
      </c>
      <c r="D12" s="446" t="s">
        <v>474</v>
      </c>
      <c r="E12" s="446" t="s">
        <v>475</v>
      </c>
      <c r="F12" s="446" t="s">
        <v>476</v>
      </c>
      <c r="G12" s="444"/>
      <c r="H12" s="447"/>
      <c r="I12" s="447"/>
      <c r="J12" s="447"/>
      <c r="K12" s="448"/>
    </row>
    <row r="13" spans="1:41" s="2116" customFormat="1" ht="13.5" customHeight="1">
      <c r="A13" s="1634" t="s">
        <v>1847</v>
      </c>
      <c r="B13" s="449" t="s">
        <v>477</v>
      </c>
      <c r="C13" s="450">
        <f ca="1">IF(B1="",'数据-取费表'!M16,INDIRECT("'数据-取费表'!M"&amp;$K$1)+INDIRECT("'数据-取费表'!t"&amp;$K$1))</f>
        <v>57577</v>
      </c>
      <c r="D13" s="451"/>
      <c r="E13" s="365"/>
      <c r="F13" s="452"/>
      <c r="G13" s="444"/>
      <c r="H13" s="447"/>
      <c r="I13" s="447"/>
      <c r="J13" s="447"/>
      <c r="K13" s="448"/>
    </row>
    <row r="14" spans="1:41" s="2116" customFormat="1" ht="13.5" customHeight="1">
      <c r="A14" s="1634" t="s">
        <v>1848</v>
      </c>
      <c r="B14" s="449" t="s">
        <v>478</v>
      </c>
      <c r="C14" s="53">
        <f ca="1">ROUND(C13*F14,0)</f>
        <v>1727</v>
      </c>
      <c r="D14" s="451"/>
      <c r="E14" s="365"/>
      <c r="F14" s="453">
        <f>'数据-取费表'!B33</f>
        <v>0.03</v>
      </c>
      <c r="G14" s="444" t="s">
        <v>500</v>
      </c>
      <c r="H14" s="447"/>
      <c r="I14" s="447"/>
      <c r="J14" s="447"/>
      <c r="K14" s="448"/>
    </row>
    <row r="15" spans="1:41" s="2116" customFormat="1" ht="13.5" customHeight="1">
      <c r="A15" s="1634" t="s">
        <v>1849</v>
      </c>
      <c r="B15" s="449" t="s">
        <v>480</v>
      </c>
      <c r="C15" s="53">
        <f ca="1">ROUND(IF(B1="",SUMIF('数据-取费表'!C:C,"住宅",'数据-取费表'!M:M)*F15,IF(INDIRECT("'数据-取费表'!c"&amp;$K$1)="住宅",INDIRECT("'数据-取费表'!M"&amp;$K$1)*F15,0)),0)</f>
        <v>1318</v>
      </c>
      <c r="D15" s="451"/>
      <c r="E15" s="365"/>
      <c r="F15" s="453">
        <f>'数据-取费表'!B34</f>
        <v>0.03</v>
      </c>
      <c r="G15" s="444" t="s">
        <v>500</v>
      </c>
      <c r="H15" s="447"/>
      <c r="I15" s="447"/>
      <c r="J15" s="447"/>
      <c r="K15" s="448"/>
    </row>
    <row r="16" spans="1:41" s="2117" customFormat="1" ht="13.5" customHeight="1">
      <c r="A16" s="1634" t="s">
        <v>1850</v>
      </c>
      <c r="B16" s="449" t="s">
        <v>482</v>
      </c>
      <c r="C16" s="53">
        <f ca="1">ROUND(D16*E16/10000,0)</f>
        <v>3785</v>
      </c>
      <c r="D16" s="451">
        <f ca="1">IF(B1="",'数据-汇总表'!E3,INDIRECT("'数据-取费表'!K"&amp;$K$1)+INDIRECT("'数据-取费表'!S"&amp;$K$1))</f>
        <v>252351.54</v>
      </c>
      <c r="E16" s="53">
        <f>'数据-取费表'!B35</f>
        <v>150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1851</v>
      </c>
      <c r="B17" s="449" t="s">
        <v>483</v>
      </c>
      <c r="C17" s="454">
        <f ca="1">ROUND(C13*F17,0)</f>
        <v>864</v>
      </c>
      <c r="D17" s="455"/>
      <c r="E17" s="454"/>
      <c r="F17" s="456">
        <f>'数据-取费表'!B36</f>
        <v>1.4999999999999999E-2</v>
      </c>
      <c r="G17" s="444" t="s">
        <v>500</v>
      </c>
      <c r="H17" s="457"/>
      <c r="I17" s="457"/>
      <c r="J17" s="457"/>
      <c r="K17" s="458"/>
    </row>
    <row r="18" spans="1:14" s="2119" customFormat="1" ht="13.5" customHeight="1">
      <c r="A18" s="1635" t="s">
        <v>1852</v>
      </c>
      <c r="B18" s="459" t="s">
        <v>485</v>
      </c>
      <c r="C18" s="460">
        <f ca="1">SUM(C13:C17)</f>
        <v>65271</v>
      </c>
      <c r="D18" s="461"/>
      <c r="E18" s="462"/>
      <c r="F18" s="462"/>
      <c r="G18" s="1327" t="s">
        <v>2429</v>
      </c>
      <c r="H18" s="447"/>
      <c r="I18" s="447"/>
      <c r="J18" s="447"/>
      <c r="K18" s="448"/>
    </row>
    <row r="19" spans="1:14" s="2119" customFormat="1" ht="13.5" customHeight="1">
      <c r="A19" s="1635" t="s">
        <v>1853</v>
      </c>
      <c r="B19" s="459" t="s">
        <v>491</v>
      </c>
      <c r="C19" s="460">
        <f ca="1">ROUND(C18*F19,0)</f>
        <v>1305</v>
      </c>
      <c r="D19" s="462"/>
      <c r="E19" s="462"/>
      <c r="F19" s="466">
        <f>'数据-取费表'!B37</f>
        <v>0.02</v>
      </c>
      <c r="G19" s="444" t="s">
        <v>501</v>
      </c>
      <c r="H19" s="447"/>
      <c r="I19" s="447"/>
      <c r="J19" s="447"/>
      <c r="K19" s="448"/>
      <c r="L19" s="2121"/>
      <c r="M19" s="2121"/>
      <c r="N19" s="2121"/>
    </row>
    <row r="20" spans="1:14" s="2119" customFormat="1" ht="13.5" customHeight="1">
      <c r="A20" s="1635" t="s">
        <v>1854</v>
      </c>
      <c r="B20" s="459" t="s">
        <v>502</v>
      </c>
      <c r="C20" s="3005">
        <f>F20</f>
        <v>0.02</v>
      </c>
      <c r="D20" s="469" t="s">
        <v>503</v>
      </c>
      <c r="E20" s="469"/>
      <c r="F20" s="486">
        <f>'数据-取费表'!B38</f>
        <v>0.02</v>
      </c>
      <c r="G20" s="1327" t="s">
        <v>504</v>
      </c>
      <c r="H20" s="447"/>
      <c r="I20" s="447"/>
      <c r="J20" s="447"/>
      <c r="K20" s="448"/>
      <c r="L20" s="2121"/>
      <c r="M20" s="2121"/>
      <c r="N20" s="2121"/>
    </row>
    <row r="21" spans="1:14" s="2121" customFormat="1" ht="13.5" customHeight="1">
      <c r="A21" s="1635" t="s">
        <v>1857</v>
      </c>
      <c r="B21" s="461" t="s">
        <v>492</v>
      </c>
      <c r="C21" s="470">
        <f ca="1">C22</f>
        <v>3162</v>
      </c>
      <c r="D21" s="467">
        <f ca="1">C23</f>
        <v>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2451</v>
      </c>
    </row>
    <row r="22" spans="1:14" s="2120" customFormat="1" ht="13.5" customHeight="1">
      <c r="A22" s="1634" t="s">
        <v>1847</v>
      </c>
      <c r="B22" s="1328" t="s">
        <v>2432</v>
      </c>
      <c r="C22" s="487">
        <f ca="1">ROUND(IF('数据-取费表'!B22&lt;=1,(C18+C19)*F21*'数据-取费表'!B20/2,(C18+C19)*(POWER((1+F21),'数据-取费表'!B20/2)-1)),0)</f>
        <v>3162</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1848</v>
      </c>
      <c r="B23" s="1328" t="s">
        <v>506</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1858</v>
      </c>
      <c r="B24" s="3007" t="s">
        <v>2829</v>
      </c>
      <c r="C24" s="478">
        <f ca="1">C25</f>
        <v>7989</v>
      </c>
      <c r="D24" s="489">
        <f ca="1">C26</f>
        <v>2.3999999999999998E-3</v>
      </c>
      <c r="E24" s="469" t="s">
        <v>505</v>
      </c>
      <c r="F24" s="479">
        <f ca="1">IF(B1="",'数据-取费表'!Q16,INDIRECT("'数据-取费表'!q"&amp;$K$1))</f>
        <v>0.12</v>
      </c>
      <c r="G24" s="444"/>
      <c r="H24" s="447"/>
      <c r="I24" s="447"/>
      <c r="J24" s="447"/>
      <c r="K24" s="448"/>
    </row>
    <row r="25" spans="1:14" s="2120" customFormat="1" ht="13.5" customHeight="1">
      <c r="A25" s="1634" t="s">
        <v>1847</v>
      </c>
      <c r="B25" s="1328" t="s">
        <v>2433</v>
      </c>
      <c r="C25" s="490">
        <f ca="1">ROUND((C18+C19)*F24,0)</f>
        <v>7989</v>
      </c>
      <c r="D25" s="472"/>
      <c r="E25" s="473"/>
      <c r="F25" s="480"/>
      <c r="G25" s="1326" t="s">
        <v>2430</v>
      </c>
      <c r="H25" s="457"/>
      <c r="I25" s="457"/>
      <c r="J25" s="457"/>
      <c r="K25" s="458"/>
    </row>
    <row r="26" spans="1:14" s="2120" customFormat="1" ht="13.5" customHeight="1">
      <c r="A26" s="1634" t="s">
        <v>1848</v>
      </c>
      <c r="B26" s="1328" t="s">
        <v>507</v>
      </c>
      <c r="C26" s="491">
        <f ca="1">ROUND(F20*F24,4)</f>
        <v>2.3999999999999998E-3</v>
      </c>
      <c r="D26" s="472"/>
      <c r="E26" s="481"/>
      <c r="F26" s="480"/>
      <c r="G26" s="1326" t="s">
        <v>508</v>
      </c>
      <c r="H26" s="457"/>
      <c r="I26" s="457"/>
      <c r="J26" s="457"/>
      <c r="K26" s="458"/>
    </row>
    <row r="27" spans="1:14" s="2120" customFormat="1" ht="13.5" customHeight="1">
      <c r="A27" s="1638" t="s">
        <v>1866</v>
      </c>
      <c r="B27" s="459" t="s">
        <v>509</v>
      </c>
      <c r="C27" s="3006">
        <f>ROUND(F27/(1+'数据-取费表'!C42),4)</f>
        <v>5.2400000000000002E-2</v>
      </c>
      <c r="D27" s="462" t="s">
        <v>2827</v>
      </c>
      <c r="E27" s="462"/>
      <c r="F27" s="466">
        <f>'数据-取费表'!B41</f>
        <v>5.5000000000000007E-2</v>
      </c>
      <c r="G27" s="1960" t="s">
        <v>2289</v>
      </c>
      <c r="H27" s="447"/>
      <c r="I27" s="447"/>
      <c r="J27" s="447"/>
      <c r="K27" s="448"/>
    </row>
    <row r="28" spans="1:14" s="2121" customFormat="1" ht="13.5" customHeight="1">
      <c r="A28" s="1638" t="s">
        <v>1867</v>
      </c>
      <c r="B28" s="476" t="s">
        <v>510</v>
      </c>
      <c r="C28" s="470">
        <f ca="1">ROUND((C18+C19+C21+C24)/(1-C20-D21-D24-C27),0)</f>
        <v>84102</v>
      </c>
      <c r="D28" s="477"/>
      <c r="E28" s="469"/>
      <c r="F28" s="471"/>
      <c r="G28" s="1327" t="s">
        <v>2431</v>
      </c>
      <c r="H28" s="447"/>
      <c r="I28" s="447"/>
      <c r="J28" s="447"/>
      <c r="K28" s="448"/>
    </row>
    <row r="29" spans="1:14" s="2121" customFormat="1" ht="13.5" customHeight="1">
      <c r="A29" s="1638" t="s">
        <v>1868</v>
      </c>
      <c r="B29" s="476" t="s">
        <v>511</v>
      </c>
      <c r="C29" s="492">
        <f ca="1">IF(B1="",'数据-取费表'!N16,INDIRECT("'数据-取费表'!N"&amp;$K$1))</f>
        <v>0</v>
      </c>
      <c r="D29" s="493"/>
      <c r="E29" s="494"/>
      <c r="F29" s="495"/>
      <c r="G29" s="444"/>
      <c r="H29" s="447"/>
      <c r="I29" s="447"/>
      <c r="J29" s="447"/>
      <c r="K29" s="448"/>
    </row>
    <row r="30" spans="1:14" s="2121" customFormat="1" ht="13.5" customHeight="1">
      <c r="A30" s="443">
        <v>2</v>
      </c>
      <c r="B30" s="476" t="s">
        <v>512</v>
      </c>
      <c r="C30" s="497">
        <f ca="1">ROUND(C28*C29,0)</f>
        <v>0</v>
      </c>
      <c r="D30" s="493"/>
      <c r="E30" s="498"/>
      <c r="F30" s="499"/>
      <c r="G30" s="1329" t="s">
        <v>513</v>
      </c>
      <c r="H30" s="496"/>
      <c r="I30" s="496"/>
      <c r="J30" s="447"/>
      <c r="K30" s="448"/>
    </row>
    <row r="31" spans="1:14" s="2126" customFormat="1" ht="13.5" customHeight="1">
      <c r="A31" s="2461" t="s">
        <v>1864</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62" t="s">
        <v>2960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6" zoomScale="80" zoomScaleNormal="95" zoomScaleSheetLayoutView="80" workbookViewId="0">
      <selection activeCell="E14" sqref="E1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465</v>
      </c>
      <c r="B2" s="508">
        <f>F68</f>
        <v>97896</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3879</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13326</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888</v>
      </c>
      <c r="C5" s="431" t="s">
        <v>467</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519</v>
      </c>
      <c r="B6" s="513"/>
      <c r="C6" s="3473" t="s">
        <v>520</v>
      </c>
      <c r="D6" s="3474"/>
      <c r="E6" s="3473" t="s">
        <v>521</v>
      </c>
      <c r="F6" s="3474"/>
      <c r="G6" s="3473" t="s">
        <v>522</v>
      </c>
      <c r="H6" s="3474"/>
      <c r="I6" s="3473" t="s">
        <v>523</v>
      </c>
      <c r="J6" s="3474"/>
      <c r="K6" s="514" t="s">
        <v>524</v>
      </c>
      <c r="L6" s="2133"/>
      <c r="M6" s="2132"/>
      <c r="N6" s="2132"/>
      <c r="O6" s="2134"/>
      <c r="P6" s="3475" t="s">
        <v>525</v>
      </c>
      <c r="Q6" s="3476"/>
      <c r="R6" s="3481" t="s">
        <v>521</v>
      </c>
      <c r="S6" s="3482"/>
      <c r="T6" s="3481" t="s">
        <v>522</v>
      </c>
      <c r="U6" s="3482"/>
      <c r="V6" s="3468" t="s">
        <v>523</v>
      </c>
      <c r="W6" s="3468"/>
      <c r="X6" s="1568"/>
      <c r="Y6" s="3481" t="s">
        <v>525</v>
      </c>
      <c r="Z6" s="3482"/>
      <c r="AA6" s="3470" t="s">
        <v>521</v>
      </c>
      <c r="AB6" s="3471" t="s">
        <v>522</v>
      </c>
      <c r="AC6" s="3470" t="s">
        <v>523</v>
      </c>
    </row>
    <row r="7" spans="1:30" ht="47.25" customHeight="1">
      <c r="A7" s="515"/>
      <c r="B7" s="516"/>
      <c r="C7" s="3491" t="s">
        <v>3384</v>
      </c>
      <c r="D7" s="3490"/>
      <c r="E7" s="3489" t="str">
        <f>土地案例!A3</f>
        <v>郫都区郫筒街道望丛社区集体、郫筒镇晨光社区集体,郫筒镇晨光村集体,郫筒镇晨光村村委会</v>
      </c>
      <c r="F7" s="3490"/>
      <c r="G7" s="3489" t="str">
        <f>土地案例!A4</f>
        <v>郫都区郫筒镇晨光村二社、三社、双喜村一社</v>
      </c>
      <c r="H7" s="3490"/>
      <c r="I7" s="3489" t="str">
        <f>土地案例!A23</f>
        <v>郫都区红光镇合兴村四、七社,铁门村一社、社区集体</v>
      </c>
      <c r="J7" s="3490"/>
      <c r="K7" s="514"/>
      <c r="L7" s="2133"/>
      <c r="M7" s="2132"/>
      <c r="N7" s="2132"/>
      <c r="O7" s="2134"/>
      <c r="P7" s="3477"/>
      <c r="Q7" s="3478"/>
      <c r="R7" s="3483"/>
      <c r="S7" s="3484"/>
      <c r="T7" s="3483"/>
      <c r="U7" s="3484"/>
      <c r="V7" s="3468"/>
      <c r="W7" s="3468"/>
      <c r="X7" s="1568"/>
      <c r="Y7" s="3483"/>
      <c r="Z7" s="3484"/>
      <c r="AA7" s="3471"/>
      <c r="AB7" s="3471"/>
      <c r="AC7" s="3471"/>
    </row>
    <row r="8" spans="1:30" ht="21" thickBot="1">
      <c r="A8" s="515"/>
      <c r="B8" s="516"/>
      <c r="C8" s="3492" t="s">
        <v>3300</v>
      </c>
      <c r="D8" s="3493"/>
      <c r="E8" s="3492" t="s">
        <v>3300</v>
      </c>
      <c r="F8" s="3493"/>
      <c r="G8" s="3487" t="s">
        <v>3300</v>
      </c>
      <c r="H8" s="3488"/>
      <c r="I8" s="3487" t="s">
        <v>3300</v>
      </c>
      <c r="J8" s="3488"/>
      <c r="K8" s="514" t="s">
        <v>526</v>
      </c>
      <c r="L8" s="2133"/>
      <c r="M8" s="2132"/>
      <c r="N8" s="2132"/>
      <c r="O8" s="2134"/>
      <c r="P8" s="3479"/>
      <c r="Q8" s="3480"/>
      <c r="R8" s="3483"/>
      <c r="S8" s="3484"/>
      <c r="T8" s="3485"/>
      <c r="U8" s="3486"/>
      <c r="V8" s="3468"/>
      <c r="W8" s="3468"/>
      <c r="X8" s="1568"/>
      <c r="Y8" s="3485"/>
      <c r="Z8" s="3486"/>
      <c r="AA8" s="3472"/>
      <c r="AB8" s="3472"/>
      <c r="AC8" s="3472"/>
    </row>
    <row r="9" spans="1:30" s="1220" customFormat="1" ht="21" thickBot="1">
      <c r="A9" s="2890"/>
      <c r="B9" s="2897" t="s">
        <v>527</v>
      </c>
      <c r="C9" s="2889">
        <f>'数据-取费表'!B2</f>
        <v>43529</v>
      </c>
      <c r="D9" s="520">
        <v>100</v>
      </c>
      <c r="E9" s="521" t="str">
        <f>土地案例!$I$3</f>
        <v>2019-01-09</v>
      </c>
      <c r="F9" s="522">
        <f>SUMIF(72:72,YEAR(E9)&amp;"-"&amp;INT((MONTH(E9)+2)/3),73:73)</f>
        <v>100</v>
      </c>
      <c r="G9" s="523" t="str">
        <f>土地案例!$I$4</f>
        <v>2018-12-27</v>
      </c>
      <c r="H9" s="520">
        <f>SUMIF(72:72,YEAR(G9)&amp;"-"&amp;INT((MONTH(G9)+2)/3),73:73)</f>
        <v>99</v>
      </c>
      <c r="I9" s="523" t="str">
        <f>土地案例!$I$23</f>
        <v>2017-10-17</v>
      </c>
      <c r="J9" s="520">
        <f>SUMIF(72:72,YEAR(I9)&amp;"-"&amp;INT((MONTH(I9)+2)/3),73:73)</f>
        <v>95</v>
      </c>
      <c r="K9" s="524"/>
      <c r="L9" s="2135"/>
      <c r="M9" s="2132"/>
      <c r="N9" s="2132"/>
      <c r="O9" s="2136"/>
      <c r="P9" s="3499" t="s">
        <v>528</v>
      </c>
      <c r="Q9" s="3501"/>
      <c r="R9" s="1569" t="s">
        <v>8</v>
      </c>
      <c r="S9" s="1570">
        <f t="shared" ref="S9:S17" si="0">F9</f>
        <v>100</v>
      </c>
      <c r="T9" s="1569" t="s">
        <v>8</v>
      </c>
      <c r="U9" s="1570">
        <f t="shared" ref="U9:U17" si="1">H9</f>
        <v>99</v>
      </c>
      <c r="V9" s="1569" t="s">
        <v>8</v>
      </c>
      <c r="W9" s="1570">
        <f t="shared" ref="W9:W17" si="2">J9</f>
        <v>95</v>
      </c>
      <c r="X9" s="1571"/>
      <c r="Y9" s="3499" t="s">
        <v>528</v>
      </c>
      <c r="Z9" s="3500"/>
      <c r="AA9" s="1572">
        <f>D9/F9</f>
        <v>1</v>
      </c>
      <c r="AB9" s="1572">
        <f>D9/H9</f>
        <v>1.0101010101010102</v>
      </c>
      <c r="AC9" s="1572">
        <f>D9/J9</f>
        <v>1.0526315789473684</v>
      </c>
    </row>
    <row r="10" spans="1:30" s="1220" customFormat="1" ht="21" thickBot="1">
      <c r="A10" s="2891"/>
      <c r="B10" s="2898" t="s">
        <v>529</v>
      </c>
      <c r="C10" s="856" t="s">
        <v>530</v>
      </c>
      <c r="D10" s="520">
        <v>100</v>
      </c>
      <c r="E10" s="525" t="s">
        <v>3303</v>
      </c>
      <c r="F10" s="522">
        <f>SUMIF(75:75,E10,76:76)-SUMIF(75:75,C10,76:76)+100</f>
        <v>105</v>
      </c>
      <c r="G10" s="525" t="s">
        <v>3301</v>
      </c>
      <c r="H10" s="520">
        <f>SUMIF(75:75,G10,76:76)-SUMIF(75:75,C10,76:76)+100</f>
        <v>100</v>
      </c>
      <c r="I10" s="525" t="s">
        <v>3303</v>
      </c>
      <c r="J10" s="520">
        <f>SUMIF(75:75,I10,76:76)-SUMIF(75:75,C10,76:76)+100</f>
        <v>105</v>
      </c>
      <c r="K10" s="524"/>
      <c r="L10" s="2135"/>
      <c r="M10" s="2132"/>
      <c r="N10" s="2132"/>
      <c r="O10" s="2136"/>
      <c r="P10" s="3499" t="s">
        <v>531</v>
      </c>
      <c r="Q10" s="3500"/>
      <c r="R10" s="1569" t="s">
        <v>8</v>
      </c>
      <c r="S10" s="1570">
        <f t="shared" si="0"/>
        <v>105</v>
      </c>
      <c r="T10" s="1569" t="s">
        <v>8</v>
      </c>
      <c r="U10" s="1570">
        <f t="shared" si="1"/>
        <v>100</v>
      </c>
      <c r="V10" s="1569" t="s">
        <v>8</v>
      </c>
      <c r="W10" s="1570">
        <f t="shared" si="2"/>
        <v>105</v>
      </c>
      <c r="X10" s="1571"/>
      <c r="Y10" s="3499" t="s">
        <v>531</v>
      </c>
      <c r="Z10" s="3500"/>
      <c r="AA10" s="1572">
        <f t="shared" ref="AA10:AA47" si="3">D10/F10</f>
        <v>0.95238095238095233</v>
      </c>
      <c r="AB10" s="1572">
        <f t="shared" ref="AB10:AB47" si="4">D10/H10</f>
        <v>1</v>
      </c>
      <c r="AC10" s="1572">
        <f t="shared" ref="AC10:AC47" si="5">D10/J10</f>
        <v>0.95238095238095233</v>
      </c>
    </row>
    <row r="11" spans="1:30" s="1220" customFormat="1" ht="20.25">
      <c r="A11" s="2892"/>
      <c r="B11" s="2899" t="s">
        <v>2753</v>
      </c>
      <c r="C11" s="2886" t="s">
        <v>921</v>
      </c>
      <c r="D11" s="254">
        <v>100</v>
      </c>
      <c r="E11" s="526" t="s">
        <v>3306</v>
      </c>
      <c r="F11" s="254">
        <f>SUMIF(77:77,E11,78:78)-SUMIF(77:77,C11,78:78)+100</f>
        <v>102</v>
      </c>
      <c r="G11" s="526" t="s">
        <v>921</v>
      </c>
      <c r="H11" s="254">
        <f>SUMIF(77:77,G11,78:78)-SUMIF(77:77,C11,78:78)+100</f>
        <v>100</v>
      </c>
      <c r="I11" s="526" t="s">
        <v>921</v>
      </c>
      <c r="J11" s="254">
        <f>SUMIF(77:77,I11,78:78)-SUMIF(77:77,C11,78:78)+100</f>
        <v>100</v>
      </c>
      <c r="K11" s="524"/>
      <c r="L11" s="2135"/>
      <c r="M11" s="2132"/>
      <c r="N11" s="2132"/>
      <c r="O11" s="2137"/>
      <c r="P11" s="3467" t="s">
        <v>533</v>
      </c>
      <c r="Q11" s="1151" t="str">
        <f t="shared" ref="Q11:Q17" si="6">B11</f>
        <v>用途</v>
      </c>
      <c r="R11" s="1569" t="s">
        <v>8</v>
      </c>
      <c r="S11" s="1570">
        <f t="shared" si="0"/>
        <v>102</v>
      </c>
      <c r="T11" s="1569" t="s">
        <v>8</v>
      </c>
      <c r="U11" s="1570">
        <f t="shared" si="1"/>
        <v>100</v>
      </c>
      <c r="V11" s="1569" t="s">
        <v>8</v>
      </c>
      <c r="W11" s="1570">
        <f t="shared" si="2"/>
        <v>100</v>
      </c>
      <c r="X11" s="1571"/>
      <c r="Y11" s="3374" t="s">
        <v>534</v>
      </c>
      <c r="Z11" s="1150" t="str">
        <f t="shared" ref="Z11:Z17" si="7">Q11</f>
        <v>用途</v>
      </c>
      <c r="AA11" s="1572">
        <f t="shared" si="3"/>
        <v>0.98039215686274506</v>
      </c>
      <c r="AB11" s="1572">
        <f t="shared" si="4"/>
        <v>1</v>
      </c>
      <c r="AC11" s="1572">
        <f t="shared" si="5"/>
        <v>1</v>
      </c>
    </row>
    <row r="12" spans="1:30" s="1338" customFormat="1" ht="27">
      <c r="A12" s="2893"/>
      <c r="B12" s="2898" t="s">
        <v>2754</v>
      </c>
      <c r="C12" s="910">
        <f>项目基本情况!D19</f>
        <v>59.79</v>
      </c>
      <c r="D12" s="255">
        <v>100</v>
      </c>
      <c r="E12" s="529" t="s">
        <v>3338</v>
      </c>
      <c r="F12" s="255">
        <f>ROUND(100/'数据-取费表'!G16,0)</f>
        <v>104</v>
      </c>
      <c r="G12" s="530" t="s">
        <v>3338</v>
      </c>
      <c r="H12" s="255">
        <f>ROUND(100/'数据-取费表'!G16,0)</f>
        <v>104</v>
      </c>
      <c r="I12" s="530" t="s">
        <v>3338</v>
      </c>
      <c r="J12" s="255">
        <f>ROUND(100/'数据-取费表'!G16,0)</f>
        <v>104</v>
      </c>
      <c r="K12" s="531"/>
      <c r="L12" s="2138"/>
      <c r="M12" s="2132"/>
      <c r="N12" s="2132"/>
      <c r="O12" s="2139"/>
      <c r="P12" s="3467"/>
      <c r="Q12" s="1151" t="str">
        <f t="shared" si="6"/>
        <v>土地使用年限（年）</v>
      </c>
      <c r="R12" s="1569" t="s">
        <v>8</v>
      </c>
      <c r="S12" s="1570">
        <f t="shared" si="0"/>
        <v>104</v>
      </c>
      <c r="T12" s="1569" t="s">
        <v>8</v>
      </c>
      <c r="U12" s="1570">
        <f t="shared" si="1"/>
        <v>104</v>
      </c>
      <c r="V12" s="1569" t="s">
        <v>8</v>
      </c>
      <c r="W12" s="1570">
        <f t="shared" si="2"/>
        <v>104</v>
      </c>
      <c r="X12" s="1571"/>
      <c r="Y12" s="3374"/>
      <c r="Z12" s="1150" t="str">
        <f t="shared" si="7"/>
        <v>土地使用年限（年）</v>
      </c>
      <c r="AA12" s="1572">
        <f t="shared" si="3"/>
        <v>0.96153846153846156</v>
      </c>
      <c r="AB12" s="1572">
        <f t="shared" si="4"/>
        <v>0.96153846153846156</v>
      </c>
      <c r="AC12" s="1572">
        <f t="shared" si="5"/>
        <v>0.96153846153846156</v>
      </c>
    </row>
    <row r="13" spans="1:30" ht="20.25">
      <c r="A13" s="2894"/>
      <c r="B13" s="2898" t="s">
        <v>2755</v>
      </c>
      <c r="C13" s="534">
        <f>'数据-汇总表'!I6</f>
        <v>2.4</v>
      </c>
      <c r="D13" s="255">
        <v>100</v>
      </c>
      <c r="E13" s="533">
        <f>土地案例!$G$3</f>
        <v>2.4500000000000002</v>
      </c>
      <c r="F13" s="255">
        <f>LOOKUP(E13,82:82,83:83)-LOOKUP(C13,82:82,83:83)+100</f>
        <v>100</v>
      </c>
      <c r="G13" s="534">
        <f>土地案例!$G$4</f>
        <v>2</v>
      </c>
      <c r="H13" s="255">
        <f>LOOKUP(G13,82:82,83:83)-LOOKUP(C13,82:82,83:83)+100</f>
        <v>100</v>
      </c>
      <c r="I13" s="533">
        <f>土地案例!$G$23</f>
        <v>2</v>
      </c>
      <c r="J13" s="255">
        <f>LOOKUP(I13,82:82,83:83)-LOOKUP(C13,82:82,83:83)+100</f>
        <v>100</v>
      </c>
      <c r="K13" s="535">
        <v>2</v>
      </c>
      <c r="L13" s="2140"/>
      <c r="M13" s="2132"/>
      <c r="N13" s="2132"/>
      <c r="O13" s="2141"/>
      <c r="P13" s="3467"/>
      <c r="Q13" s="1151" t="str">
        <f t="shared" si="6"/>
        <v>容积率</v>
      </c>
      <c r="R13" s="1569" t="s">
        <v>8</v>
      </c>
      <c r="S13" s="1570">
        <f t="shared" si="0"/>
        <v>100</v>
      </c>
      <c r="T13" s="1569" t="s">
        <v>8</v>
      </c>
      <c r="U13" s="1570">
        <f t="shared" si="1"/>
        <v>100</v>
      </c>
      <c r="V13" s="1569" t="s">
        <v>8</v>
      </c>
      <c r="W13" s="1570">
        <f t="shared" si="2"/>
        <v>100</v>
      </c>
      <c r="X13" s="1571"/>
      <c r="Y13" s="3374"/>
      <c r="Z13" s="1150" t="str">
        <f t="shared" si="7"/>
        <v>容积率</v>
      </c>
      <c r="AA13" s="1572">
        <f t="shared" si="3"/>
        <v>1</v>
      </c>
      <c r="AB13" s="1572">
        <f t="shared" si="4"/>
        <v>1</v>
      </c>
      <c r="AC13" s="1572">
        <f t="shared" si="5"/>
        <v>1</v>
      </c>
    </row>
    <row r="14" spans="1:30" s="1220" customFormat="1" ht="21" thickBot="1">
      <c r="A14" s="2891"/>
      <c r="B14" s="2900" t="s">
        <v>2756</v>
      </c>
      <c r="C14" s="2887" t="s">
        <v>3309</v>
      </c>
      <c r="D14" s="538">
        <v>100</v>
      </c>
      <c r="E14" s="1375" t="s">
        <v>3308</v>
      </c>
      <c r="F14" s="255">
        <f>SUMIF(84:84,E14,85:85)-SUMIF(84:84,C14,85:85)+100</f>
        <v>95</v>
      </c>
      <c r="G14" s="3237" t="s">
        <v>3308</v>
      </c>
      <c r="H14" s="255">
        <f>SUMIF(84:84,G14,85:85)-SUMIF(84:84,C14,85:85)+100</f>
        <v>95</v>
      </c>
      <c r="I14" s="3238" t="s">
        <v>3309</v>
      </c>
      <c r="J14" s="255">
        <f>SUMIF(84:84,I14,85:85)-SUMIF(84:84,C14,85:85)+100</f>
        <v>100</v>
      </c>
      <c r="K14" s="531"/>
      <c r="L14" s="2135"/>
      <c r="M14" s="2132"/>
      <c r="N14" s="2132"/>
      <c r="O14" s="2137"/>
      <c r="P14" s="3467"/>
      <c r="Q14" s="1151" t="str">
        <f t="shared" si="6"/>
        <v>配建</v>
      </c>
      <c r="R14" s="1569" t="s">
        <v>8</v>
      </c>
      <c r="S14" s="1570">
        <f t="shared" si="0"/>
        <v>95</v>
      </c>
      <c r="T14" s="1569" t="s">
        <v>8</v>
      </c>
      <c r="U14" s="1570">
        <f t="shared" si="1"/>
        <v>95</v>
      </c>
      <c r="V14" s="1569" t="s">
        <v>8</v>
      </c>
      <c r="W14" s="1570">
        <f t="shared" si="2"/>
        <v>100</v>
      </c>
      <c r="X14" s="1571"/>
      <c r="Y14" s="3374"/>
      <c r="Z14" s="1150" t="str">
        <f t="shared" si="7"/>
        <v>配建</v>
      </c>
      <c r="AA14" s="1572">
        <f>D14/F14</f>
        <v>1.0526315789473684</v>
      </c>
      <c r="AB14" s="1572">
        <f>D14/H14</f>
        <v>1.0526315789473684</v>
      </c>
      <c r="AC14" s="1572">
        <f>D14/J14</f>
        <v>1</v>
      </c>
    </row>
    <row r="15" spans="1:30" ht="20.25" hidden="1">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67"/>
      <c r="Q15" s="1151">
        <f t="shared" si="6"/>
        <v>111</v>
      </c>
      <c r="R15" s="1569" t="s">
        <v>8</v>
      </c>
      <c r="S15" s="1570">
        <f t="shared" si="0"/>
        <v>100</v>
      </c>
      <c r="T15" s="1569" t="s">
        <v>8</v>
      </c>
      <c r="U15" s="1570">
        <f t="shared" si="1"/>
        <v>100</v>
      </c>
      <c r="V15" s="1569" t="s">
        <v>8</v>
      </c>
      <c r="W15" s="1570">
        <f t="shared" si="2"/>
        <v>100</v>
      </c>
      <c r="X15" s="1571"/>
      <c r="Y15" s="3374"/>
      <c r="Z15" s="1150">
        <f t="shared" si="7"/>
        <v>111</v>
      </c>
      <c r="AA15" s="1572">
        <f>D15/F15</f>
        <v>1</v>
      </c>
      <c r="AB15" s="1572">
        <f>D15/H15</f>
        <v>1</v>
      </c>
      <c r="AC15" s="1572">
        <f>D15/J15</f>
        <v>1</v>
      </c>
    </row>
    <row r="16" spans="1:30" ht="21" hidden="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67"/>
      <c r="Q16" s="1151">
        <f t="shared" si="6"/>
        <v>111</v>
      </c>
      <c r="R16" s="1569" t="s">
        <v>8</v>
      </c>
      <c r="S16" s="1570">
        <f t="shared" si="0"/>
        <v>100</v>
      </c>
      <c r="T16" s="1569" t="s">
        <v>8</v>
      </c>
      <c r="U16" s="1570">
        <f t="shared" si="1"/>
        <v>100</v>
      </c>
      <c r="V16" s="1569" t="s">
        <v>8</v>
      </c>
      <c r="W16" s="1570">
        <f t="shared" si="2"/>
        <v>100</v>
      </c>
      <c r="X16" s="1571"/>
      <c r="Y16" s="3374"/>
      <c r="Z16" s="1150">
        <f t="shared" si="7"/>
        <v>111</v>
      </c>
      <c r="AA16" s="1572">
        <f>D16/F16</f>
        <v>1</v>
      </c>
      <c r="AB16" s="1572">
        <f>D16/H16</f>
        <v>1</v>
      </c>
      <c r="AC16" s="1572">
        <f>D16/J16</f>
        <v>1</v>
      </c>
    </row>
    <row r="17" spans="1:29" ht="20.25">
      <c r="A17" s="2888" t="s">
        <v>2751</v>
      </c>
      <c r="B17" s="578" t="s">
        <v>295</v>
      </c>
      <c r="C17" s="548" t="str">
        <f>估价对象房地状况!C15</f>
        <v>一般</v>
      </c>
      <c r="D17" s="551">
        <v>100</v>
      </c>
      <c r="E17" s="552"/>
      <c r="F17" s="549">
        <f>SUMIF(90:90,E18,91:91)-SUMIF(90:90,C18,91:91)+100</f>
        <v>103</v>
      </c>
      <c r="G17" s="550"/>
      <c r="H17" s="549">
        <f>SUMIF(90:90,G18,91:91)-SUMIF(90:90,C18,91:91)+100</f>
        <v>103</v>
      </c>
      <c r="I17" s="552"/>
      <c r="J17" s="549">
        <f>SUMIF(90:90,I18,91:91)-SUMIF(90:90,C18,91:91)+100</f>
        <v>103</v>
      </c>
      <c r="K17" s="535">
        <v>3</v>
      </c>
      <c r="L17" s="2142"/>
      <c r="M17" s="2132"/>
      <c r="N17" s="2132"/>
      <c r="O17" s="2141"/>
      <c r="P17" s="3502" t="s">
        <v>538</v>
      </c>
      <c r="Q17" s="1573" t="str">
        <f t="shared" si="6"/>
        <v>居住社区成熟度</v>
      </c>
      <c r="R17" s="1574" t="s">
        <v>8</v>
      </c>
      <c r="S17" s="1575">
        <f t="shared" si="0"/>
        <v>103</v>
      </c>
      <c r="T17" s="1574" t="s">
        <v>8</v>
      </c>
      <c r="U17" s="1575">
        <f t="shared" si="1"/>
        <v>103</v>
      </c>
      <c r="V17" s="1574" t="s">
        <v>8</v>
      </c>
      <c r="W17" s="1575">
        <f t="shared" si="2"/>
        <v>103</v>
      </c>
      <c r="X17" s="1568"/>
      <c r="Y17" s="3502" t="s">
        <v>538</v>
      </c>
      <c r="Z17" s="1576" t="str">
        <f t="shared" si="7"/>
        <v>居住社区成熟度</v>
      </c>
      <c r="AA17" s="1577">
        <f t="shared" si="3"/>
        <v>0.970873786407767</v>
      </c>
      <c r="AB17" s="1577">
        <f t="shared" si="4"/>
        <v>0.970873786407767</v>
      </c>
      <c r="AC17" s="1577">
        <f t="shared" si="5"/>
        <v>0.970873786407767</v>
      </c>
    </row>
    <row r="18" spans="1:29" ht="20.25">
      <c r="A18" s="532"/>
      <c r="B18" s="553"/>
      <c r="C18" s="554" t="s">
        <v>3332</v>
      </c>
      <c r="D18" s="557"/>
      <c r="E18" s="558" t="s">
        <v>3330</v>
      </c>
      <c r="F18" s="555"/>
      <c r="G18" s="556" t="s">
        <v>3330</v>
      </c>
      <c r="H18" s="559"/>
      <c r="I18" s="558" t="s">
        <v>3330</v>
      </c>
      <c r="J18" s="555"/>
      <c r="K18" s="531"/>
      <c r="L18" s="2142"/>
      <c r="M18" s="2132"/>
      <c r="N18" s="2132"/>
      <c r="O18" s="2141"/>
      <c r="P18" s="3503"/>
      <c r="Q18" s="1573"/>
      <c r="R18" s="1574"/>
      <c r="S18" s="1575"/>
      <c r="T18" s="1574"/>
      <c r="U18" s="1575"/>
      <c r="V18" s="1574"/>
      <c r="W18" s="1575"/>
      <c r="X18" s="1568"/>
      <c r="Y18" s="3503"/>
      <c r="Z18" s="1576"/>
      <c r="AA18" s="1577">
        <v>1</v>
      </c>
      <c r="AB18" s="1577">
        <v>1</v>
      </c>
      <c r="AC18" s="1577">
        <v>1</v>
      </c>
    </row>
    <row r="19" spans="1:29" ht="20.25" hidden="1">
      <c r="A19" s="532"/>
      <c r="B19" s="560" t="s">
        <v>539</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503"/>
      <c r="Q19" s="1573" t="str">
        <f>B19</f>
        <v>商业繁华度</v>
      </c>
      <c r="R19" s="1574" t="s">
        <v>8</v>
      </c>
      <c r="S19" s="1575">
        <f>F19</f>
        <v>100</v>
      </c>
      <c r="T19" s="1574" t="s">
        <v>8</v>
      </c>
      <c r="U19" s="1575">
        <f>H19</f>
        <v>100</v>
      </c>
      <c r="V19" s="1574" t="s">
        <v>8</v>
      </c>
      <c r="W19" s="1575">
        <f>J19</f>
        <v>100</v>
      </c>
      <c r="X19" s="1568"/>
      <c r="Y19" s="3503"/>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2"/>
      <c r="M20" s="2132"/>
      <c r="N20" s="2132"/>
      <c r="O20" s="2141"/>
      <c r="P20" s="3503"/>
      <c r="Q20" s="1573"/>
      <c r="R20" s="1574"/>
      <c r="S20" s="1575"/>
      <c r="T20" s="1574"/>
      <c r="U20" s="1575"/>
      <c r="V20" s="1574"/>
      <c r="W20" s="1575"/>
      <c r="X20" s="1568"/>
      <c r="Y20" s="3503"/>
      <c r="Z20" s="1576"/>
      <c r="AA20" s="1577">
        <v>1</v>
      </c>
      <c r="AB20" s="1577">
        <v>1</v>
      </c>
      <c r="AC20" s="1577">
        <v>1</v>
      </c>
    </row>
    <row r="21" spans="1:29" ht="20.25" hidden="1">
      <c r="A21" s="532"/>
      <c r="B21" s="560" t="s">
        <v>540</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503"/>
      <c r="Q21" s="1573" t="str">
        <f>B21</f>
        <v>办公集聚程度</v>
      </c>
      <c r="R21" s="1574" t="s">
        <v>8</v>
      </c>
      <c r="S21" s="1575">
        <f>F21</f>
        <v>100</v>
      </c>
      <c r="T21" s="1574" t="s">
        <v>8</v>
      </c>
      <c r="U21" s="1575">
        <f>H21</f>
        <v>100</v>
      </c>
      <c r="V21" s="1574" t="s">
        <v>8</v>
      </c>
      <c r="W21" s="1575">
        <f>J21</f>
        <v>100</v>
      </c>
      <c r="X21" s="1568"/>
      <c r="Y21" s="3503"/>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503"/>
      <c r="Q22" s="1573"/>
      <c r="R22" s="1574"/>
      <c r="S22" s="1575"/>
      <c r="T22" s="1574"/>
      <c r="U22" s="1575"/>
      <c r="V22" s="1574"/>
      <c r="W22" s="1575"/>
      <c r="X22" s="1568"/>
      <c r="Y22" s="3503"/>
      <c r="Z22" s="1576"/>
      <c r="AA22" s="1577">
        <v>1</v>
      </c>
      <c r="AB22" s="1577">
        <v>1</v>
      </c>
      <c r="AC22" s="1577">
        <v>1</v>
      </c>
    </row>
    <row r="23" spans="1:29" ht="20.25">
      <c r="A23" s="532"/>
      <c r="B23" s="560" t="s">
        <v>541</v>
      </c>
      <c r="C23" s="573" t="str">
        <f>估价对象房地状况!C18</f>
        <v>一般</v>
      </c>
      <c r="D23" s="563">
        <v>100</v>
      </c>
      <c r="E23" s="564"/>
      <c r="F23" s="565">
        <f>SUMIF(96:96,E24,97:97)-SUMIF(96:96,C24,97:97)+100</f>
        <v>102</v>
      </c>
      <c r="G23" s="562"/>
      <c r="H23" s="559">
        <f>SUMIF(96:96,G24,97:97)-SUMIF(96:96,C24,97:97)+100</f>
        <v>102</v>
      </c>
      <c r="I23" s="564"/>
      <c r="J23" s="559">
        <f>SUMIF(96:96,I24,97:97)-SUMIF(96:96,C24,97:97)+100</f>
        <v>102</v>
      </c>
      <c r="K23" s="535">
        <v>2</v>
      </c>
      <c r="L23" s="2142"/>
      <c r="M23" s="2132"/>
      <c r="N23" s="2132"/>
      <c r="O23" s="2141"/>
      <c r="P23" s="3503"/>
      <c r="Q23" s="1573" t="str">
        <f>B23</f>
        <v>交通便捷度</v>
      </c>
      <c r="R23" s="1574" t="s">
        <v>8</v>
      </c>
      <c r="S23" s="1575">
        <f>F23</f>
        <v>102</v>
      </c>
      <c r="T23" s="1574" t="s">
        <v>8</v>
      </c>
      <c r="U23" s="1575">
        <f>H23</f>
        <v>102</v>
      </c>
      <c r="V23" s="1574" t="s">
        <v>8</v>
      </c>
      <c r="W23" s="1575">
        <f>J23</f>
        <v>102</v>
      </c>
      <c r="X23" s="1568"/>
      <c r="Y23" s="3503"/>
      <c r="Z23" s="1576" t="str">
        <f>Q23</f>
        <v>交通便捷度</v>
      </c>
      <c r="AA23" s="1577">
        <f t="shared" si="3"/>
        <v>0.98039215686274506</v>
      </c>
      <c r="AB23" s="1577">
        <f t="shared" si="4"/>
        <v>0.98039215686274506</v>
      </c>
      <c r="AC23" s="1577">
        <f t="shared" si="5"/>
        <v>0.98039215686274506</v>
      </c>
    </row>
    <row r="24" spans="1:29" ht="20.25">
      <c r="A24" s="532"/>
      <c r="B24" s="578"/>
      <c r="C24" s="554" t="s">
        <v>3332</v>
      </c>
      <c r="D24" s="557"/>
      <c r="E24" s="558" t="s">
        <v>3330</v>
      </c>
      <c r="F24" s="555"/>
      <c r="G24" s="556" t="s">
        <v>3330</v>
      </c>
      <c r="H24" s="555"/>
      <c r="I24" s="558" t="s">
        <v>3330</v>
      </c>
      <c r="J24" s="555"/>
      <c r="K24" s="531"/>
      <c r="L24" s="2142"/>
      <c r="M24" s="2132"/>
      <c r="N24" s="2132"/>
      <c r="O24" s="2141"/>
      <c r="P24" s="3503"/>
      <c r="Q24" s="1573"/>
      <c r="R24" s="1574"/>
      <c r="S24" s="1575"/>
      <c r="T24" s="1574"/>
      <c r="U24" s="1575"/>
      <c r="V24" s="1574"/>
      <c r="W24" s="1575"/>
      <c r="X24" s="1568"/>
      <c r="Y24" s="3503"/>
      <c r="Z24" s="1576"/>
      <c r="AA24" s="1577">
        <v>1</v>
      </c>
      <c r="AB24" s="1577">
        <v>1</v>
      </c>
      <c r="AC24" s="1577">
        <v>1</v>
      </c>
    </row>
    <row r="25" spans="1:29" ht="27">
      <c r="A25" s="515"/>
      <c r="B25" s="259" t="s">
        <v>542</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503"/>
      <c r="Q25" s="1573" t="str">
        <f t="shared" ref="Q25:Q39" si="8">B25</f>
        <v>区域土地利用方向</v>
      </c>
      <c r="R25" s="1574" t="s">
        <v>8</v>
      </c>
      <c r="S25" s="1575">
        <f>F25</f>
        <v>100</v>
      </c>
      <c r="T25" s="1574" t="s">
        <v>8</v>
      </c>
      <c r="U25" s="1575">
        <f>H25</f>
        <v>100</v>
      </c>
      <c r="V25" s="1574" t="s">
        <v>8</v>
      </c>
      <c r="W25" s="1575">
        <f>J25</f>
        <v>100</v>
      </c>
      <c r="X25" s="1568"/>
      <c r="Y25" s="3503"/>
      <c r="Z25" s="1576" t="str">
        <f>Q25</f>
        <v>区域土地利用方向</v>
      </c>
      <c r="AA25" s="1577">
        <f t="shared" si="3"/>
        <v>1</v>
      </c>
      <c r="AB25" s="1577">
        <f t="shared" si="4"/>
        <v>1</v>
      </c>
      <c r="AC25" s="1577">
        <f t="shared" si="5"/>
        <v>1</v>
      </c>
    </row>
    <row r="26" spans="1:29" ht="20.25">
      <c r="A26" s="515"/>
      <c r="B26" s="1007"/>
      <c r="C26" s="554" t="s">
        <v>3330</v>
      </c>
      <c r="D26" s="557"/>
      <c r="E26" s="558" t="s">
        <v>3330</v>
      </c>
      <c r="F26" s="555"/>
      <c r="G26" s="556" t="s">
        <v>3330</v>
      </c>
      <c r="H26" s="555"/>
      <c r="I26" s="558" t="s">
        <v>3330</v>
      </c>
      <c r="J26" s="555"/>
      <c r="K26" s="531"/>
      <c r="L26" s="2142"/>
      <c r="M26" s="2132"/>
      <c r="N26" s="2132"/>
      <c r="O26" s="2141"/>
      <c r="P26" s="3503"/>
      <c r="Q26" s="1573"/>
      <c r="R26" s="1574"/>
      <c r="S26" s="1575"/>
      <c r="T26" s="1574"/>
      <c r="U26" s="1575"/>
      <c r="V26" s="1574"/>
      <c r="W26" s="1575"/>
      <c r="X26" s="1568"/>
      <c r="Y26" s="3503"/>
      <c r="Z26" s="1576"/>
      <c r="AA26" s="1577"/>
      <c r="AB26" s="1577"/>
      <c r="AC26" s="1577"/>
    </row>
    <row r="27" spans="1:29" ht="28.5">
      <c r="A27" s="515"/>
      <c r="B27" s="578" t="s">
        <v>543</v>
      </c>
      <c r="C27" s="561" t="str">
        <f>估价对象房地状况!C20</f>
        <v>自然较好，人文较差，总体一般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503"/>
      <c r="Q27" s="1573" t="str">
        <f t="shared" si="8"/>
        <v>自然及人文环境状况</v>
      </c>
      <c r="R27" s="1574" t="s">
        <v>8</v>
      </c>
      <c r="S27" s="1575">
        <f>F27</f>
        <v>102</v>
      </c>
      <c r="T27" s="1574" t="s">
        <v>8</v>
      </c>
      <c r="U27" s="1575">
        <f>H27</f>
        <v>102</v>
      </c>
      <c r="V27" s="1574" t="s">
        <v>8</v>
      </c>
      <c r="W27" s="1575">
        <f>J27</f>
        <v>102</v>
      </c>
      <c r="X27" s="1568"/>
      <c r="Y27" s="3503"/>
      <c r="Z27" s="1576" t="str">
        <f>Q27</f>
        <v>自然及人文环境状况</v>
      </c>
      <c r="AA27" s="1577">
        <f t="shared" si="3"/>
        <v>0.98039215686274506</v>
      </c>
      <c r="AB27" s="1577">
        <f t="shared" si="4"/>
        <v>0.98039215686274506</v>
      </c>
      <c r="AC27" s="1577">
        <f t="shared" si="5"/>
        <v>0.98039215686274506</v>
      </c>
    </row>
    <row r="28" spans="1:29" ht="20.25">
      <c r="A28" s="515"/>
      <c r="B28" s="566"/>
      <c r="C28" s="554" t="s">
        <v>3332</v>
      </c>
      <c r="D28" s="557"/>
      <c r="E28" s="576" t="s">
        <v>3330</v>
      </c>
      <c r="F28" s="555"/>
      <c r="G28" s="554" t="s">
        <v>3330</v>
      </c>
      <c r="H28" s="555"/>
      <c r="I28" s="576" t="s">
        <v>3330</v>
      </c>
      <c r="J28" s="555"/>
      <c r="K28" s="531"/>
      <c r="L28" s="2142"/>
      <c r="M28" s="2132"/>
      <c r="N28" s="2132"/>
      <c r="O28" s="2141"/>
      <c r="P28" s="3503"/>
      <c r="Q28" s="1573"/>
      <c r="R28" s="1574"/>
      <c r="S28" s="1575"/>
      <c r="T28" s="1574"/>
      <c r="U28" s="1575"/>
      <c r="V28" s="1574"/>
      <c r="W28" s="1575"/>
      <c r="X28" s="1568"/>
      <c r="Y28" s="3503"/>
      <c r="Z28" s="1576"/>
      <c r="AA28" s="1577">
        <v>1</v>
      </c>
      <c r="AB28" s="1577">
        <v>1</v>
      </c>
      <c r="AC28" s="1577">
        <v>1</v>
      </c>
    </row>
    <row r="29" spans="1:29" s="1220" customFormat="1" ht="20.25">
      <c r="A29" s="577"/>
      <c r="B29" s="2570" t="s">
        <v>2545</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5"/>
      <c r="M29" s="2132"/>
      <c r="N29" s="2132"/>
      <c r="O29" s="2137"/>
      <c r="P29" s="3503"/>
      <c r="Q29" s="1151" t="str">
        <f t="shared" si="8"/>
        <v>公共配套设施</v>
      </c>
      <c r="R29" s="1569" t="s">
        <v>8</v>
      </c>
      <c r="S29" s="1570">
        <f>F29</f>
        <v>102</v>
      </c>
      <c r="T29" s="1569" t="s">
        <v>8</v>
      </c>
      <c r="U29" s="1570">
        <f>H29</f>
        <v>102</v>
      </c>
      <c r="V29" s="1569" t="s">
        <v>8</v>
      </c>
      <c r="W29" s="1570">
        <f>J29</f>
        <v>102</v>
      </c>
      <c r="X29" s="1571"/>
      <c r="Y29" s="3503"/>
      <c r="Z29" s="1150" t="str">
        <f>Q29</f>
        <v>公共配套设施</v>
      </c>
      <c r="AA29" s="1577">
        <f>D29/F29</f>
        <v>0.98039215686274506</v>
      </c>
      <c r="AB29" s="1577">
        <f>D29/H29</f>
        <v>0.98039215686274506</v>
      </c>
      <c r="AC29" s="1577">
        <f>D29/J29</f>
        <v>0.98039215686274506</v>
      </c>
    </row>
    <row r="30" spans="1:29" s="1220" customFormat="1" ht="20.25">
      <c r="A30" s="577"/>
      <c r="B30" s="566"/>
      <c r="C30" s="579" t="s">
        <v>3332</v>
      </c>
      <c r="D30" s="557"/>
      <c r="E30" s="576" t="s">
        <v>3330</v>
      </c>
      <c r="F30" s="555"/>
      <c r="G30" s="554" t="s">
        <v>3330</v>
      </c>
      <c r="H30" s="555"/>
      <c r="I30" s="576" t="s">
        <v>3330</v>
      </c>
      <c r="J30" s="555"/>
      <c r="K30" s="531"/>
      <c r="L30" s="2135"/>
      <c r="M30" s="2132"/>
      <c r="N30" s="2132"/>
      <c r="O30" s="2137"/>
      <c r="P30" s="3503"/>
      <c r="Q30" s="1151"/>
      <c r="R30" s="1569"/>
      <c r="S30" s="1570"/>
      <c r="T30" s="1569"/>
      <c r="U30" s="1570"/>
      <c r="V30" s="1569"/>
      <c r="W30" s="1570"/>
      <c r="X30" s="1571"/>
      <c r="Y30" s="3503"/>
      <c r="Z30" s="1150"/>
      <c r="AA30" s="1577">
        <v>1</v>
      </c>
      <c r="AB30" s="1577">
        <v>1</v>
      </c>
      <c r="AC30" s="1577">
        <v>1</v>
      </c>
    </row>
    <row r="31" spans="1:29" s="1220" customFormat="1" ht="20.25">
      <c r="A31" s="577"/>
      <c r="B31" s="2570"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503"/>
      <c r="Q31" s="2557" t="str">
        <f t="shared" ref="Q31" si="9">B31</f>
        <v>基础设施水平</v>
      </c>
      <c r="R31" s="1569" t="s">
        <v>8</v>
      </c>
      <c r="S31" s="1570">
        <f>F31</f>
        <v>100</v>
      </c>
      <c r="T31" s="1569" t="s">
        <v>8</v>
      </c>
      <c r="U31" s="1570">
        <f>H31</f>
        <v>100</v>
      </c>
      <c r="V31" s="1569" t="s">
        <v>8</v>
      </c>
      <c r="W31" s="1570">
        <f>J31</f>
        <v>100</v>
      </c>
      <c r="X31" s="1571"/>
      <c r="Y31" s="3503"/>
      <c r="Z31" s="2554" t="str">
        <f>Q31</f>
        <v>基础设施水平</v>
      </c>
      <c r="AA31" s="1577">
        <f>D31/F31</f>
        <v>1</v>
      </c>
      <c r="AB31" s="1577">
        <f>D31/H31</f>
        <v>1</v>
      </c>
      <c r="AC31" s="1577">
        <f>D31/J31</f>
        <v>1</v>
      </c>
    </row>
    <row r="32" spans="1:29" s="1220" customFormat="1" ht="20.25">
      <c r="A32" s="577"/>
      <c r="B32" s="566"/>
      <c r="C32" s="579" t="s">
        <v>3323</v>
      </c>
      <c r="D32" s="557"/>
      <c r="E32" s="2571" t="s">
        <v>3323</v>
      </c>
      <c r="F32" s="555"/>
      <c r="G32" s="579" t="s">
        <v>3323</v>
      </c>
      <c r="H32" s="555"/>
      <c r="I32" s="579" t="s">
        <v>3323</v>
      </c>
      <c r="J32" s="555"/>
      <c r="K32" s="531"/>
      <c r="L32" s="2135"/>
      <c r="M32" s="2132"/>
      <c r="N32" s="2132"/>
      <c r="O32" s="2137"/>
      <c r="P32" s="3503"/>
      <c r="Q32" s="2557"/>
      <c r="R32" s="1569"/>
      <c r="S32" s="1570"/>
      <c r="T32" s="1569"/>
      <c r="U32" s="1570"/>
      <c r="V32" s="1569"/>
      <c r="W32" s="1570"/>
      <c r="X32" s="1571"/>
      <c r="Y32" s="3503"/>
      <c r="Z32" s="2554"/>
      <c r="AA32" s="1577">
        <v>1</v>
      </c>
      <c r="AB32" s="1577">
        <v>1</v>
      </c>
      <c r="AC32" s="1577">
        <v>1</v>
      </c>
    </row>
    <row r="33" spans="1:29" ht="20.25">
      <c r="A33" s="532"/>
      <c r="B33" s="566" t="s">
        <v>545</v>
      </c>
      <c r="C33" s="580" t="s">
        <v>3157</v>
      </c>
      <c r="D33" s="575">
        <v>100</v>
      </c>
      <c r="E33" s="583" t="s">
        <v>3157</v>
      </c>
      <c r="F33" s="540">
        <f>SUMIF(106:106,E33,107:107)-SUMIF(106:106,C33,107:107)+100</f>
        <v>100</v>
      </c>
      <c r="G33" s="580" t="s">
        <v>3344</v>
      </c>
      <c r="H33" s="540">
        <f>SUMIF(106:106,G33,107:107)-SUMIF(106:106,C33,107:107)+100</f>
        <v>98</v>
      </c>
      <c r="I33" s="580" t="s">
        <v>3157</v>
      </c>
      <c r="J33" s="540">
        <f>SUMIF(106:106,I33,107:107)-SUMIF(106:106,C33,107:107)+100</f>
        <v>100</v>
      </c>
      <c r="K33" s="535">
        <v>2</v>
      </c>
      <c r="L33" s="2142"/>
      <c r="M33" s="2132"/>
      <c r="N33" s="2132"/>
      <c r="O33" s="2141"/>
      <c r="P33" s="3503"/>
      <c r="Q33" s="1573" t="str">
        <f t="shared" si="8"/>
        <v>临街状况</v>
      </c>
      <c r="R33" s="1574" t="s">
        <v>8</v>
      </c>
      <c r="S33" s="1575">
        <f t="shared" ref="S33:S47" si="10">F33</f>
        <v>100</v>
      </c>
      <c r="T33" s="1574" t="s">
        <v>8</v>
      </c>
      <c r="U33" s="1575">
        <f t="shared" ref="U33:U47" si="11">H33</f>
        <v>98</v>
      </c>
      <c r="V33" s="1574" t="s">
        <v>8</v>
      </c>
      <c r="W33" s="1575">
        <f t="shared" ref="W33:W47" si="12">J33</f>
        <v>100</v>
      </c>
      <c r="X33" s="1568"/>
      <c r="Y33" s="3503"/>
      <c r="Z33" s="1576" t="str">
        <f t="shared" ref="Z33:Z47" si="13">Q33</f>
        <v>临街状况</v>
      </c>
      <c r="AA33" s="1577">
        <f t="shared" si="3"/>
        <v>1</v>
      </c>
      <c r="AB33" s="1577">
        <f t="shared" si="4"/>
        <v>1.0204081632653061</v>
      </c>
      <c r="AC33" s="1577">
        <f t="shared" si="5"/>
        <v>1</v>
      </c>
    </row>
    <row r="34" spans="1:29" ht="27">
      <c r="A34" s="532"/>
      <c r="B34" s="578" t="s">
        <v>546</v>
      </c>
      <c r="C34" s="562"/>
      <c r="D34" s="563">
        <v>100</v>
      </c>
      <c r="E34" s="564"/>
      <c r="F34" s="559">
        <f>SUMIF(108:108,E35,109:109)-SUMIF(108:108,C35,109:109)+100</f>
        <v>102</v>
      </c>
      <c r="G34" s="562"/>
      <c r="H34" s="559">
        <f>SUMIF(108:108,G35,109:109)-SUMIF(108:108,C35,109:109)+100</f>
        <v>100</v>
      </c>
      <c r="I34" s="564"/>
      <c r="J34" s="559">
        <f>SUMIF(108:108,I35,109:109)-SUMIF(108:108,C35,109:109)+100</f>
        <v>104</v>
      </c>
      <c r="K34" s="535">
        <v>2</v>
      </c>
      <c r="L34" s="2142"/>
      <c r="M34" s="2132"/>
      <c r="N34" s="2132"/>
      <c r="O34" s="2141"/>
      <c r="P34" s="3503"/>
      <c r="Q34" s="1573" t="str">
        <f t="shared" si="8"/>
        <v>毗邻道路的类型与等级</v>
      </c>
      <c r="R34" s="1574" t="s">
        <v>8</v>
      </c>
      <c r="S34" s="1575">
        <f t="shared" si="10"/>
        <v>102</v>
      </c>
      <c r="T34" s="1574" t="s">
        <v>8</v>
      </c>
      <c r="U34" s="1575">
        <f t="shared" si="11"/>
        <v>100</v>
      </c>
      <c r="V34" s="1574" t="s">
        <v>8</v>
      </c>
      <c r="W34" s="1575">
        <f t="shared" si="12"/>
        <v>104</v>
      </c>
      <c r="X34" s="1568"/>
      <c r="Y34" s="3503"/>
      <c r="Z34" s="1576" t="str">
        <f t="shared" si="13"/>
        <v>毗邻道路的类型与等级</v>
      </c>
      <c r="AA34" s="1577">
        <f t="shared" si="3"/>
        <v>0.98039215686274506</v>
      </c>
      <c r="AB34" s="1577">
        <f t="shared" si="4"/>
        <v>1</v>
      </c>
      <c r="AC34" s="1577">
        <f t="shared" si="5"/>
        <v>0.96153846153846156</v>
      </c>
    </row>
    <row r="35" spans="1:29" ht="21" thickBot="1">
      <c r="A35" s="532"/>
      <c r="B35" s="566"/>
      <c r="C35" s="554" t="s">
        <v>3314</v>
      </c>
      <c r="D35" s="557"/>
      <c r="E35" s="576" t="s">
        <v>3312</v>
      </c>
      <c r="F35" s="555"/>
      <c r="G35" s="554" t="s">
        <v>3314</v>
      </c>
      <c r="H35" s="555"/>
      <c r="I35" s="576" t="s">
        <v>3310</v>
      </c>
      <c r="J35" s="555"/>
      <c r="K35" s="581"/>
      <c r="L35" s="2142"/>
      <c r="M35" s="2132"/>
      <c r="N35" s="2132"/>
      <c r="O35" s="2141"/>
      <c r="P35" s="3503"/>
      <c r="Q35" s="1573"/>
      <c r="R35" s="1574"/>
      <c r="S35" s="1575"/>
      <c r="T35" s="1574"/>
      <c r="U35" s="1575"/>
      <c r="V35" s="1574"/>
      <c r="W35" s="1575"/>
      <c r="X35" s="1568"/>
      <c r="Y35" s="3503"/>
      <c r="Z35" s="1576"/>
      <c r="AA35" s="1577">
        <v>1</v>
      </c>
      <c r="AB35" s="1577">
        <v>1</v>
      </c>
      <c r="AC35" s="1577">
        <v>1</v>
      </c>
    </row>
    <row r="36" spans="1:29" ht="20.25" hidden="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503"/>
      <c r="Q36" s="1573" t="str">
        <f t="shared" si="8"/>
        <v>土地级别</v>
      </c>
      <c r="R36" s="1574" t="s">
        <v>8</v>
      </c>
      <c r="S36" s="1575">
        <f t="shared" si="10"/>
        <v>100</v>
      </c>
      <c r="T36" s="1574" t="s">
        <v>8</v>
      </c>
      <c r="U36" s="1575">
        <f t="shared" si="11"/>
        <v>100</v>
      </c>
      <c r="V36" s="1574" t="s">
        <v>8</v>
      </c>
      <c r="W36" s="1575">
        <f t="shared" si="12"/>
        <v>100</v>
      </c>
      <c r="X36" s="1568"/>
      <c r="Y36" s="3503"/>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503"/>
      <c r="Q37" s="1573">
        <f t="shared" si="8"/>
        <v>111</v>
      </c>
      <c r="R37" s="1574" t="s">
        <v>8</v>
      </c>
      <c r="S37" s="1575">
        <f t="shared" si="10"/>
        <v>100</v>
      </c>
      <c r="T37" s="1574" t="s">
        <v>8</v>
      </c>
      <c r="U37" s="1575">
        <f t="shared" si="11"/>
        <v>100</v>
      </c>
      <c r="V37" s="1574" t="s">
        <v>8</v>
      </c>
      <c r="W37" s="1575">
        <f t="shared" si="12"/>
        <v>100</v>
      </c>
      <c r="X37" s="1568"/>
      <c r="Y37" s="3503"/>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504" t="s">
        <v>548</v>
      </c>
      <c r="Q38" s="1573">
        <f t="shared" si="8"/>
        <v>111</v>
      </c>
      <c r="R38" s="1574" t="s">
        <v>8</v>
      </c>
      <c r="S38" s="1575">
        <f t="shared" si="10"/>
        <v>100</v>
      </c>
      <c r="T38" s="1574" t="s">
        <v>8</v>
      </c>
      <c r="U38" s="1575">
        <f t="shared" si="11"/>
        <v>100</v>
      </c>
      <c r="V38" s="1574" t="s">
        <v>8</v>
      </c>
      <c r="W38" s="1575">
        <f t="shared" si="12"/>
        <v>100</v>
      </c>
      <c r="X38" s="1568"/>
      <c r="Y38" s="3505" t="s">
        <v>548</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505"/>
      <c r="Q39" s="1573">
        <f t="shared" si="8"/>
        <v>111</v>
      </c>
      <c r="R39" s="1578" t="s">
        <v>8</v>
      </c>
      <c r="S39" s="1579">
        <f t="shared" si="10"/>
        <v>100</v>
      </c>
      <c r="T39" s="1578" t="s">
        <v>8</v>
      </c>
      <c r="U39" s="1579">
        <f t="shared" si="11"/>
        <v>100</v>
      </c>
      <c r="V39" s="1578" t="s">
        <v>8</v>
      </c>
      <c r="W39" s="1579">
        <f t="shared" si="12"/>
        <v>100</v>
      </c>
      <c r="X39" s="1580"/>
      <c r="Y39" s="3505"/>
      <c r="Z39" s="1581">
        <f t="shared" si="13"/>
        <v>111</v>
      </c>
      <c r="AA39" s="1577">
        <f t="shared" si="3"/>
        <v>1</v>
      </c>
      <c r="AB39" s="1577">
        <f t="shared" si="4"/>
        <v>1</v>
      </c>
      <c r="AC39" s="1577">
        <f t="shared" si="5"/>
        <v>1</v>
      </c>
    </row>
    <row r="40" spans="1:29" ht="20.25">
      <c r="A40" s="2885" t="s">
        <v>2752</v>
      </c>
      <c r="B40" s="595" t="s">
        <v>550</v>
      </c>
      <c r="C40" s="596">
        <f>'数据-基础表'!A3</f>
        <v>73464.09</v>
      </c>
      <c r="D40" s="597">
        <v>100</v>
      </c>
      <c r="E40" s="596">
        <f>土地案例!$D$3</f>
        <v>62169.78</v>
      </c>
      <c r="F40" s="597">
        <f>LOOKUP(E40,119:119,120:120)-LOOKUP(C40,119:119,120:120)+100</f>
        <v>100</v>
      </c>
      <c r="G40" s="596">
        <f>土地案例!$D$4</f>
        <v>38628.6</v>
      </c>
      <c r="H40" s="597">
        <f>LOOKUP(G40,119:119,120:120)-LOOKUP(C40,119:119,120:120)+100</f>
        <v>96</v>
      </c>
      <c r="I40" s="598">
        <f>土地案例!$D$23</f>
        <v>44977.78</v>
      </c>
      <c r="J40" s="597">
        <f>LOOKUP(I40,119:119,120:120)-LOOKUP(C40,119:119,120:120)+100</f>
        <v>98</v>
      </c>
      <c r="K40" s="581"/>
      <c r="L40" s="2142"/>
      <c r="M40" s="2132"/>
      <c r="N40" s="2132"/>
      <c r="O40" s="2141"/>
      <c r="P40" s="3505"/>
      <c r="Q40" s="1573" t="str">
        <f>B40</f>
        <v>宗地面积</v>
      </c>
      <c r="R40" s="1574" t="s">
        <v>8</v>
      </c>
      <c r="S40" s="1575">
        <f t="shared" si="10"/>
        <v>100</v>
      </c>
      <c r="T40" s="1574" t="s">
        <v>8</v>
      </c>
      <c r="U40" s="1575">
        <f t="shared" si="11"/>
        <v>96</v>
      </c>
      <c r="V40" s="1574" t="s">
        <v>8</v>
      </c>
      <c r="W40" s="1575">
        <f t="shared" si="12"/>
        <v>98</v>
      </c>
      <c r="X40" s="1568"/>
      <c r="Y40" s="3505"/>
      <c r="Z40" s="1576" t="str">
        <f t="shared" si="13"/>
        <v>宗地面积</v>
      </c>
      <c r="AA40" s="1577">
        <f t="shared" si="3"/>
        <v>1</v>
      </c>
      <c r="AB40" s="1577">
        <f t="shared" si="4"/>
        <v>1.0416666666666667</v>
      </c>
      <c r="AC40" s="1577">
        <f t="shared" si="5"/>
        <v>1.0204081632653061</v>
      </c>
    </row>
    <row r="41" spans="1:29" ht="20.25">
      <c r="A41" s="594"/>
      <c r="B41" s="527" t="s">
        <v>551</v>
      </c>
      <c r="C41" s="599" t="s">
        <v>3318</v>
      </c>
      <c r="D41" s="540">
        <v>100</v>
      </c>
      <c r="E41" s="599" t="s">
        <v>3316</v>
      </c>
      <c r="F41" s="540">
        <f>SUMIF(121:121,E41,122:122)-SUMIF(121:121,C41,122:122)+100</f>
        <v>102</v>
      </c>
      <c r="G41" s="599" t="s">
        <v>3320</v>
      </c>
      <c r="H41" s="540">
        <f>SUMIF(121:121,G41,122:122)-SUMIF(121:121,C41,122:122)+100</f>
        <v>98</v>
      </c>
      <c r="I41" s="599" t="s">
        <v>3318</v>
      </c>
      <c r="J41" s="540">
        <f>SUMIF(121:121,I41,122:122)-SUMIF(121:121,C41,122:122)+100</f>
        <v>100</v>
      </c>
      <c r="K41" s="584">
        <v>2</v>
      </c>
      <c r="L41" s="2142"/>
      <c r="M41" s="2132"/>
      <c r="N41" s="2132"/>
      <c r="O41" s="2141"/>
      <c r="P41" s="3505"/>
      <c r="Q41" s="1573" t="str">
        <f t="shared" ref="Q41:Q47" si="14">B41</f>
        <v>宗地形状</v>
      </c>
      <c r="R41" s="1574" t="s">
        <v>8</v>
      </c>
      <c r="S41" s="1575">
        <f t="shared" si="10"/>
        <v>102</v>
      </c>
      <c r="T41" s="1574" t="s">
        <v>8</v>
      </c>
      <c r="U41" s="1575">
        <f t="shared" si="11"/>
        <v>98</v>
      </c>
      <c r="V41" s="1574" t="s">
        <v>8</v>
      </c>
      <c r="W41" s="1575">
        <f t="shared" si="12"/>
        <v>100</v>
      </c>
      <c r="X41" s="1568"/>
      <c r="Y41" s="3505"/>
      <c r="Z41" s="1576" t="str">
        <f t="shared" si="13"/>
        <v>宗地形状</v>
      </c>
      <c r="AA41" s="1577">
        <f t="shared" si="3"/>
        <v>0.98039215686274506</v>
      </c>
      <c r="AB41" s="1577">
        <f t="shared" si="4"/>
        <v>1.0204081632653061</v>
      </c>
      <c r="AC41" s="1577">
        <f t="shared" si="5"/>
        <v>1</v>
      </c>
    </row>
    <row r="42" spans="1:29" ht="20.25" hidden="1">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505"/>
      <c r="Q42" s="1573" t="str">
        <f t="shared" si="14"/>
        <v>临街宽度及深度</v>
      </c>
      <c r="R42" s="1574" t="s">
        <v>8</v>
      </c>
      <c r="S42" s="1575">
        <f t="shared" si="10"/>
        <v>100</v>
      </c>
      <c r="T42" s="1574" t="s">
        <v>8</v>
      </c>
      <c r="U42" s="1575">
        <f t="shared" si="11"/>
        <v>100</v>
      </c>
      <c r="V42" s="1574" t="s">
        <v>8</v>
      </c>
      <c r="W42" s="1575">
        <f t="shared" si="12"/>
        <v>100</v>
      </c>
      <c r="X42" s="1568"/>
      <c r="Y42" s="3505"/>
      <c r="Z42" s="1576" t="str">
        <f t="shared" si="13"/>
        <v>临街宽度及深度</v>
      </c>
      <c r="AA42" s="1577">
        <f t="shared" si="3"/>
        <v>1</v>
      </c>
      <c r="AB42" s="1577">
        <f t="shared" si="4"/>
        <v>1</v>
      </c>
      <c r="AC42" s="1577">
        <f t="shared" si="5"/>
        <v>1</v>
      </c>
    </row>
    <row r="43" spans="1:29" s="1220" customFormat="1" ht="20.25">
      <c r="A43" s="600"/>
      <c r="B43" s="1895" t="s">
        <v>2421</v>
      </c>
      <c r="C43" s="601" t="s">
        <v>3327</v>
      </c>
      <c r="D43" s="255">
        <v>100</v>
      </c>
      <c r="E43" s="601" t="s">
        <v>3327</v>
      </c>
      <c r="F43" s="540">
        <f>SUMIF(125:125,E43,126:126)-SUMIF(125:125,C43,126:126)+100</f>
        <v>100</v>
      </c>
      <c r="G43" s="601" t="s">
        <v>3327</v>
      </c>
      <c r="H43" s="540">
        <f>SUMIF(125:125,G43,126:126)-SUMIF(125:125,C43,126:126)+100</f>
        <v>100</v>
      </c>
      <c r="I43" s="601" t="s">
        <v>3327</v>
      </c>
      <c r="J43" s="540">
        <f>SUMIF(125:125,I43,126:126)-SUMIF(125:125,C43,126:126)+100</f>
        <v>100</v>
      </c>
      <c r="K43" s="584">
        <v>1</v>
      </c>
      <c r="L43" s="2135"/>
      <c r="M43" s="2132"/>
      <c r="N43" s="2132"/>
      <c r="O43" s="2137"/>
      <c r="P43" s="3505"/>
      <c r="Q43" s="1573" t="str">
        <f t="shared" si="14"/>
        <v>宗地开发程度</v>
      </c>
      <c r="R43" s="1569" t="s">
        <v>8</v>
      </c>
      <c r="S43" s="1570">
        <f t="shared" si="10"/>
        <v>100</v>
      </c>
      <c r="T43" s="1569" t="s">
        <v>8</v>
      </c>
      <c r="U43" s="1570">
        <f t="shared" si="11"/>
        <v>100</v>
      </c>
      <c r="V43" s="1569" t="s">
        <v>8</v>
      </c>
      <c r="W43" s="1570">
        <f t="shared" si="12"/>
        <v>100</v>
      </c>
      <c r="X43" s="1571"/>
      <c r="Y43" s="3505"/>
      <c r="Z43" s="1150" t="str">
        <f t="shared" si="13"/>
        <v>宗地开发程度</v>
      </c>
      <c r="AA43" s="1572">
        <f t="shared" si="3"/>
        <v>1</v>
      </c>
      <c r="AB43" s="1572">
        <f t="shared" si="4"/>
        <v>1</v>
      </c>
      <c r="AC43" s="1572">
        <f t="shared" si="5"/>
        <v>1</v>
      </c>
    </row>
    <row r="44" spans="1:29" ht="21" thickBot="1">
      <c r="A44" s="594"/>
      <c r="B44" s="527" t="s">
        <v>553</v>
      </c>
      <c r="C44" s="599" t="s">
        <v>3330</v>
      </c>
      <c r="D44" s="540">
        <v>100</v>
      </c>
      <c r="E44" s="599" t="s">
        <v>3330</v>
      </c>
      <c r="F44" s="540">
        <f>SUMIF(127:127,E44,128:128)-SUMIF(127:127,C44,128:128)+100</f>
        <v>100</v>
      </c>
      <c r="G44" s="599" t="s">
        <v>3330</v>
      </c>
      <c r="H44" s="540">
        <f>SUMIF(127:127,G44,128:128)-SUMIF(127:127,C44,128:128)+100</f>
        <v>100</v>
      </c>
      <c r="I44" s="599" t="s">
        <v>3330</v>
      </c>
      <c r="J44" s="540">
        <f>SUMIF(127:127,I44,128:128)-SUMIF(127:127,C44,128:128)+100</f>
        <v>100</v>
      </c>
      <c r="K44" s="584">
        <v>2</v>
      </c>
      <c r="L44" s="2142"/>
      <c r="M44" s="2132"/>
      <c r="N44" s="2132"/>
      <c r="O44" s="2141"/>
      <c r="P44" s="3505" t="s">
        <v>548</v>
      </c>
      <c r="Q44" s="1573" t="str">
        <f t="shared" si="14"/>
        <v>工程地质条件</v>
      </c>
      <c r="R44" s="1574" t="s">
        <v>8</v>
      </c>
      <c r="S44" s="1575">
        <f t="shared" si="10"/>
        <v>100</v>
      </c>
      <c r="T44" s="1574" t="s">
        <v>8</v>
      </c>
      <c r="U44" s="1575">
        <f t="shared" si="11"/>
        <v>100</v>
      </c>
      <c r="V44" s="1574" t="s">
        <v>8</v>
      </c>
      <c r="W44" s="1575">
        <f t="shared" si="12"/>
        <v>100</v>
      </c>
      <c r="X44" s="1568"/>
      <c r="Y44" s="3505" t="s">
        <v>548</v>
      </c>
      <c r="Z44" s="1576" t="str">
        <f t="shared" si="13"/>
        <v>工程地质条件</v>
      </c>
      <c r="AA44" s="1577">
        <f t="shared" si="3"/>
        <v>1</v>
      </c>
      <c r="AB44" s="1577">
        <f t="shared" si="4"/>
        <v>1</v>
      </c>
      <c r="AC44" s="1577">
        <f t="shared" si="5"/>
        <v>1</v>
      </c>
    </row>
    <row r="45" spans="1:29" ht="22.5" hidden="1" customHeight="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505"/>
      <c r="Q45" s="1573">
        <f t="shared" si="14"/>
        <v>111</v>
      </c>
      <c r="R45" s="1574" t="s">
        <v>8</v>
      </c>
      <c r="S45" s="1575">
        <f t="shared" si="10"/>
        <v>100</v>
      </c>
      <c r="T45" s="1574" t="s">
        <v>8</v>
      </c>
      <c r="U45" s="1575">
        <f t="shared" si="11"/>
        <v>100</v>
      </c>
      <c r="V45" s="1574" t="s">
        <v>8</v>
      </c>
      <c r="W45" s="1575">
        <f t="shared" si="12"/>
        <v>100</v>
      </c>
      <c r="X45" s="1568"/>
      <c r="Y45" s="3505"/>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505"/>
      <c r="Q46" s="1573">
        <f t="shared" si="14"/>
        <v>111</v>
      </c>
      <c r="R46" s="1574" t="s">
        <v>8</v>
      </c>
      <c r="S46" s="1575">
        <f t="shared" si="10"/>
        <v>100</v>
      </c>
      <c r="T46" s="1574" t="s">
        <v>8</v>
      </c>
      <c r="U46" s="1575">
        <f t="shared" si="11"/>
        <v>100</v>
      </c>
      <c r="V46" s="1574" t="s">
        <v>8</v>
      </c>
      <c r="W46" s="1575">
        <f t="shared" si="12"/>
        <v>100</v>
      </c>
      <c r="X46" s="1568"/>
      <c r="Y46" s="3505"/>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505"/>
      <c r="Q47" s="1573">
        <f t="shared" si="14"/>
        <v>111</v>
      </c>
      <c r="R47" s="1578" t="s">
        <v>8</v>
      </c>
      <c r="S47" s="1579">
        <f t="shared" si="10"/>
        <v>100</v>
      </c>
      <c r="T47" s="1578" t="s">
        <v>8</v>
      </c>
      <c r="U47" s="1579">
        <f t="shared" si="11"/>
        <v>100</v>
      </c>
      <c r="V47" s="1578" t="s">
        <v>8</v>
      </c>
      <c r="W47" s="1579">
        <f t="shared" si="12"/>
        <v>100</v>
      </c>
      <c r="X47" s="1580"/>
      <c r="Y47" s="3505"/>
      <c r="Z47" s="1581">
        <f t="shared" si="13"/>
        <v>111</v>
      </c>
      <c r="AA47" s="1577">
        <f t="shared" si="3"/>
        <v>1</v>
      </c>
      <c r="AB47" s="1577">
        <f t="shared" si="4"/>
        <v>1</v>
      </c>
      <c r="AC47" s="1577">
        <f t="shared" si="5"/>
        <v>1</v>
      </c>
    </row>
    <row r="48" spans="1:29" ht="20.25">
      <c r="A48" s="607" t="s">
        <v>554</v>
      </c>
      <c r="B48" s="608" t="s">
        <v>3339</v>
      </c>
      <c r="C48" s="609" t="s">
        <v>1</v>
      </c>
      <c r="D48" s="610"/>
      <c r="E48" s="611">
        <f>土地案例!L3</f>
        <v>6200</v>
      </c>
      <c r="F48" s="612"/>
      <c r="G48" s="613">
        <f>土地案例!L4</f>
        <v>5600</v>
      </c>
      <c r="H48" s="614"/>
      <c r="I48" s="611">
        <f>土地案例!L23</f>
        <v>6800</v>
      </c>
      <c r="J48" s="614"/>
      <c r="K48" s="1340"/>
      <c r="L48" s="2144"/>
      <c r="M48" s="2132"/>
      <c r="N48" s="2132"/>
      <c r="O48" s="2145"/>
      <c r="P48" s="3467" t="str">
        <f>A48</f>
        <v>成交单价</v>
      </c>
      <c r="Q48" s="3467"/>
      <c r="R48" s="3468">
        <f>E48</f>
        <v>6200</v>
      </c>
      <c r="S48" s="3468"/>
      <c r="T48" s="3468">
        <f>G48</f>
        <v>5600</v>
      </c>
      <c r="U48" s="3468"/>
      <c r="V48" s="3468">
        <f>I48</f>
        <v>6800</v>
      </c>
      <c r="W48" s="3468"/>
      <c r="X48" s="1560"/>
      <c r="Y48" s="1582"/>
      <c r="Z48" s="1560"/>
      <c r="AA48" s="1560"/>
      <c r="AB48" s="1560"/>
      <c r="AC48" s="1560"/>
    </row>
    <row r="49" spans="1:29" ht="21" thickBot="1">
      <c r="A49" s="615" t="s">
        <v>2690</v>
      </c>
      <c r="B49" s="616"/>
      <c r="C49" s="617">
        <f>R50</f>
        <v>5572</v>
      </c>
      <c r="D49" s="618"/>
      <c r="E49" s="617">
        <f>R49</f>
        <v>5152</v>
      </c>
      <c r="F49" s="619"/>
      <c r="G49" s="620">
        <f>T49</f>
        <v>5681</v>
      </c>
      <c r="H49" s="618"/>
      <c r="I49" s="617">
        <f>V49</f>
        <v>5884</v>
      </c>
      <c r="J49" s="618"/>
      <c r="K49" s="1341"/>
      <c r="L49" s="2144"/>
      <c r="M49" s="2132"/>
      <c r="N49" s="2132"/>
      <c r="O49" s="2145"/>
      <c r="P49" s="3467" t="str">
        <f>A49</f>
        <v>比较价格（元/平方米）</v>
      </c>
      <c r="Q49" s="3467"/>
      <c r="R49" s="3469">
        <f>ROUND(PRODUCT(R48,AA9:AA47),0)</f>
        <v>5152</v>
      </c>
      <c r="S49" s="3469"/>
      <c r="T49" s="3469">
        <f>ROUND(PRODUCT(T48,AB9:AB47),0)</f>
        <v>5681</v>
      </c>
      <c r="U49" s="3469"/>
      <c r="V49" s="3469">
        <f>ROUND(PRODUCT(V48,AC9:AC47),0)</f>
        <v>5884</v>
      </c>
      <c r="W49" s="3469"/>
      <c r="X49" s="1560"/>
      <c r="Y49" s="1560"/>
      <c r="Z49" s="1560"/>
      <c r="AA49" s="1560"/>
      <c r="AB49" s="1560"/>
      <c r="AC49" s="1560"/>
    </row>
    <row r="50" spans="1:29" ht="21" thickBot="1">
      <c r="A50" s="621" t="s">
        <v>3342</v>
      </c>
      <c r="B50" s="622"/>
      <c r="C50" s="623">
        <f>R50</f>
        <v>5572</v>
      </c>
      <c r="D50" s="623"/>
      <c r="E50" s="623"/>
      <c r="F50" s="623"/>
      <c r="G50" s="623"/>
      <c r="H50" s="623"/>
      <c r="I50" s="623"/>
      <c r="J50" s="623"/>
      <c r="K50" s="1342"/>
      <c r="L50" s="2144"/>
      <c r="M50" s="2132"/>
      <c r="N50" s="2132"/>
      <c r="O50" s="2145"/>
      <c r="P50" s="3464" t="str">
        <f>A50</f>
        <v>估价对象住宅用地比较价格（楼面单价，元/平方米）</v>
      </c>
      <c r="Q50" s="3465"/>
      <c r="R50" s="3466">
        <f>ROUND(AVERAGE(R49:V49),0)</f>
        <v>5572</v>
      </c>
      <c r="S50" s="3466"/>
      <c r="T50" s="3466"/>
      <c r="U50" s="3466"/>
      <c r="V50" s="3466"/>
      <c r="W50" s="3466"/>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f>IF(E48&lt;E49,E49/E48-1,E48/E49-1)</f>
        <v>0.20341614906832306</v>
      </c>
      <c r="F53" s="627" t="str">
        <f>IF(OR(E53&gt;=0.3,E53&lt;=-0.3),"超过30%","")</f>
        <v/>
      </c>
      <c r="G53" s="626">
        <f>IF(G48&lt;G49,G49/G48-1,G48/G49-1)</f>
        <v>1.4464285714285818E-2</v>
      </c>
      <c r="H53" s="627" t="str">
        <f>IF(OR(G53&gt;=0.3,G53&lt;=-0.3),"超过30%","")</f>
        <v/>
      </c>
      <c r="I53" s="626">
        <f>IF(I48&lt;I49,I49/I48-1,I48/I49-1)</f>
        <v>0.15567641060503057</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f>IF(E49&lt;G49,G49/E49-1,E49/G49-1)</f>
        <v>0.1026785714285714</v>
      </c>
      <c r="F54" s="627" t="str">
        <f>IF(OR(E54&gt;=0.2,E54&lt;=-0.2),"超过20%","")</f>
        <v/>
      </c>
      <c r="G54" s="626">
        <f>IF(G49&lt;I49,I49/G49-1,G49/I49-1)</f>
        <v>3.5733145572962588E-2</v>
      </c>
      <c r="H54" s="627" t="str">
        <f>IF(OR(G54&gt;=0.2,G54&lt;=-0.2),"超过20%","")</f>
        <v/>
      </c>
      <c r="I54" s="626">
        <f>IF(I49&lt;E49,E49/I49-1,I49/E49-1)</f>
        <v>0.14208074534161486</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557</v>
      </c>
      <c r="D55" s="628"/>
      <c r="E55" s="626">
        <f>IF(E48&lt;G48,G48/E48-1,E48/G48-1)</f>
        <v>0.10714285714285721</v>
      </c>
      <c r="F55" s="627" t="str">
        <f>IF(OR(E55&gt;=0.3,E55&lt;=-0.3),"超过30%","")</f>
        <v/>
      </c>
      <c r="G55" s="626">
        <f>IF(G48&lt;I48,I48/G48-1,G48/I48-1)</f>
        <v>0.21428571428571419</v>
      </c>
      <c r="H55" s="627" t="str">
        <f>IF(OR(G55&gt;=0.3,G55&lt;=-0.3),"超过30%","")</f>
        <v/>
      </c>
      <c r="I55" s="626">
        <f>IF(I48&lt;E48,E48/I48-1,I48/E48-1)</f>
        <v>9.6774193548387011E-2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558</v>
      </c>
      <c r="B57" s="630" t="s">
        <v>559</v>
      </c>
      <c r="C57" s="1561" t="s">
        <v>1723</v>
      </c>
      <c r="D57" s="2227" t="s">
        <v>2291</v>
      </c>
      <c r="E57" s="631" t="s">
        <v>560</v>
      </c>
      <c r="F57" s="632" t="s">
        <v>561</v>
      </c>
      <c r="G57" s="3494" t="s">
        <v>2279</v>
      </c>
      <c r="H57" s="3495"/>
      <c r="I57" s="1556" t="s">
        <v>1721</v>
      </c>
      <c r="J57" s="1556" t="str">
        <f>项目基本情况!F41</f>
        <v>四川省成都市</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562</v>
      </c>
      <c r="B58" s="634">
        <f>C50</f>
        <v>5572</v>
      </c>
      <c r="C58" s="635">
        <v>1</v>
      </c>
      <c r="D58" s="2228">
        <v>1</v>
      </c>
      <c r="E58" s="635">
        <f>'数据-汇总表'!E8+'数据-汇总表'!E9</f>
        <v>175693.26</v>
      </c>
      <c r="F58" s="636">
        <f t="shared" ref="F58:F67" si="15">ROUND(B58*E58/10000,0)</f>
        <v>97896</v>
      </c>
      <c r="G58" s="3496"/>
      <c r="H58" s="3497"/>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563</v>
      </c>
      <c r="B59" s="638">
        <f>ROUND($C$50*C59*D59,0)</f>
        <v>0</v>
      </c>
      <c r="C59" s="378">
        <f t="shared" ref="C59:C67" si="16">IF($C$57="北京市系数",I59,J59)</f>
        <v>0</v>
      </c>
      <c r="D59" s="2229">
        <v>0.25</v>
      </c>
      <c r="E59" s="639">
        <v>0</v>
      </c>
      <c r="F59" s="636">
        <f t="shared" si="15"/>
        <v>0</v>
      </c>
      <c r="G59" s="3498" t="s">
        <v>2280</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564</v>
      </c>
      <c r="B60" s="638">
        <f t="shared" ref="B60:B67" si="17">ROUND($C$50*C60*D60,0)</f>
        <v>0</v>
      </c>
      <c r="C60" s="378">
        <f t="shared" si="16"/>
        <v>0</v>
      </c>
      <c r="D60" s="2229">
        <v>0.25</v>
      </c>
      <c r="E60" s="639">
        <v>0</v>
      </c>
      <c r="F60" s="636">
        <f t="shared" si="15"/>
        <v>0</v>
      </c>
      <c r="G60" s="3498"/>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565</v>
      </c>
      <c r="B61" s="638">
        <f t="shared" si="17"/>
        <v>0</v>
      </c>
      <c r="C61" s="378">
        <f t="shared" si="16"/>
        <v>0</v>
      </c>
      <c r="D61" s="2229">
        <v>0.25</v>
      </c>
      <c r="E61" s="639">
        <v>0</v>
      </c>
      <c r="F61" s="636">
        <f t="shared" si="15"/>
        <v>0</v>
      </c>
      <c r="G61" s="3498"/>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566</v>
      </c>
      <c r="B62" s="638">
        <f t="shared" si="17"/>
        <v>0</v>
      </c>
      <c r="C62" s="378">
        <f t="shared" si="16"/>
        <v>0</v>
      </c>
      <c r="D62" s="2229">
        <v>0.25</v>
      </c>
      <c r="E62" s="639">
        <v>0</v>
      </c>
      <c r="F62" s="636">
        <f t="shared" si="15"/>
        <v>0</v>
      </c>
      <c r="G62" s="3498"/>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0</v>
      </c>
      <c r="C63" s="378">
        <f t="shared" si="16"/>
        <v>0</v>
      </c>
      <c r="D63" s="2229">
        <v>0.25</v>
      </c>
      <c r="E63" s="641">
        <f>'数据-汇总表'!E11</f>
        <v>400</v>
      </c>
      <c r="F63" s="636">
        <f t="shared" si="15"/>
        <v>0</v>
      </c>
      <c r="G63" s="1945" t="s">
        <v>2281</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567</v>
      </c>
      <c r="B64" s="638">
        <f t="shared" si="17"/>
        <v>0</v>
      </c>
      <c r="C64" s="378">
        <f t="shared" si="16"/>
        <v>0</v>
      </c>
      <c r="D64" s="2229">
        <v>0.25</v>
      </c>
      <c r="E64" s="641">
        <f>'数据-汇总表'!E12</f>
        <v>0</v>
      </c>
      <c r="F64" s="636">
        <f t="shared" si="15"/>
        <v>0</v>
      </c>
      <c r="G64" s="1946" t="s">
        <v>1676</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568</v>
      </c>
      <c r="B65" s="638">
        <f t="shared" si="17"/>
        <v>0</v>
      </c>
      <c r="C65" s="378">
        <f t="shared" si="16"/>
        <v>0</v>
      </c>
      <c r="D65" s="2229">
        <v>0.25</v>
      </c>
      <c r="E65" s="641">
        <f>'数据-汇总表'!E13</f>
        <v>69191.13</v>
      </c>
      <c r="F65" s="636">
        <f t="shared" si="15"/>
        <v>0</v>
      </c>
      <c r="G65" s="1946" t="s">
        <v>921</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569</v>
      </c>
      <c r="B66" s="638">
        <f t="shared" si="17"/>
        <v>0</v>
      </c>
      <c r="C66" s="378">
        <f t="shared" si="16"/>
        <v>0</v>
      </c>
      <c r="D66" s="2229">
        <v>0.25</v>
      </c>
      <c r="E66" s="641">
        <f>'数据-汇总表'!E14</f>
        <v>0</v>
      </c>
      <c r="F66" s="636">
        <f t="shared" si="15"/>
        <v>0</v>
      </c>
      <c r="G66" s="1945" t="s">
        <v>2280</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570</v>
      </c>
      <c r="B67" s="638">
        <f t="shared" si="17"/>
        <v>0</v>
      </c>
      <c r="C67" s="378">
        <f t="shared" si="16"/>
        <v>0</v>
      </c>
      <c r="D67" s="2229">
        <v>0.25</v>
      </c>
      <c r="E67" s="641">
        <f>'数据-汇总表'!E15</f>
        <v>0</v>
      </c>
      <c r="F67" s="636">
        <f t="shared" si="15"/>
        <v>0</v>
      </c>
      <c r="G67" s="1947" t="s">
        <v>2281</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571</v>
      </c>
      <c r="B68" s="643" t="s">
        <v>17</v>
      </c>
      <c r="C68" s="643" t="s">
        <v>18</v>
      </c>
      <c r="D68" s="643" t="s">
        <v>2292</v>
      </c>
      <c r="E68" s="643">
        <f>IF(B48="楼面地价",SUM(E58:E67),'数据-汇总表'!D3)</f>
        <v>245284.39</v>
      </c>
      <c r="F68" s="644">
        <f>IF(B48="楼面地价",SUM(F58:F67),ROUND(C50*E68/10000,0))</f>
        <v>97896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5" t="s">
        <v>572</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2529</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2644</v>
      </c>
      <c r="B73" s="479" t="str">
        <f>"北京市平均增长率"&amp;TEXT(SUMIF(基准地价!N21:N25,A73,基准地价!P21:P25),"0.00%")</f>
        <v>北京市平均增长率2.13%</v>
      </c>
      <c r="C73" s="894">
        <v>100</v>
      </c>
      <c r="D73" s="3232">
        <f>C73-$C$74</f>
        <v>99</v>
      </c>
      <c r="E73" s="3232">
        <f t="shared" ref="E73:N73" si="20">D73-$C$74</f>
        <v>98</v>
      </c>
      <c r="F73" s="3232">
        <f t="shared" si="20"/>
        <v>97</v>
      </c>
      <c r="G73" s="3232">
        <f t="shared" si="20"/>
        <v>96</v>
      </c>
      <c r="H73" s="3232">
        <f t="shared" si="20"/>
        <v>95</v>
      </c>
      <c r="I73" s="3232">
        <f t="shared" si="20"/>
        <v>94</v>
      </c>
      <c r="J73" s="3232">
        <f t="shared" si="20"/>
        <v>93</v>
      </c>
      <c r="K73" s="3232">
        <f t="shared" si="20"/>
        <v>92</v>
      </c>
      <c r="L73" s="3232">
        <f t="shared" si="20"/>
        <v>91</v>
      </c>
      <c r="M73" s="3232">
        <f t="shared" si="20"/>
        <v>90</v>
      </c>
      <c r="N73" s="3232">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2643</v>
      </c>
      <c r="B74" s="2783"/>
      <c r="C74" s="3231">
        <v>1</v>
      </c>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27.75">
      <c r="A75" s="659" t="s">
        <v>529</v>
      </c>
      <c r="B75" s="648"/>
      <c r="C75" s="660" t="s">
        <v>574</v>
      </c>
      <c r="D75" s="3233" t="s">
        <v>3302</v>
      </c>
      <c r="E75" s="3233" t="s">
        <v>3304</v>
      </c>
      <c r="F75" s="661"/>
      <c r="G75" s="661"/>
      <c r="H75" s="661"/>
      <c r="I75" s="661"/>
      <c r="J75" s="661"/>
      <c r="K75" s="661"/>
      <c r="L75" s="662"/>
      <c r="M75" s="663"/>
      <c r="N75" s="2162" t="s">
        <v>3340</v>
      </c>
      <c r="O75" s="2162" t="s">
        <v>3341</v>
      </c>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v>110</v>
      </c>
      <c r="E76" s="650">
        <v>105</v>
      </c>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575</v>
      </c>
      <c r="B77" s="665" t="s">
        <v>532</v>
      </c>
      <c r="C77" s="3234" t="s">
        <v>3307</v>
      </c>
      <c r="D77" s="3234" t="s">
        <v>3305</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535</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536</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235" t="s">
        <v>3309</v>
      </c>
      <c r="D84" s="1376" t="s">
        <v>3308</v>
      </c>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v>95</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8" hidden="1" customHeight="1"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hidden="1"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537</v>
      </c>
      <c r="B90" s="665" t="s">
        <v>576</v>
      </c>
      <c r="C90" s="703" t="s">
        <v>577</v>
      </c>
      <c r="D90" s="703" t="s">
        <v>578</v>
      </c>
      <c r="E90" s="703" t="s">
        <v>579</v>
      </c>
      <c r="F90" s="703" t="s">
        <v>580</v>
      </c>
      <c r="G90" s="703" t="s">
        <v>581</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582</v>
      </c>
      <c r="C92" s="708" t="s">
        <v>577</v>
      </c>
      <c r="D92" s="708" t="s">
        <v>578</v>
      </c>
      <c r="E92" s="708" t="s">
        <v>579</v>
      </c>
      <c r="F92" s="708" t="s">
        <v>580</v>
      </c>
      <c r="G92" s="708" t="s">
        <v>581</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583</v>
      </c>
      <c r="C94" s="708" t="s">
        <v>577</v>
      </c>
      <c r="D94" s="708" t="s">
        <v>578</v>
      </c>
      <c r="E94" s="708" t="s">
        <v>579</v>
      </c>
      <c r="F94" s="708" t="s">
        <v>580</v>
      </c>
      <c r="G94" s="708" t="s">
        <v>581</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584</v>
      </c>
      <c r="C96" s="708" t="s">
        <v>577</v>
      </c>
      <c r="D96" s="708" t="s">
        <v>578</v>
      </c>
      <c r="E96" s="708" t="s">
        <v>579</v>
      </c>
      <c r="F96" s="708" t="s">
        <v>580</v>
      </c>
      <c r="G96" s="708" t="s">
        <v>581</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2545</v>
      </c>
      <c r="C102" s="703" t="s">
        <v>577</v>
      </c>
      <c r="D102" s="703" t="s">
        <v>578</v>
      </c>
      <c r="E102" s="703" t="s">
        <v>579</v>
      </c>
      <c r="F102" s="703" t="s">
        <v>580</v>
      </c>
      <c r="G102" s="703" t="s">
        <v>581</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2547</v>
      </c>
      <c r="C104" s="2577" t="s">
        <v>2548</v>
      </c>
      <c r="D104" s="2577" t="s">
        <v>2549</v>
      </c>
      <c r="E104" s="2577" t="s">
        <v>2550</v>
      </c>
      <c r="F104" s="2577" t="s">
        <v>2551</v>
      </c>
      <c r="G104" s="2577" t="s">
        <v>2552</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546</v>
      </c>
      <c r="C108" s="3235" t="s">
        <v>3311</v>
      </c>
      <c r="D108" s="3235" t="s">
        <v>3313</v>
      </c>
      <c r="E108" s="3235" t="s">
        <v>3315</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547</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549</v>
      </c>
      <c r="B118" s="665" t="s">
        <v>591</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100000(含)-120000</v>
      </c>
      <c r="I118" s="704" t="str">
        <f t="shared" si="26"/>
        <v>120000(含)-140000</v>
      </c>
      <c r="J118" s="3064" t="str">
        <f t="shared" si="26"/>
        <v>140000(含)-</v>
      </c>
      <c r="K118" s="3064" t="str">
        <f t="shared" si="26"/>
        <v>(含)-</v>
      </c>
      <c r="L118" s="3065" t="str">
        <f t="shared" si="26"/>
        <v>(含)-</v>
      </c>
      <c r="M118" s="306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v>120000</v>
      </c>
      <c r="J119" s="2346">
        <v>140000</v>
      </c>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v>110</v>
      </c>
      <c r="I120" s="726">
        <v>112</v>
      </c>
      <c r="J120" s="726">
        <v>114</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592</v>
      </c>
      <c r="C121" s="3236" t="s">
        <v>3317</v>
      </c>
      <c r="D121" s="3236" t="s">
        <v>3319</v>
      </c>
      <c r="E121" s="3236" t="s">
        <v>3321</v>
      </c>
      <c r="F121" s="3236" t="s">
        <v>3322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593</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2422</v>
      </c>
      <c r="C125" s="1376" t="s">
        <v>3324</v>
      </c>
      <c r="D125" s="1376" t="s">
        <v>3325</v>
      </c>
      <c r="E125" s="1376" t="s">
        <v>3326</v>
      </c>
      <c r="F125" s="1376" t="s">
        <v>3328</v>
      </c>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594</v>
      </c>
      <c r="C127" s="3235" t="s">
        <v>3329</v>
      </c>
      <c r="D127" s="3235" t="s">
        <v>3331</v>
      </c>
      <c r="E127" s="3236" t="s">
        <v>3333</v>
      </c>
      <c r="F127" s="3236" t="s">
        <v>3334</v>
      </c>
      <c r="G127" s="3236" t="s">
        <v>3335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467</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519</v>
      </c>
      <c r="B6" s="513"/>
      <c r="C6" s="3473" t="s">
        <v>520</v>
      </c>
      <c r="D6" s="3474"/>
      <c r="E6" s="3512" t="s">
        <v>521</v>
      </c>
      <c r="F6" s="3513"/>
      <c r="G6" s="3473" t="s">
        <v>522</v>
      </c>
      <c r="H6" s="3474"/>
      <c r="I6" s="3473" t="s">
        <v>523</v>
      </c>
      <c r="J6" s="3474"/>
      <c r="K6" s="514" t="s">
        <v>524</v>
      </c>
      <c r="L6" s="2133"/>
      <c r="M6" s="2134"/>
      <c r="N6" s="2134"/>
      <c r="O6" s="2134"/>
      <c r="P6" s="3475" t="s">
        <v>525</v>
      </c>
      <c r="Q6" s="3476"/>
      <c r="R6" s="3481" t="s">
        <v>521</v>
      </c>
      <c r="S6" s="3482"/>
      <c r="T6" s="3481" t="s">
        <v>522</v>
      </c>
      <c r="U6" s="3482"/>
      <c r="V6" s="3468" t="s">
        <v>523</v>
      </c>
      <c r="W6" s="3468"/>
      <c r="X6" s="1568"/>
      <c r="Y6" s="3481" t="s">
        <v>525</v>
      </c>
      <c r="Z6" s="3482"/>
      <c r="AA6" s="3470" t="s">
        <v>521</v>
      </c>
      <c r="AB6" s="3471" t="s">
        <v>522</v>
      </c>
      <c r="AC6" s="3470" t="s">
        <v>523</v>
      </c>
    </row>
    <row r="7" spans="1:29" ht="15">
      <c r="A7" s="515"/>
      <c r="B7" s="516"/>
      <c r="C7" s="3506" t="s">
        <v>2914</v>
      </c>
      <c r="D7" s="3507"/>
      <c r="E7" s="3514" t="s">
        <v>2915</v>
      </c>
      <c r="F7" s="3515"/>
      <c r="G7" s="3506" t="s">
        <v>2916</v>
      </c>
      <c r="H7" s="3507"/>
      <c r="I7" s="3506" t="s">
        <v>2917</v>
      </c>
      <c r="J7" s="3507"/>
      <c r="K7" s="514"/>
      <c r="L7" s="2133"/>
      <c r="M7" s="2134"/>
      <c r="N7" s="2134"/>
      <c r="O7" s="2134"/>
      <c r="P7" s="3477"/>
      <c r="Q7" s="3478"/>
      <c r="R7" s="3483"/>
      <c r="S7" s="3484"/>
      <c r="T7" s="3483"/>
      <c r="U7" s="3484"/>
      <c r="V7" s="3468"/>
      <c r="W7" s="3468"/>
      <c r="X7" s="1568"/>
      <c r="Y7" s="3483"/>
      <c r="Z7" s="3484"/>
      <c r="AA7" s="3471"/>
      <c r="AB7" s="3471"/>
      <c r="AC7" s="3471"/>
    </row>
    <row r="8" spans="1:29" ht="15.75" thickBot="1">
      <c r="A8" s="517"/>
      <c r="B8" s="518"/>
      <c r="C8" s="3508" t="s">
        <v>2918</v>
      </c>
      <c r="D8" s="3509"/>
      <c r="E8" s="3510" t="s">
        <v>2918</v>
      </c>
      <c r="F8" s="3511"/>
      <c r="G8" s="3508" t="s">
        <v>2918</v>
      </c>
      <c r="H8" s="3509"/>
      <c r="I8" s="3508" t="s">
        <v>2918</v>
      </c>
      <c r="J8" s="3509"/>
      <c r="K8" s="514" t="s">
        <v>526</v>
      </c>
      <c r="L8" s="2133"/>
      <c r="M8" s="2134"/>
      <c r="N8" s="2134"/>
      <c r="O8" s="2134"/>
      <c r="P8" s="3479"/>
      <c r="Q8" s="3480"/>
      <c r="R8" s="3483"/>
      <c r="S8" s="3484"/>
      <c r="T8" s="3485"/>
      <c r="U8" s="3486"/>
      <c r="V8" s="3468"/>
      <c r="W8" s="3468"/>
      <c r="X8" s="1568"/>
      <c r="Y8" s="3485"/>
      <c r="Z8" s="3486"/>
      <c r="AA8" s="3472"/>
      <c r="AB8" s="3472"/>
      <c r="AC8" s="3472"/>
    </row>
    <row r="9" spans="1:29" s="1220" customFormat="1" ht="15.75" thickBot="1">
      <c r="A9" s="2890"/>
      <c r="B9" s="2897" t="s">
        <v>527</v>
      </c>
      <c r="C9" s="519">
        <f>'数据-取费表'!B2</f>
        <v>43529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99" t="s">
        <v>528</v>
      </c>
      <c r="Q9" s="3501"/>
      <c r="R9" s="1569" t="s">
        <v>8</v>
      </c>
      <c r="S9" s="1570">
        <f t="shared" ref="S9:S17" si="0">F9</f>
        <v>0</v>
      </c>
      <c r="T9" s="1569" t="s">
        <v>8</v>
      </c>
      <c r="U9" s="1570">
        <f t="shared" ref="U9:U17" si="1">H9</f>
        <v>0</v>
      </c>
      <c r="V9" s="1569" t="s">
        <v>8</v>
      </c>
      <c r="W9" s="1570">
        <f t="shared" ref="W9:W17" si="2">J9</f>
        <v>0</v>
      </c>
      <c r="X9" s="1571"/>
      <c r="Y9" s="3499" t="s">
        <v>528</v>
      </c>
      <c r="Z9" s="3500"/>
      <c r="AA9" s="1572" t="e">
        <f>D9/F9</f>
        <v>#DIV/0!</v>
      </c>
      <c r="AB9" s="1572" t="e">
        <f>D9/H9</f>
        <v>#DIV/0!</v>
      </c>
      <c r="AC9" s="1572" t="e">
        <f>D9/J9</f>
        <v>#DIV/0!</v>
      </c>
    </row>
    <row r="10" spans="1:29" s="1220" customFormat="1" ht="15.75" thickBot="1">
      <c r="A10" s="2891"/>
      <c r="B10" s="2898"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99" t="s">
        <v>531</v>
      </c>
      <c r="Q10" s="3500"/>
      <c r="R10" s="1569" t="s">
        <v>8</v>
      </c>
      <c r="S10" s="1570">
        <f t="shared" si="0"/>
        <v>0</v>
      </c>
      <c r="T10" s="1569" t="s">
        <v>8</v>
      </c>
      <c r="U10" s="1570">
        <f t="shared" si="1"/>
        <v>0</v>
      </c>
      <c r="V10" s="1569" t="s">
        <v>8</v>
      </c>
      <c r="W10" s="1570">
        <f t="shared" si="2"/>
        <v>0</v>
      </c>
      <c r="X10" s="1571"/>
      <c r="Y10" s="3499" t="s">
        <v>531</v>
      </c>
      <c r="Z10" s="3500"/>
      <c r="AA10" s="1572" t="e">
        <f t="shared" ref="AA10:AA42" si="3">D10/F10</f>
        <v>#DIV/0!</v>
      </c>
      <c r="AB10" s="1572" t="e">
        <f t="shared" ref="AB10:AB42" si="4">D10/H10</f>
        <v>#DIV/0!</v>
      </c>
      <c r="AC10" s="1572" t="e">
        <f t="shared" ref="AC10:AC42" si="5">D10/J10</f>
        <v>#DIV/0!</v>
      </c>
    </row>
    <row r="11" spans="1:29" s="1220" customFormat="1" ht="15">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67" t="s">
        <v>533</v>
      </c>
      <c r="Q11" s="1151" t="str">
        <f t="shared" ref="Q11:Q17" si="6">B11</f>
        <v>用途</v>
      </c>
      <c r="R11" s="1569" t="s">
        <v>8</v>
      </c>
      <c r="S11" s="1570">
        <f t="shared" si="0"/>
        <v>100</v>
      </c>
      <c r="T11" s="1569" t="s">
        <v>8</v>
      </c>
      <c r="U11" s="1570">
        <f t="shared" si="1"/>
        <v>100</v>
      </c>
      <c r="V11" s="1569" t="s">
        <v>8</v>
      </c>
      <c r="W11" s="1570">
        <f t="shared" si="2"/>
        <v>100</v>
      </c>
      <c r="X11" s="1571"/>
      <c r="Y11" s="3374" t="s">
        <v>534</v>
      </c>
      <c r="Z11" s="1150" t="str">
        <f t="shared" ref="Z11:Z17" si="7">Q11</f>
        <v>用途</v>
      </c>
      <c r="AA11" s="1572">
        <f t="shared" si="3"/>
        <v>1</v>
      </c>
      <c r="AB11" s="1572">
        <f t="shared" si="4"/>
        <v>1</v>
      </c>
      <c r="AC11" s="1572">
        <f t="shared" si="5"/>
        <v>1</v>
      </c>
    </row>
    <row r="12" spans="1:29" s="1338" customFormat="1" ht="27">
      <c r="A12" s="2893"/>
      <c r="B12" s="2898" t="s">
        <v>2754</v>
      </c>
      <c r="C12" s="528"/>
      <c r="D12" s="255">
        <v>100</v>
      </c>
      <c r="E12" s="528"/>
      <c r="F12" s="255">
        <f>ROUND(100/'数据-取费表'!G16,0)</f>
        <v>104</v>
      </c>
      <c r="G12" s="528"/>
      <c r="H12" s="255">
        <f>ROUND(100/'数据-取费表'!G16,0)</f>
        <v>104</v>
      </c>
      <c r="I12" s="528"/>
      <c r="J12" s="255">
        <f>ROUND(100/'数据-取费表'!G16,0)</f>
        <v>104</v>
      </c>
      <c r="K12" s="531"/>
      <c r="L12" s="2138"/>
      <c r="M12" s="2178"/>
      <c r="N12" s="2178"/>
      <c r="O12" s="2139"/>
      <c r="P12" s="3467"/>
      <c r="Q12" s="1151" t="str">
        <f t="shared" si="6"/>
        <v>土地使用年限（年）</v>
      </c>
      <c r="R12" s="1569" t="s">
        <v>8</v>
      </c>
      <c r="S12" s="1570">
        <f t="shared" si="0"/>
        <v>104</v>
      </c>
      <c r="T12" s="1569" t="s">
        <v>8</v>
      </c>
      <c r="U12" s="1570">
        <f t="shared" si="1"/>
        <v>104</v>
      </c>
      <c r="V12" s="1569" t="s">
        <v>8</v>
      </c>
      <c r="W12" s="1570">
        <f t="shared" si="2"/>
        <v>104</v>
      </c>
      <c r="X12" s="1571"/>
      <c r="Y12" s="3374"/>
      <c r="Z12" s="1150" t="str">
        <f t="shared" si="7"/>
        <v>土地使用年限（年）</v>
      </c>
      <c r="AA12" s="1572">
        <f t="shared" si="3"/>
        <v>0.96153846153846156</v>
      </c>
      <c r="AB12" s="1572">
        <f t="shared" si="4"/>
        <v>0.96153846153846156</v>
      </c>
      <c r="AC12" s="1572">
        <f t="shared" si="5"/>
        <v>0.96153846153846156</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67"/>
      <c r="Q13" s="1151" t="str">
        <f t="shared" si="6"/>
        <v>容积率</v>
      </c>
      <c r="R13" s="1569" t="s">
        <v>8</v>
      </c>
      <c r="S13" s="1570" t="e">
        <f t="shared" si="0"/>
        <v>#N/A</v>
      </c>
      <c r="T13" s="1569" t="s">
        <v>8</v>
      </c>
      <c r="U13" s="1570" t="e">
        <f t="shared" si="1"/>
        <v>#N/A</v>
      </c>
      <c r="V13" s="1569" t="s">
        <v>8</v>
      </c>
      <c r="W13" s="1570" t="e">
        <f t="shared" si="2"/>
        <v>#N/A</v>
      </c>
      <c r="X13" s="1571"/>
      <c r="Y13" s="3374"/>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67"/>
      <c r="Q14" s="1151">
        <f t="shared" si="6"/>
        <v>111</v>
      </c>
      <c r="R14" s="1569" t="s">
        <v>8</v>
      </c>
      <c r="S14" s="1570">
        <f t="shared" si="0"/>
        <v>100</v>
      </c>
      <c r="T14" s="1569" t="s">
        <v>8</v>
      </c>
      <c r="U14" s="1570">
        <f t="shared" si="1"/>
        <v>100</v>
      </c>
      <c r="V14" s="1569" t="s">
        <v>8</v>
      </c>
      <c r="W14" s="1570">
        <f t="shared" si="2"/>
        <v>100</v>
      </c>
      <c r="X14" s="1571"/>
      <c r="Y14" s="3374"/>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67"/>
      <c r="Q15" s="1151">
        <f t="shared" si="6"/>
        <v>111</v>
      </c>
      <c r="R15" s="1569" t="s">
        <v>8</v>
      </c>
      <c r="S15" s="1570">
        <f t="shared" si="0"/>
        <v>100</v>
      </c>
      <c r="T15" s="1569" t="s">
        <v>8</v>
      </c>
      <c r="U15" s="1570">
        <f t="shared" si="1"/>
        <v>100</v>
      </c>
      <c r="V15" s="1569" t="s">
        <v>8</v>
      </c>
      <c r="W15" s="1570">
        <f t="shared" si="2"/>
        <v>100</v>
      </c>
      <c r="X15" s="1571"/>
      <c r="Y15" s="3374"/>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67"/>
      <c r="Q16" s="1151">
        <f t="shared" si="6"/>
        <v>111</v>
      </c>
      <c r="R16" s="1569" t="s">
        <v>8</v>
      </c>
      <c r="S16" s="1570">
        <f t="shared" si="0"/>
        <v>100</v>
      </c>
      <c r="T16" s="1569" t="s">
        <v>8</v>
      </c>
      <c r="U16" s="1570">
        <f t="shared" si="1"/>
        <v>100</v>
      </c>
      <c r="V16" s="1569" t="s">
        <v>8</v>
      </c>
      <c r="W16" s="1570">
        <f t="shared" si="2"/>
        <v>100</v>
      </c>
      <c r="X16" s="1571"/>
      <c r="Y16" s="3374"/>
      <c r="Z16" s="1150">
        <f t="shared" si="7"/>
        <v>111</v>
      </c>
      <c r="AA16" s="1572">
        <f t="shared" si="3"/>
        <v>1</v>
      </c>
      <c r="AB16" s="1572">
        <f t="shared" si="4"/>
        <v>1</v>
      </c>
      <c r="AC16" s="1572">
        <f t="shared" si="5"/>
        <v>1</v>
      </c>
    </row>
    <row r="17" spans="1:29" ht="15">
      <c r="A17" s="2888" t="s">
        <v>2751</v>
      </c>
      <c r="B17" s="166" t="s">
        <v>596</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502" t="s">
        <v>538</v>
      </c>
      <c r="Q17" s="1573" t="str">
        <f t="shared" si="6"/>
        <v>产业集聚程度</v>
      </c>
      <c r="R17" s="1574" t="s">
        <v>8</v>
      </c>
      <c r="S17" s="1575">
        <f t="shared" si="0"/>
        <v>100</v>
      </c>
      <c r="T17" s="1574" t="s">
        <v>8</v>
      </c>
      <c r="U17" s="1575">
        <f t="shared" si="1"/>
        <v>100</v>
      </c>
      <c r="V17" s="1574" t="s">
        <v>8</v>
      </c>
      <c r="W17" s="1575">
        <f t="shared" si="2"/>
        <v>100</v>
      </c>
      <c r="X17" s="1568"/>
      <c r="Y17" s="3502"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503"/>
      <c r="Q18" s="1573"/>
      <c r="R18" s="1574"/>
      <c r="S18" s="1575"/>
      <c r="T18" s="1574"/>
      <c r="U18" s="1575"/>
      <c r="V18" s="1574"/>
      <c r="W18" s="1575"/>
      <c r="X18" s="1568"/>
      <c r="Y18" s="3503"/>
      <c r="Z18" s="1576"/>
      <c r="AA18" s="1577">
        <v>1</v>
      </c>
      <c r="AB18" s="1577">
        <v>1</v>
      </c>
      <c r="AC18" s="1577">
        <v>1</v>
      </c>
    </row>
    <row r="19" spans="1:29" ht="15">
      <c r="A19" s="532"/>
      <c r="B19" s="871" t="s">
        <v>541</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503"/>
      <c r="Q19" s="1573" t="str">
        <f>B19</f>
        <v>交通便捷度</v>
      </c>
      <c r="R19" s="1574" t="s">
        <v>8</v>
      </c>
      <c r="S19" s="1575">
        <f>F19</f>
        <v>100</v>
      </c>
      <c r="T19" s="1574" t="s">
        <v>8</v>
      </c>
      <c r="U19" s="1575">
        <f>H19</f>
        <v>100</v>
      </c>
      <c r="V19" s="1574" t="s">
        <v>8</v>
      </c>
      <c r="W19" s="1575">
        <f>J19</f>
        <v>100</v>
      </c>
      <c r="X19" s="1568"/>
      <c r="Y19" s="350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503"/>
      <c r="Q20" s="1573"/>
      <c r="R20" s="1574"/>
      <c r="S20" s="1575"/>
      <c r="T20" s="1574"/>
      <c r="U20" s="1575"/>
      <c r="V20" s="1574"/>
      <c r="W20" s="1575"/>
      <c r="X20" s="1568"/>
      <c r="Y20" s="3503"/>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503"/>
      <c r="Q21" s="1573" t="str">
        <f t="shared" ref="Q21:Q35" si="8">B21</f>
        <v>区域土地利用方向</v>
      </c>
      <c r="R21" s="1574" t="s">
        <v>8</v>
      </c>
      <c r="S21" s="1575">
        <f>F21</f>
        <v>100</v>
      </c>
      <c r="T21" s="1574" t="s">
        <v>8</v>
      </c>
      <c r="U21" s="1575">
        <f>H21</f>
        <v>100</v>
      </c>
      <c r="V21" s="1574" t="s">
        <v>8</v>
      </c>
      <c r="W21" s="1575">
        <f>J21</f>
        <v>100</v>
      </c>
      <c r="X21" s="1568"/>
      <c r="Y21" s="350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503"/>
      <c r="Q22" s="1573"/>
      <c r="R22" s="1574"/>
      <c r="S22" s="1575"/>
      <c r="T22" s="1574"/>
      <c r="U22" s="1575"/>
      <c r="V22" s="1574"/>
      <c r="W22" s="1575"/>
      <c r="X22" s="1568"/>
      <c r="Y22" s="3503"/>
      <c r="Z22" s="1576"/>
      <c r="AA22" s="1577"/>
      <c r="AB22" s="1577"/>
      <c r="AC22" s="1577"/>
    </row>
    <row r="23" spans="1:29" ht="15">
      <c r="A23" s="515"/>
      <c r="B23" s="922" t="s">
        <v>597</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503"/>
      <c r="Q23" s="1573" t="str">
        <f t="shared" si="8"/>
        <v>环境状况</v>
      </c>
      <c r="R23" s="1574" t="s">
        <v>8</v>
      </c>
      <c r="S23" s="1575">
        <f>F23</f>
        <v>100</v>
      </c>
      <c r="T23" s="1574" t="s">
        <v>8</v>
      </c>
      <c r="U23" s="1575">
        <f>H23</f>
        <v>100</v>
      </c>
      <c r="V23" s="1574" t="s">
        <v>8</v>
      </c>
      <c r="W23" s="1575">
        <f>J23</f>
        <v>100</v>
      </c>
      <c r="X23" s="1568"/>
      <c r="Y23" s="350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503"/>
      <c r="Q24" s="1573"/>
      <c r="R24" s="1574"/>
      <c r="S24" s="1575"/>
      <c r="T24" s="1574"/>
      <c r="U24" s="1575"/>
      <c r="V24" s="1574"/>
      <c r="W24" s="1575"/>
      <c r="X24" s="1568"/>
      <c r="Y24" s="3503"/>
      <c r="Z24" s="1576"/>
      <c r="AA24" s="1577">
        <v>1</v>
      </c>
      <c r="AB24" s="1577">
        <v>1</v>
      </c>
      <c r="AC24" s="1577">
        <v>1</v>
      </c>
    </row>
    <row r="25" spans="1:29" s="1220" customFormat="1" ht="15">
      <c r="A25" s="577"/>
      <c r="B25" s="2572" t="s">
        <v>2545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503"/>
      <c r="Q25" s="1151" t="str">
        <f t="shared" si="8"/>
        <v>公共配套设施</v>
      </c>
      <c r="R25" s="1569" t="s">
        <v>8</v>
      </c>
      <c r="S25" s="1570">
        <f>F25</f>
        <v>100</v>
      </c>
      <c r="T25" s="1569" t="s">
        <v>8</v>
      </c>
      <c r="U25" s="1570">
        <f>H25</f>
        <v>100</v>
      </c>
      <c r="V25" s="1569" t="s">
        <v>8</v>
      </c>
      <c r="W25" s="1570">
        <f>J25</f>
        <v>100</v>
      </c>
      <c r="X25" s="1571"/>
      <c r="Y25" s="3503"/>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503"/>
      <c r="Q26" s="1151"/>
      <c r="R26" s="1569"/>
      <c r="S26" s="1570"/>
      <c r="T26" s="1569"/>
      <c r="U26" s="1570"/>
      <c r="V26" s="1569"/>
      <c r="W26" s="1570"/>
      <c r="X26" s="1571"/>
      <c r="Y26" s="3503"/>
      <c r="Z26" s="1150"/>
      <c r="AA26" s="1572">
        <v>1</v>
      </c>
      <c r="AB26" s="1572">
        <v>1</v>
      </c>
      <c r="AC26" s="1572">
        <v>1</v>
      </c>
    </row>
    <row r="27" spans="1:29" s="1220" customFormat="1" ht="15">
      <c r="A27" s="577"/>
      <c r="B27" s="2572" t="s">
        <v>2546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503"/>
      <c r="Q27" s="2557" t="str">
        <f t="shared" ref="Q27" si="9">B27</f>
        <v>基础设施水平</v>
      </c>
      <c r="R27" s="1569" t="s">
        <v>8</v>
      </c>
      <c r="S27" s="1570">
        <f>F27</f>
        <v>100</v>
      </c>
      <c r="T27" s="1569" t="s">
        <v>8</v>
      </c>
      <c r="U27" s="1570">
        <f>H27</f>
        <v>100</v>
      </c>
      <c r="V27" s="1569" t="s">
        <v>8</v>
      </c>
      <c r="W27" s="1570">
        <f>J27</f>
        <v>100</v>
      </c>
      <c r="X27" s="1571"/>
      <c r="Y27" s="3503"/>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503"/>
      <c r="Q28" s="2557"/>
      <c r="R28" s="1569"/>
      <c r="S28" s="1570"/>
      <c r="T28" s="1569"/>
      <c r="U28" s="1570"/>
      <c r="V28" s="1569"/>
      <c r="W28" s="1570"/>
      <c r="X28" s="1571"/>
      <c r="Y28" s="3503"/>
      <c r="Z28" s="2554"/>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50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03"/>
      <c r="Z29" s="1576" t="str">
        <f t="shared" ref="Z29:Z42" si="13">Q29</f>
        <v>临街状况</v>
      </c>
      <c r="AA29" s="1577">
        <f t="shared" si="3"/>
        <v>1</v>
      </c>
      <c r="AB29" s="1577">
        <f t="shared" si="4"/>
        <v>1</v>
      </c>
      <c r="AC29" s="1577">
        <f t="shared" si="5"/>
        <v>1</v>
      </c>
    </row>
    <row r="30" spans="1:29" ht="27">
      <c r="A30" s="532"/>
      <c r="B30" s="922" t="s">
        <v>546</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503"/>
      <c r="Q30" s="1573" t="str">
        <f t="shared" si="8"/>
        <v>毗邻道路的类型与等级</v>
      </c>
      <c r="R30" s="1574" t="s">
        <v>8</v>
      </c>
      <c r="S30" s="1575">
        <f t="shared" si="10"/>
        <v>100</v>
      </c>
      <c r="T30" s="1574" t="s">
        <v>8</v>
      </c>
      <c r="U30" s="1575">
        <f t="shared" si="11"/>
        <v>100</v>
      </c>
      <c r="V30" s="1574" t="s">
        <v>8</v>
      </c>
      <c r="W30" s="1575">
        <f t="shared" si="12"/>
        <v>100</v>
      </c>
      <c r="X30" s="1568"/>
      <c r="Y30" s="350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503"/>
      <c r="Q31" s="1573"/>
      <c r="R31" s="1574"/>
      <c r="S31" s="1575"/>
      <c r="T31" s="1574"/>
      <c r="U31" s="1575"/>
      <c r="V31" s="1574"/>
      <c r="W31" s="1575"/>
      <c r="X31" s="1568"/>
      <c r="Y31" s="3503"/>
      <c r="Z31" s="1576"/>
      <c r="AA31" s="1577">
        <v>1</v>
      </c>
      <c r="AB31" s="1577">
        <v>1</v>
      </c>
      <c r="AC31" s="1577">
        <v>1</v>
      </c>
    </row>
    <row r="32" spans="1:29" ht="15">
      <c r="A32" s="532"/>
      <c r="B32" s="527" t="s">
        <v>547</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503"/>
      <c r="Q32" s="1573" t="str">
        <f t="shared" si="8"/>
        <v>土地级别</v>
      </c>
      <c r="R32" s="1574" t="s">
        <v>8</v>
      </c>
      <c r="S32" s="1575">
        <f t="shared" si="10"/>
        <v>100</v>
      </c>
      <c r="T32" s="1574" t="s">
        <v>8</v>
      </c>
      <c r="U32" s="1575">
        <f t="shared" si="11"/>
        <v>100</v>
      </c>
      <c r="V32" s="1574" t="s">
        <v>8</v>
      </c>
      <c r="W32" s="1575">
        <f t="shared" si="12"/>
        <v>100</v>
      </c>
      <c r="X32" s="1568"/>
      <c r="Y32" s="350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503"/>
      <c r="Q33" s="1573">
        <f t="shared" si="8"/>
        <v>111</v>
      </c>
      <c r="R33" s="1574" t="s">
        <v>8</v>
      </c>
      <c r="S33" s="1575">
        <f t="shared" si="10"/>
        <v>100</v>
      </c>
      <c r="T33" s="1574" t="s">
        <v>8</v>
      </c>
      <c r="U33" s="1575">
        <f t="shared" si="11"/>
        <v>100</v>
      </c>
      <c r="V33" s="1574" t="s">
        <v>8</v>
      </c>
      <c r="W33" s="1575">
        <f t="shared" si="12"/>
        <v>100</v>
      </c>
      <c r="X33" s="1568"/>
      <c r="Y33" s="350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504" t="s">
        <v>548</v>
      </c>
      <c r="Q34" s="1573">
        <f t="shared" si="8"/>
        <v>111</v>
      </c>
      <c r="R34" s="1574" t="s">
        <v>8</v>
      </c>
      <c r="S34" s="1575">
        <f t="shared" si="10"/>
        <v>100</v>
      </c>
      <c r="T34" s="1574" t="s">
        <v>8</v>
      </c>
      <c r="U34" s="1575">
        <f t="shared" si="11"/>
        <v>100</v>
      </c>
      <c r="V34" s="1574" t="s">
        <v>8</v>
      </c>
      <c r="W34" s="1575">
        <f t="shared" si="12"/>
        <v>100</v>
      </c>
      <c r="X34" s="1568"/>
      <c r="Y34" s="3505" t="s">
        <v>548</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505"/>
      <c r="Q35" s="1573">
        <f t="shared" si="8"/>
        <v>111</v>
      </c>
      <c r="R35" s="1578" t="s">
        <v>8</v>
      </c>
      <c r="S35" s="1579">
        <f t="shared" si="10"/>
        <v>100</v>
      </c>
      <c r="T35" s="1578" t="s">
        <v>8</v>
      </c>
      <c r="U35" s="1579">
        <f t="shared" si="11"/>
        <v>100</v>
      </c>
      <c r="V35" s="1578" t="s">
        <v>8</v>
      </c>
      <c r="W35" s="1579">
        <f t="shared" si="12"/>
        <v>100</v>
      </c>
      <c r="X35" s="1580"/>
      <c r="Y35" s="3505"/>
      <c r="Z35" s="1581">
        <f t="shared" si="13"/>
        <v>111</v>
      </c>
      <c r="AA35" s="1577">
        <f t="shared" si="3"/>
        <v>1</v>
      </c>
      <c r="AB35" s="1577">
        <f t="shared" si="4"/>
        <v>1</v>
      </c>
      <c r="AC35" s="1577">
        <f t="shared" si="5"/>
        <v>1</v>
      </c>
    </row>
    <row r="36" spans="1:29" ht="15">
      <c r="A36" s="2885" t="s">
        <v>2752</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505"/>
      <c r="Q36" s="1573" t="str">
        <f>B36</f>
        <v>宗地面积</v>
      </c>
      <c r="R36" s="1574" t="s">
        <v>8</v>
      </c>
      <c r="S36" s="1575" t="e">
        <f t="shared" si="10"/>
        <v>#N/A</v>
      </c>
      <c r="T36" s="1574" t="s">
        <v>8</v>
      </c>
      <c r="U36" s="1575" t="e">
        <f t="shared" si="11"/>
        <v>#N/A</v>
      </c>
      <c r="V36" s="1574" t="s">
        <v>8</v>
      </c>
      <c r="W36" s="1575" t="e">
        <f t="shared" si="12"/>
        <v>#N/A</v>
      </c>
      <c r="X36" s="1568"/>
      <c r="Y36" s="3505"/>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505"/>
      <c r="Q37" s="1573" t="str">
        <f t="shared" ref="Q37:Q42" si="14">B37</f>
        <v>宗地形状</v>
      </c>
      <c r="R37" s="1574" t="s">
        <v>8</v>
      </c>
      <c r="S37" s="1575">
        <f t="shared" si="10"/>
        <v>100</v>
      </c>
      <c r="T37" s="1574" t="s">
        <v>8</v>
      </c>
      <c r="U37" s="1575">
        <f t="shared" si="11"/>
        <v>100</v>
      </c>
      <c r="V37" s="1574" t="s">
        <v>8</v>
      </c>
      <c r="W37" s="1575">
        <f t="shared" si="12"/>
        <v>100</v>
      </c>
      <c r="X37" s="1568"/>
      <c r="Y37" s="3505"/>
      <c r="Z37" s="1576" t="str">
        <f t="shared" si="13"/>
        <v>宗地形状</v>
      </c>
      <c r="AA37" s="1577">
        <f t="shared" si="3"/>
        <v>1</v>
      </c>
      <c r="AB37" s="1577">
        <f t="shared" si="4"/>
        <v>1</v>
      </c>
      <c r="AC37" s="1577">
        <f t="shared" si="5"/>
        <v>1</v>
      </c>
    </row>
    <row r="38" spans="1:29" s="1220" customFormat="1" ht="15">
      <c r="A38" s="600"/>
      <c r="B38" s="1895"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505"/>
      <c r="Q38" s="1573" t="str">
        <f t="shared" si="14"/>
        <v>宗地开发程度</v>
      </c>
      <c r="R38" s="1569" t="s">
        <v>8</v>
      </c>
      <c r="S38" s="1570">
        <f t="shared" si="10"/>
        <v>100</v>
      </c>
      <c r="T38" s="1569" t="s">
        <v>8</v>
      </c>
      <c r="U38" s="1570">
        <f t="shared" si="11"/>
        <v>100</v>
      </c>
      <c r="V38" s="1569" t="s">
        <v>8</v>
      </c>
      <c r="W38" s="1570">
        <f t="shared" si="12"/>
        <v>100</v>
      </c>
      <c r="X38" s="1571"/>
      <c r="Y38" s="3505"/>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505" t="s">
        <v>599</v>
      </c>
      <c r="Q39" s="1573" t="str">
        <f t="shared" si="14"/>
        <v>工程地质条件</v>
      </c>
      <c r="R39" s="1574" t="s">
        <v>8</v>
      </c>
      <c r="S39" s="1575">
        <f t="shared" si="10"/>
        <v>100</v>
      </c>
      <c r="T39" s="1574" t="s">
        <v>8</v>
      </c>
      <c r="U39" s="1575">
        <f t="shared" si="11"/>
        <v>100</v>
      </c>
      <c r="V39" s="1574" t="s">
        <v>8</v>
      </c>
      <c r="W39" s="1575">
        <f t="shared" si="12"/>
        <v>100</v>
      </c>
      <c r="X39" s="1568"/>
      <c r="Y39" s="3505"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505"/>
      <c r="Q40" s="1573">
        <f t="shared" si="14"/>
        <v>111</v>
      </c>
      <c r="R40" s="1574" t="s">
        <v>8</v>
      </c>
      <c r="S40" s="1575">
        <f t="shared" si="10"/>
        <v>100</v>
      </c>
      <c r="T40" s="1574" t="s">
        <v>8</v>
      </c>
      <c r="U40" s="1575">
        <f t="shared" si="11"/>
        <v>100</v>
      </c>
      <c r="V40" s="1574" t="s">
        <v>8</v>
      </c>
      <c r="W40" s="1575">
        <f t="shared" si="12"/>
        <v>100</v>
      </c>
      <c r="X40" s="1568"/>
      <c r="Y40" s="350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505"/>
      <c r="Q41" s="1573">
        <f t="shared" si="14"/>
        <v>111</v>
      </c>
      <c r="R41" s="1574" t="s">
        <v>8</v>
      </c>
      <c r="S41" s="1575">
        <f t="shared" si="10"/>
        <v>100</v>
      </c>
      <c r="T41" s="1574" t="s">
        <v>8</v>
      </c>
      <c r="U41" s="1575">
        <f t="shared" si="11"/>
        <v>100</v>
      </c>
      <c r="V41" s="1574" t="s">
        <v>8</v>
      </c>
      <c r="W41" s="1575">
        <f t="shared" si="12"/>
        <v>100</v>
      </c>
      <c r="X41" s="1568"/>
      <c r="Y41" s="350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505"/>
      <c r="Q42" s="1573">
        <f t="shared" si="14"/>
        <v>111</v>
      </c>
      <c r="R42" s="1578" t="s">
        <v>8</v>
      </c>
      <c r="S42" s="1579">
        <f t="shared" si="10"/>
        <v>100</v>
      </c>
      <c r="T42" s="1578" t="s">
        <v>8</v>
      </c>
      <c r="U42" s="1579">
        <f t="shared" si="11"/>
        <v>100</v>
      </c>
      <c r="V42" s="1578" t="s">
        <v>8</v>
      </c>
      <c r="W42" s="1579">
        <f t="shared" si="12"/>
        <v>100</v>
      </c>
      <c r="X42" s="1580"/>
      <c r="Y42" s="3505"/>
      <c r="Z42" s="1581">
        <f t="shared" si="13"/>
        <v>111</v>
      </c>
      <c r="AA42" s="1577">
        <f t="shared" si="3"/>
        <v>1</v>
      </c>
      <c r="AB42" s="1577">
        <f t="shared" si="4"/>
        <v>1</v>
      </c>
      <c r="AC42" s="1577">
        <f t="shared" si="5"/>
        <v>1</v>
      </c>
    </row>
    <row r="43" spans="1:29" ht="15">
      <c r="A43" s="607" t="s">
        <v>554</v>
      </c>
      <c r="B43" s="608" t="s">
        <v>2919</v>
      </c>
      <c r="C43" s="609" t="s">
        <v>1</v>
      </c>
      <c r="D43" s="610"/>
      <c r="E43" s="611"/>
      <c r="F43" s="612"/>
      <c r="G43" s="613"/>
      <c r="H43" s="614"/>
      <c r="I43" s="611"/>
      <c r="J43" s="614"/>
      <c r="K43" s="1340"/>
      <c r="L43" s="2144"/>
      <c r="M43" s="2134"/>
      <c r="N43" s="2134"/>
      <c r="O43" s="2145"/>
      <c r="P43" s="3467" t="str">
        <f>A43</f>
        <v>成交单价</v>
      </c>
      <c r="Q43" s="3467"/>
      <c r="R43" s="3468">
        <f>E43</f>
        <v>0</v>
      </c>
      <c r="S43" s="3468"/>
      <c r="T43" s="3468">
        <f>G43</f>
        <v>0</v>
      </c>
      <c r="U43" s="3468"/>
      <c r="V43" s="3468">
        <f>I43</f>
        <v>0</v>
      </c>
      <c r="W43" s="3468"/>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67" t="str">
        <f>A44</f>
        <v>比较价格（元/平方米）</v>
      </c>
      <c r="Q44" s="3467"/>
      <c r="R44" s="3469" t="e">
        <f>ROUND(PRODUCT(R43,AA9:AA42),0)</f>
        <v>#DIV/0!</v>
      </c>
      <c r="S44" s="3469"/>
      <c r="T44" s="3469" t="e">
        <f>ROUND(PRODUCT(T43,AB9:AB42),0)</f>
        <v>#DIV/0!</v>
      </c>
      <c r="U44" s="3469"/>
      <c r="V44" s="3469" t="e">
        <f>ROUND(PRODUCT(V43,AC9:AC42),0)</f>
        <v>#DIV/0!</v>
      </c>
      <c r="W44" s="3469"/>
      <c r="X44" s="1560"/>
      <c r="Y44" s="1560"/>
      <c r="Z44" s="1560"/>
      <c r="AA44" s="1560"/>
      <c r="AB44" s="1560"/>
      <c r="AC44" s="1560"/>
    </row>
    <row r="45" spans="1:29" ht="15.75" thickBot="1">
      <c r="A45" s="621" t="s">
        <v>2920</v>
      </c>
      <c r="B45" s="622"/>
      <c r="C45" s="623" t="e">
        <f>R45</f>
        <v>#DIV/0!</v>
      </c>
      <c r="D45" s="623"/>
      <c r="E45" s="623"/>
      <c r="F45" s="623"/>
      <c r="G45" s="623"/>
      <c r="H45" s="623"/>
      <c r="I45" s="623"/>
      <c r="J45" s="623"/>
      <c r="K45" s="1342"/>
      <c r="L45" s="2144"/>
      <c r="M45" s="2134"/>
      <c r="N45" s="2134"/>
      <c r="O45" s="2145"/>
      <c r="P45" s="3464" t="str">
        <f>A45</f>
        <v>估价对象XX用房的比较价格（楼面单价，元/平方米）</v>
      </c>
      <c r="Q45" s="3465"/>
      <c r="R45" s="3466" t="e">
        <f>ROUND(AVERAGE(R44:V44),0)</f>
        <v>#DIV/0!</v>
      </c>
      <c r="S45" s="3466"/>
      <c r="T45" s="3466"/>
      <c r="U45" s="3466"/>
      <c r="V45" s="3466"/>
      <c r="W45" s="3466"/>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558</v>
      </c>
      <c r="B52" s="630" t="s">
        <v>559</v>
      </c>
      <c r="C52" s="1561" t="s">
        <v>1723</v>
      </c>
      <c r="D52" s="2227" t="s">
        <v>2291</v>
      </c>
      <c r="E52" s="631" t="s">
        <v>560</v>
      </c>
      <c r="F52" s="1951" t="s">
        <v>561</v>
      </c>
      <c r="G52" s="3516" t="s">
        <v>2282</v>
      </c>
      <c r="H52" s="3517"/>
      <c r="I52" s="1952" t="s">
        <v>1944</v>
      </c>
      <c r="J52" s="1556" t="str">
        <f>项目基本情况!F41</f>
        <v>四川省成都市</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562</v>
      </c>
      <c r="B53" s="634" t="e">
        <f>C45</f>
        <v>#DIV/0!</v>
      </c>
      <c r="C53" s="635">
        <v>1</v>
      </c>
      <c r="D53" s="2228">
        <v>1</v>
      </c>
      <c r="E53" s="635">
        <f>'数据-汇总表'!E8+'数据-汇总表'!E9</f>
        <v>175693.26</v>
      </c>
      <c r="F53" s="1950" t="e">
        <f t="shared" ref="F53:F62" si="15">ROUND(B53*E53/10000,0)</f>
        <v>#DIV/0!</v>
      </c>
      <c r="G53" s="3518"/>
      <c r="H53" s="3519"/>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563</v>
      </c>
      <c r="B54" s="638" t="e">
        <f>ROUND($C$45*C54*D54,0)</f>
        <v>#DIV/0!</v>
      </c>
      <c r="C54" s="378">
        <f t="shared" ref="C54:C62" si="16">IF($C$52="北京市系数",I54,J54)</f>
        <v>0</v>
      </c>
      <c r="D54" s="2229">
        <v>0.25</v>
      </c>
      <c r="E54" s="639"/>
      <c r="F54" s="1950" t="e">
        <f t="shared" si="15"/>
        <v>#DIV/0!</v>
      </c>
      <c r="G54" s="3520" t="s">
        <v>2283</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564</v>
      </c>
      <c r="B55" s="638" t="e">
        <f t="shared" ref="B55:B62" si="17">ROUND($C$45*C55*D55,0)</f>
        <v>#DIV/0!</v>
      </c>
      <c r="C55" s="378">
        <f t="shared" si="16"/>
        <v>0</v>
      </c>
      <c r="D55" s="2229">
        <v>0.25</v>
      </c>
      <c r="E55" s="639"/>
      <c r="F55" s="1950" t="e">
        <f t="shared" si="15"/>
        <v>#DIV/0!</v>
      </c>
      <c r="G55" s="3520"/>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565</v>
      </c>
      <c r="B56" s="638" t="e">
        <f t="shared" si="17"/>
        <v>#DIV/0!</v>
      </c>
      <c r="C56" s="378">
        <f t="shared" si="16"/>
        <v>0</v>
      </c>
      <c r="D56" s="2229">
        <v>0.25</v>
      </c>
      <c r="E56" s="639"/>
      <c r="F56" s="1950" t="e">
        <f t="shared" si="15"/>
        <v>#DIV/0!</v>
      </c>
      <c r="G56" s="3520"/>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566</v>
      </c>
      <c r="B57" s="638" t="e">
        <f t="shared" si="17"/>
        <v>#DIV/0!</v>
      </c>
      <c r="C57" s="378">
        <f t="shared" si="16"/>
        <v>0</v>
      </c>
      <c r="D57" s="2229">
        <v>0.25</v>
      </c>
      <c r="E57" s="639"/>
      <c r="F57" s="1950" t="e">
        <f t="shared" si="15"/>
        <v>#DIV/0!</v>
      </c>
      <c r="G57" s="3520"/>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v>
      </c>
      <c r="D58" s="2229">
        <v>0.25</v>
      </c>
      <c r="E58" s="641">
        <f>'数据-汇总表'!E11</f>
        <v>400</v>
      </c>
      <c r="F58" s="1950" t="e">
        <f t="shared" si="15"/>
        <v>#DIV/0!</v>
      </c>
      <c r="G58" s="1956" t="s">
        <v>2284</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567</v>
      </c>
      <c r="B59" s="638" t="e">
        <f t="shared" si="17"/>
        <v>#DIV/0!</v>
      </c>
      <c r="C59" s="378">
        <f t="shared" si="16"/>
        <v>0</v>
      </c>
      <c r="D59" s="2229">
        <v>0.25</v>
      </c>
      <c r="E59" s="641">
        <f>'数据-汇总表'!E12</f>
        <v>0</v>
      </c>
      <c r="F59" s="1950" t="e">
        <f t="shared" si="15"/>
        <v>#DIV/0!</v>
      </c>
      <c r="G59" s="1946" t="s">
        <v>1676</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568</v>
      </c>
      <c r="B60" s="638" t="e">
        <f t="shared" si="17"/>
        <v>#DIV/0!</v>
      </c>
      <c r="C60" s="378">
        <f t="shared" si="16"/>
        <v>0</v>
      </c>
      <c r="D60" s="2229">
        <v>0.25</v>
      </c>
      <c r="E60" s="641">
        <f>'数据-汇总表'!E13</f>
        <v>69191.13</v>
      </c>
      <c r="F60" s="1950" t="e">
        <f t="shared" si="15"/>
        <v>#DIV/0!</v>
      </c>
      <c r="G60" s="1946" t="s">
        <v>921</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569</v>
      </c>
      <c r="B61" s="638" t="e">
        <f t="shared" si="17"/>
        <v>#DIV/0!</v>
      </c>
      <c r="C61" s="378">
        <f t="shared" si="16"/>
        <v>0</v>
      </c>
      <c r="D61" s="2229">
        <v>0.25</v>
      </c>
      <c r="E61" s="641">
        <f>'数据-汇总表'!E14</f>
        <v>0</v>
      </c>
      <c r="F61" s="1950" t="e">
        <f t="shared" si="15"/>
        <v>#DIV/0!</v>
      </c>
      <c r="G61" s="1956" t="s">
        <v>2283</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570</v>
      </c>
      <c r="B62" s="638" t="e">
        <f t="shared" si="17"/>
        <v>#DIV/0!</v>
      </c>
      <c r="C62" s="378">
        <f t="shared" si="16"/>
        <v>0</v>
      </c>
      <c r="D62" s="2229">
        <v>0.25</v>
      </c>
      <c r="E62" s="641">
        <f>'数据-汇总表'!E15</f>
        <v>0</v>
      </c>
      <c r="F62" s="1950" t="e">
        <f t="shared" si="15"/>
        <v>#DIV/0!</v>
      </c>
      <c r="G62" s="1957" t="s">
        <v>2284</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571</v>
      </c>
      <c r="B63" s="643" t="s">
        <v>17</v>
      </c>
      <c r="C63" s="643" t="s">
        <v>18</v>
      </c>
      <c r="D63" s="643" t="s">
        <v>2292</v>
      </c>
      <c r="E63" s="643">
        <f>IF(B43="楼面地价",SUM(E53:E62),'数据-汇总表'!D3)</f>
        <v>73464.09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5" t="s">
        <v>572</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2530</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2646</v>
      </c>
      <c r="B68" s="479" t="str">
        <f>"北京市平均增长率"&amp;TEXT(基准地价!P24,"0.00%")</f>
        <v>北京市平均增长率1.42%</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573</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529</v>
      </c>
      <c r="B70" s="648"/>
      <c r="C70" s="660" t="s">
        <v>574</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575</v>
      </c>
      <c r="B72" s="665" t="s">
        <v>532</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535</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537</v>
      </c>
      <c r="B85" s="665" t="s">
        <v>600</v>
      </c>
      <c r="C85" s="703" t="s">
        <v>577</v>
      </c>
      <c r="D85" s="703" t="s">
        <v>578</v>
      </c>
      <c r="E85" s="703" t="s">
        <v>579</v>
      </c>
      <c r="F85" s="703" t="s">
        <v>580</v>
      </c>
      <c r="G85" s="703" t="s">
        <v>581</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584</v>
      </c>
      <c r="C87" s="708" t="s">
        <v>577</v>
      </c>
      <c r="D87" s="708" t="s">
        <v>578</v>
      </c>
      <c r="E87" s="708" t="s">
        <v>579</v>
      </c>
      <c r="F87" s="708" t="s">
        <v>580</v>
      </c>
      <c r="G87" s="708" t="s">
        <v>581</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2545</v>
      </c>
      <c r="C93" s="703" t="s">
        <v>577</v>
      </c>
      <c r="D93" s="703" t="s">
        <v>578</v>
      </c>
      <c r="E93" s="703" t="s">
        <v>579</v>
      </c>
      <c r="F93" s="703" t="s">
        <v>580</v>
      </c>
      <c r="G93" s="703" t="s">
        <v>581</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2547</v>
      </c>
      <c r="C95" s="2577" t="s">
        <v>2548</v>
      </c>
      <c r="D95" s="2577" t="s">
        <v>2549</v>
      </c>
      <c r="E95" s="2577" t="s">
        <v>2550</v>
      </c>
      <c r="F95" s="2577" t="s">
        <v>2551</v>
      </c>
      <c r="G95" s="2577" t="s">
        <v>2552</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587</v>
      </c>
      <c r="D97" s="674" t="s">
        <v>588</v>
      </c>
      <c r="E97" s="674" t="s">
        <v>589</v>
      </c>
      <c r="F97" s="674" t="s">
        <v>590</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546</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547</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4" t="str">
        <f t="shared" si="25"/>
        <v>(含)-</v>
      </c>
      <c r="L109" s="3065" t="str">
        <f t="shared" si="25"/>
        <v>(含)-</v>
      </c>
      <c r="M109" s="306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592</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2422</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594</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0" sqref="G30:G3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2423</v>
      </c>
      <c r="D1" s="1522">
        <f>SUM(D29:D30,D33:D39)</f>
        <v>0</v>
      </c>
      <c r="E1" s="1407" t="s">
        <v>2424</v>
      </c>
      <c r="F1" s="2431"/>
      <c r="G1" s="1402"/>
      <c r="H1" s="1402"/>
      <c r="I1" s="1402"/>
      <c r="J1" s="1402"/>
      <c r="K1" s="1402"/>
      <c r="L1" s="1882" t="s">
        <v>2236</v>
      </c>
      <c r="M1" s="1883">
        <f>SUMPRODUCT((区片价!B5:B9=I2)*(区片价!C3:F3=E2)*(区片价!C5:F9))</f>
        <v>0</v>
      </c>
      <c r="N1" s="1884">
        <f>SUMPRODUCT((因素修正幅度!B5:B9=I2)*(因素修正幅度!C3:F3=E2)*(因素修正幅度!C5:F9))</f>
        <v>0</v>
      </c>
      <c r="O1" s="2189"/>
      <c r="P1" s="2189"/>
      <c r="Q1" s="2189"/>
      <c r="R1" s="2914" t="s">
        <v>2759</v>
      </c>
      <c r="S1" s="2914" t="s">
        <v>2760</v>
      </c>
      <c r="T1" s="2914" t="s">
        <v>2781</v>
      </c>
      <c r="U1" s="2914" t="s">
        <v>2782</v>
      </c>
      <c r="V1" s="2914" t="s">
        <v>2783</v>
      </c>
      <c r="W1" s="2189"/>
      <c r="X1" s="2189"/>
      <c r="Y1" s="2189"/>
      <c r="Z1" s="2189"/>
      <c r="AA1" s="2189"/>
      <c r="AB1" s="2189"/>
      <c r="AC1" s="2190"/>
    </row>
    <row r="2" spans="1:39" ht="15.75">
      <c r="A2" s="1407" t="s">
        <v>918</v>
      </c>
      <c r="B2" s="1038" t="e">
        <f>C26</f>
        <v>#DIV/0!</v>
      </c>
      <c r="C2" s="1408" t="s">
        <v>919</v>
      </c>
      <c r="D2" s="1409" t="s">
        <v>920</v>
      </c>
      <c r="E2" s="1410"/>
      <c r="F2" s="1409" t="s">
        <v>922</v>
      </c>
      <c r="G2" s="1653">
        <f>IF(E2="商业",项目基本情况!B43,IF(E2="办公",项目基本情况!C43,IF(E2="住宅",项目基本情况!D43,项目基本情况!E43)))</f>
        <v>0</v>
      </c>
      <c r="H2" s="1409" t="s">
        <v>924</v>
      </c>
      <c r="I2" s="1654">
        <f>IF(E2="商业",项目基本情况!B44,IF(E2="办公",项目基本情况!C44,IF(E2="住宅",项目基本情况!D44,项目基本情况!E44)))</f>
        <v>0</v>
      </c>
      <c r="J2" s="1411"/>
      <c r="K2" s="1402"/>
      <c r="L2" s="1885" t="s">
        <v>2237</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1686</v>
      </c>
      <c r="B3" s="1038" t="e">
        <f>ROUND(B2*10000/D1,0)</f>
        <v>#DIV/0!</v>
      </c>
      <c r="C3" s="1408" t="s">
        <v>925</v>
      </c>
      <c r="D3" s="1409" t="s">
        <v>926</v>
      </c>
      <c r="E3" s="1413"/>
      <c r="F3" s="1414" t="s">
        <v>2921</v>
      </c>
      <c r="G3" s="1039">
        <f>IF(F3="宗地容积率",'数据-汇总表'!I4,IF(F3="估价对象容积率",'数据-汇总表'!I6,'数据-汇总表'!I7))</f>
        <v>2.4</v>
      </c>
      <c r="H3" s="1415" t="s">
        <v>927</v>
      </c>
      <c r="I3" s="1040">
        <v>8</v>
      </c>
      <c r="J3" s="1411" t="s">
        <v>928</v>
      </c>
      <c r="K3" s="1402"/>
      <c r="L3" s="1885" t="s">
        <v>2238</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2278</v>
      </c>
      <c r="B4" s="2432" t="e">
        <f>ROUND(B2*10000/F1,0)</f>
        <v>#DIV/0!</v>
      </c>
      <c r="C4" s="1894" t="s">
        <v>2252</v>
      </c>
      <c r="D4" s="1894" t="e">
        <f>ROUND(B2/(F1/666.67),0)</f>
        <v>#DIV/0!</v>
      </c>
      <c r="E4" s="1894" t="s">
        <v>2253</v>
      </c>
      <c r="F4" s="1892"/>
      <c r="G4" s="1892"/>
      <c r="H4" s="1892"/>
      <c r="I4" s="1892"/>
      <c r="J4" s="1893"/>
      <c r="K4" s="1402"/>
      <c r="L4" s="1885" t="s">
        <v>2239</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1822</v>
      </c>
      <c r="B5" s="1416" t="s">
        <v>929</v>
      </c>
      <c r="C5" s="1041" t="e">
        <f>ROUND(IF(E2="商业",IF(F16="增加",C6*C7+C16,C6*C7-C16),IF(E2="住宅",IF(F16="增加",C6*C12+C16,C6*C12-C16),IF(F16="增加",C6+C16,C6-C16))),0)</f>
        <v>#DIV/0!</v>
      </c>
      <c r="D5" s="3092" t="e">
        <f>ROUND(IF(F16="增加",C6+C16,C6-C16),0)</f>
        <v>#DIV/0!</v>
      </c>
      <c r="E5" s="3092"/>
      <c r="F5" s="1417"/>
      <c r="G5" s="1418"/>
      <c r="H5" s="1418"/>
      <c r="I5" s="1418"/>
      <c r="J5" s="1419"/>
      <c r="K5" s="1595"/>
      <c r="L5" s="1885" t="s">
        <v>2240</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1869</v>
      </c>
      <c r="B6" s="1423" t="s">
        <v>929</v>
      </c>
      <c r="C6" s="1042">
        <f>SUMIF(L1:L12,基准地价!G2,M1:M12)</f>
        <v>0</v>
      </c>
      <c r="D6" s="1424" t="s">
        <v>1694</v>
      </c>
      <c r="E6" s="1425"/>
      <c r="F6" s="1425"/>
      <c r="G6" s="1426"/>
      <c r="H6" s="1426"/>
      <c r="I6" s="1426"/>
      <c r="J6" s="1427"/>
      <c r="K6" s="1596"/>
      <c r="L6" s="1885" t="s">
        <v>2241</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530" t="str">
        <f>IF(E2="商业",IF(C8="不临58条商业街","",2),"")</f>
        <v/>
      </c>
      <c r="B7" s="1428" t="s">
        <v>930</v>
      </c>
      <c r="C7" s="1043" t="e">
        <f>IF(C8="不临58条商业街",1,ROUND(1+(1.6*E8+1.2*E9+0.8*E10+0.4*E11)*C9,4))</f>
        <v>#DIV/0!</v>
      </c>
      <c r="D7" s="1429" t="s">
        <v>931</v>
      </c>
      <c r="E7" s="1044"/>
      <c r="F7" s="1430"/>
      <c r="G7" s="1431"/>
      <c r="H7" s="1431"/>
      <c r="I7" s="1431"/>
      <c r="J7" s="1432"/>
      <c r="K7" s="1596"/>
      <c r="L7" s="1885" t="s">
        <v>2242</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2.4</v>
      </c>
      <c r="AA7" s="2192"/>
      <c r="AB7" s="2192"/>
      <c r="AC7" s="2193"/>
      <c r="AD7" s="2907"/>
      <c r="AE7" s="2907"/>
      <c r="AF7" s="2907"/>
      <c r="AG7" s="2907"/>
      <c r="AH7" s="2907"/>
      <c r="AI7" s="2907"/>
      <c r="AJ7" s="2908"/>
    </row>
    <row r="8" spans="1:39" ht="15">
      <c r="A8" s="3531"/>
      <c r="B8" s="1415" t="s">
        <v>932</v>
      </c>
      <c r="C8" s="1530"/>
      <c r="D8" s="1045" t="s">
        <v>933</v>
      </c>
      <c r="E8" s="1046" t="e">
        <f>ROUND(C11/E7,4)</f>
        <v>#DIV/0!</v>
      </c>
      <c r="F8" s="1433" t="s">
        <v>934</v>
      </c>
      <c r="G8" s="1434"/>
      <c r="H8" s="1434"/>
      <c r="I8" s="1434"/>
      <c r="J8" s="1435"/>
      <c r="K8" s="1402"/>
      <c r="L8" s="1885" t="s">
        <v>2243</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522" t="s">
        <v>2780</v>
      </c>
      <c r="X8" s="3523"/>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531"/>
      <c r="B9" s="1415" t="s">
        <v>935</v>
      </c>
      <c r="C9" s="1047">
        <f>SUMIF(修正!C59:C119,C8,修正!E59:E119)</f>
        <v>0</v>
      </c>
      <c r="D9" s="1048" t="s">
        <v>936</v>
      </c>
      <c r="E9" s="1048" t="e">
        <f>ROUND(C11/E7,4)</f>
        <v>#DIV/0!</v>
      </c>
      <c r="F9" s="1433" t="s">
        <v>937</v>
      </c>
      <c r="G9" s="1434"/>
      <c r="H9" s="1434"/>
      <c r="I9" s="1434"/>
      <c r="J9" s="1435"/>
      <c r="K9" s="1402"/>
      <c r="L9" s="1885" t="s">
        <v>2244</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521" t="s">
        <v>2776</v>
      </c>
      <c r="X9" s="2909" t="s">
        <v>2777</v>
      </c>
      <c r="Y9" s="3070"/>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531"/>
      <c r="B10" s="1415" t="s">
        <v>938</v>
      </c>
      <c r="C10" s="1048">
        <f>SUMIF(修正!C59:C119,C8,修正!F59:F119)</f>
        <v>0</v>
      </c>
      <c r="D10" s="1048" t="s">
        <v>939</v>
      </c>
      <c r="E10" s="1048" t="e">
        <f>ROUND(C11/E7,4)</f>
        <v>#DIV/0!</v>
      </c>
      <c r="F10" s="1433" t="s">
        <v>940</v>
      </c>
      <c r="G10" s="1434"/>
      <c r="H10" s="1434"/>
      <c r="I10" s="1434"/>
      <c r="J10" s="1435"/>
      <c r="K10" s="1402"/>
      <c r="L10" s="1885" t="s">
        <v>2245</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521"/>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531"/>
      <c r="B11" s="1436" t="s">
        <v>941</v>
      </c>
      <c r="C11" s="1049">
        <f>C10/4</f>
        <v>0</v>
      </c>
      <c r="D11" s="1049" t="s">
        <v>942</v>
      </c>
      <c r="E11" s="1049" t="e">
        <f>ROUND(C11/E7,4)</f>
        <v>#DIV/0!</v>
      </c>
      <c r="F11" s="1437" t="s">
        <v>943</v>
      </c>
      <c r="G11" s="1438"/>
      <c r="H11" s="1438"/>
      <c r="I11" s="1438"/>
      <c r="J11" s="1439"/>
      <c r="K11" s="1402"/>
      <c r="L11" s="1885" t="s">
        <v>2246</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521" t="s">
        <v>2778</v>
      </c>
      <c r="X11" s="1048" t="s">
        <v>2763</v>
      </c>
      <c r="Y11" s="1654">
        <f>$G$3</f>
        <v>2.4</v>
      </c>
      <c r="Z11" s="1654">
        <f t="shared" ref="Z11:AJ11" si="3">$G$3</f>
        <v>2.4</v>
      </c>
      <c r="AA11" s="1654">
        <f t="shared" si="3"/>
        <v>2.4</v>
      </c>
      <c r="AB11" s="1654">
        <f t="shared" si="3"/>
        <v>2.4</v>
      </c>
      <c r="AC11" s="1654">
        <f t="shared" si="3"/>
        <v>2.4</v>
      </c>
      <c r="AD11" s="1654">
        <f t="shared" si="3"/>
        <v>2.4</v>
      </c>
      <c r="AE11" s="1654">
        <f t="shared" si="3"/>
        <v>2.4</v>
      </c>
      <c r="AF11" s="1654">
        <f t="shared" si="3"/>
        <v>2.4</v>
      </c>
      <c r="AG11" s="1654">
        <f t="shared" si="3"/>
        <v>2.4</v>
      </c>
      <c r="AH11" s="1654">
        <f t="shared" si="3"/>
        <v>2.4</v>
      </c>
      <c r="AI11" s="1654">
        <f t="shared" si="3"/>
        <v>2.4</v>
      </c>
      <c r="AJ11" s="1654">
        <f t="shared" si="3"/>
        <v>2.4</v>
      </c>
    </row>
    <row r="12" spans="1:39" ht="25.5" thickBot="1">
      <c r="A12" s="3530" t="s">
        <v>1870</v>
      </c>
      <c r="B12" s="1440" t="s">
        <v>944</v>
      </c>
      <c r="C12" s="1043">
        <f>ROUND(C15*D15*E15*F15*G15*H15*I15*J15,4)</f>
        <v>1</v>
      </c>
      <c r="D12" s="1441" t="s">
        <v>945</v>
      </c>
      <c r="E12" s="1442"/>
      <c r="F12" s="1442"/>
      <c r="G12" s="1443"/>
      <c r="H12" s="1443"/>
      <c r="I12" s="1443"/>
      <c r="J12" s="1444"/>
      <c r="K12" s="1402"/>
      <c r="L12" s="1888" t="s">
        <v>2247</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521"/>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532"/>
      <c r="B13" s="1445" t="s">
        <v>1695</v>
      </c>
      <c r="C13" s="1446" t="s">
        <v>1696</v>
      </c>
      <c r="D13" s="1089" t="s">
        <v>1697</v>
      </c>
      <c r="E13" s="1089" t="s">
        <v>1698</v>
      </c>
      <c r="F13" s="1447" t="s">
        <v>946</v>
      </c>
      <c r="G13" s="1448" t="s">
        <v>1641</v>
      </c>
      <c r="H13" s="1449" t="s">
        <v>1641</v>
      </c>
      <c r="I13" s="1450" t="s">
        <v>1641</v>
      </c>
      <c r="J13" s="1451" t="s">
        <v>1641</v>
      </c>
      <c r="K13" s="1402"/>
      <c r="L13" s="2189"/>
      <c r="M13" s="2189"/>
      <c r="N13" s="2189"/>
      <c r="O13" s="2189"/>
      <c r="P13" s="2189"/>
      <c r="Q13" s="2189"/>
      <c r="R13" s="2915">
        <v>12</v>
      </c>
      <c r="S13" s="2904"/>
      <c r="T13" s="2915" t="e">
        <f t="shared" si="0"/>
        <v>#DIV/0!</v>
      </c>
      <c r="U13" s="2904"/>
      <c r="V13" s="2915" t="e">
        <f t="shared" si="1"/>
        <v>#DIV/0!</v>
      </c>
      <c r="W13" s="3521"/>
      <c r="X13" s="2912"/>
      <c r="Y13" s="2911">
        <f>(-0.163*(Y12^2)-0.59*Y12+7617)*(10^(-4))/Y11</f>
        <v>0.31737500000000002</v>
      </c>
      <c r="Z13" s="2911">
        <f t="shared" ref="Z13:AJ13" si="5">(-0.163*(Z12^2)-0.59*Z12+7617)*(10^(-4))/Z11</f>
        <v>0.31737500000000002</v>
      </c>
      <c r="AA13" s="2911">
        <f t="shared" si="5"/>
        <v>0.31737500000000002</v>
      </c>
      <c r="AB13" s="2911">
        <f t="shared" si="5"/>
        <v>0.31737500000000002</v>
      </c>
      <c r="AC13" s="2911">
        <f t="shared" si="5"/>
        <v>0.31737500000000002</v>
      </c>
      <c r="AD13" s="2911">
        <f t="shared" si="5"/>
        <v>0.31737500000000002</v>
      </c>
      <c r="AE13" s="2911">
        <f t="shared" si="5"/>
        <v>0.31737500000000002</v>
      </c>
      <c r="AF13" s="2911">
        <f t="shared" si="5"/>
        <v>0.31737500000000002</v>
      </c>
      <c r="AG13" s="2911">
        <f t="shared" si="5"/>
        <v>0.31737500000000002</v>
      </c>
      <c r="AH13" s="2911">
        <f t="shared" si="5"/>
        <v>0.31737500000000002</v>
      </c>
      <c r="AI13" s="2911">
        <f t="shared" si="5"/>
        <v>0.31737500000000002</v>
      </c>
      <c r="AJ13" s="2911">
        <f t="shared" si="5"/>
        <v>0.31737500000000002</v>
      </c>
    </row>
    <row r="14" spans="1:39" ht="12.75" customHeight="1" thickBot="1">
      <c r="A14" s="3532"/>
      <c r="B14" s="1452"/>
      <c r="C14" s="1453"/>
      <c r="D14" s="1454"/>
      <c r="E14" s="1454"/>
      <c r="F14" s="1455"/>
      <c r="G14" s="1456" t="s">
        <v>947</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533"/>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189"/>
      <c r="R15" s="2915">
        <v>14</v>
      </c>
      <c r="S15" s="2904"/>
      <c r="T15" s="2915" t="e">
        <f t="shared" si="0"/>
        <v>#DIV/0!</v>
      </c>
      <c r="U15" s="2904"/>
      <c r="V15" s="2915" t="e">
        <f t="shared" si="1"/>
        <v>#DIV/0!</v>
      </c>
      <c r="W15" s="2189"/>
      <c r="X15" s="2189"/>
      <c r="Y15" s="2189"/>
      <c r="Z15" s="2189"/>
      <c r="AA15" s="2189"/>
      <c r="AB15" s="2189"/>
      <c r="AC15" s="2190"/>
    </row>
    <row r="16" spans="1:39" ht="24">
      <c r="A16" s="3530" t="s">
        <v>1837</v>
      </c>
      <c r="B16" s="1428" t="s">
        <v>948</v>
      </c>
      <c r="C16" s="1054" t="e">
        <f>ROUND(SUM(G17:J17)/C17,0)</f>
        <v>#DIV/0!</v>
      </c>
      <c r="D16" s="1461" t="s">
        <v>949</v>
      </c>
      <c r="E16" s="1462"/>
      <c r="F16" s="1463"/>
      <c r="G16" s="1464"/>
      <c r="H16" s="1464"/>
      <c r="I16" s="1464"/>
      <c r="J16" s="1464"/>
      <c r="K16" s="1402"/>
      <c r="L16" s="1465" t="s">
        <v>986</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531"/>
      <c r="B17" s="1466" t="s">
        <v>951</v>
      </c>
      <c r="C17" s="1055">
        <f>SUMPRODUCT((修正!A2:A5=E2)*(修正!B1:M1=G2)*(修正!B2:M5))</f>
        <v>0</v>
      </c>
      <c r="D17" s="1468" t="s">
        <v>952</v>
      </c>
      <c r="E17" s="1469" t="str">
        <f>IF(OR(G2="八级",G2="九级",G2="十级",G2="十一级",G2="十二级"),"五通一平","七通一平")</f>
        <v>七通一平</v>
      </c>
      <c r="F17" s="1467"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972</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1828</v>
      </c>
      <c r="B18" s="2750" t="s">
        <v>954</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1834</v>
      </c>
      <c r="B19" s="1471" t="s">
        <v>955</v>
      </c>
      <c r="C19" s="1057" t="e">
        <f>ROUND(IF(H19="按公示增长率计算",SUMPRODUCT((地价!A3:A25=YEAR(G19)&amp;"-"&amp;ROUNDUP(MONTH(G19)/3,0))*(地价!X2:AB2=E2)*(地价!X3:AB25)),IF(H19="地价指数",M20/M19,(1+I19)^O19)),4)</f>
        <v>#DIV/0!</v>
      </c>
      <c r="D19" s="1475" t="s">
        <v>956</v>
      </c>
      <c r="E19" s="1058">
        <v>41640</v>
      </c>
      <c r="F19" s="1475" t="s">
        <v>957</v>
      </c>
      <c r="G19" s="1059">
        <f>'数据-取费表'!B2</f>
        <v>43529</v>
      </c>
      <c r="H19" s="1476" t="s">
        <v>2922</v>
      </c>
      <c r="I19" s="2762" t="str">
        <f>IF(H19="季度增幅（自定义）",SUMIF(N21:N24,E2,O21:O24),"")</f>
        <v/>
      </c>
      <c r="J19" s="1472"/>
      <c r="K19" s="1482"/>
      <c r="L19" s="3015" t="s">
        <v>2838</v>
      </c>
      <c r="M19" s="3016">
        <f>ROUND(SUMIF(地价!B2:F2,E2,地价!B25:F25),0)</f>
        <v>0</v>
      </c>
      <c r="N19" s="2764" t="s">
        <v>1675</v>
      </c>
      <c r="O19" s="2763">
        <f>ROUNDDOWN(DATEDIF(E19,G19,"M")/3,0)</f>
        <v>20</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1835</v>
      </c>
      <c r="B20" s="2757" t="s">
        <v>970</v>
      </c>
      <c r="C20" s="2758" t="e">
        <f>ROUND(POWER(1+G20,J20-I20)*(POWER(1+G20,I20)-1)/(POWER(1+G20,J20)-1),4)</f>
        <v>#DIV/0!</v>
      </c>
      <c r="D20" s="2759" t="s">
        <v>971</v>
      </c>
      <c r="E20" s="3067">
        <f ca="1">存贷款利率!I4/100</f>
        <v>4.3499999999999997E-2</v>
      </c>
      <c r="F20" s="2759" t="s">
        <v>972</v>
      </c>
      <c r="G20" s="2760">
        <f>SUMIF(M15:P15,E2,M17:P17)</f>
        <v>0</v>
      </c>
      <c r="H20" s="2759" t="s">
        <v>973</v>
      </c>
      <c r="I20" s="2749" t="e">
        <f>SUMIF('数据-取费表'!C6:C15,E2,'数据-取费表'!F6:F15)/COUNTIF('数据-取费表'!C6:C15,E2)</f>
        <v>#DIV/0!</v>
      </c>
      <c r="J20" s="2761">
        <f>IF(E2="住宅",70,IF(E2="商业",40,50))</f>
        <v>50</v>
      </c>
      <c r="K20" s="1482"/>
      <c r="L20" s="3017" t="s">
        <v>2839</v>
      </c>
      <c r="M20" s="3018">
        <f>ROUND(SUMPRODUCT((地价!A4:A25=YEAR(G19)&amp;"-"&amp;ROUNDUP(MONTH(G19)/3,0))*(地价!B2:F2=E2)*(地价!B4:F25)),0)</f>
        <v>0</v>
      </c>
      <c r="N20" s="2767" t="s">
        <v>2642</v>
      </c>
      <c r="O20" s="2765" t="s">
        <v>2641</v>
      </c>
      <c r="P20" s="2766" t="s">
        <v>2647</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1836</v>
      </c>
      <c r="B21" s="1481" t="s">
        <v>2758</v>
      </c>
      <c r="C21" s="1158">
        <f>IF(B21="容积率修正",IF(G3&lt;=10,D22,J22),C23)</f>
        <v>0</v>
      </c>
      <c r="D21" s="1482"/>
      <c r="E21" s="1482"/>
      <c r="F21" s="1482"/>
      <c r="G21" s="1482"/>
      <c r="H21" s="1482"/>
      <c r="I21" s="1482"/>
      <c r="J21" s="1483"/>
      <c r="K21" s="1482"/>
      <c r="L21" s="1482"/>
      <c r="M21" s="1482"/>
      <c r="N21" s="1479" t="s">
        <v>974</v>
      </c>
      <c r="O21" s="1543"/>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1869</v>
      </c>
      <c r="B22" s="1484" t="s">
        <v>975</v>
      </c>
      <c r="C22" s="1060" t="s">
        <v>1701</v>
      </c>
      <c r="D22" s="1060" t="b">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2"/>
      <c r="L22" s="1482"/>
      <c r="M22" s="1482"/>
      <c r="N22" s="1479" t="s">
        <v>977</v>
      </c>
      <c r="O22" s="1543"/>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921</v>
      </c>
      <c r="O23" s="1543"/>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5"/>
    </row>
    <row r="24" spans="1:40" s="1422" customFormat="1" ht="15.75" thickBot="1">
      <c r="A24" s="1642" t="s">
        <v>1871</v>
      </c>
      <c r="B24" s="1416" t="s">
        <v>979</v>
      </c>
      <c r="C24" s="1062">
        <f>SUMIF(A44:A87,E2,B44:B87)</f>
        <v>0</v>
      </c>
      <c r="D24" s="1536"/>
      <c r="E24" s="1537"/>
      <c r="F24" s="1537"/>
      <c r="G24" s="1537"/>
      <c r="H24" s="1537"/>
      <c r="I24" s="1537"/>
      <c r="J24" s="1537"/>
      <c r="K24" s="1482"/>
      <c r="L24" s="1482"/>
      <c r="M24" s="1482"/>
      <c r="N24" s="1485" t="s">
        <v>980</v>
      </c>
      <c r="O24" s="1544"/>
      <c r="P24" s="1542">
        <f>SUMPRODUCT((地价!A3:A25=YEAR(G19)&amp;"-"&amp;ROUNDUP(MONTH(G19)/3,0))*(地价!AD2:AH2=N24)*(地价!AD3:AH25))</f>
        <v>1.4200000000000001E-2</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195"/>
      <c r="M25" s="2195"/>
      <c r="N25" s="2775" t="s">
        <v>2645</v>
      </c>
      <c r="O25" s="2195"/>
      <c r="P25" s="1542">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90"/>
      <c r="B26" s="1484" t="s">
        <v>985</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987</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988</v>
      </c>
      <c r="C28" s="1500" t="s">
        <v>989</v>
      </c>
      <c r="D28" s="1500" t="s">
        <v>990</v>
      </c>
      <c r="E28" s="1501" t="s">
        <v>991</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992</v>
      </c>
      <c r="C29" s="1063" t="e">
        <f>ROUND(C5*C18*C19*C20*C21*C24,0)</f>
        <v>#DIV/0!</v>
      </c>
      <c r="D29" s="1505"/>
      <c r="E29" s="1849" t="e">
        <f>ROUND(C29*D29/10000,0)</f>
        <v>#DIV/0!</v>
      </c>
      <c r="F29" s="1506" t="s">
        <v>1700</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993</v>
      </c>
      <c r="C30" s="1051" t="e">
        <f>ROUND(IF(E2="工业",C29*M39,C29*M38),0)</f>
        <v>#DIV/0!</v>
      </c>
      <c r="D30" s="1511"/>
      <c r="E30" s="1849" t="e">
        <f>ROUND(C30*D30/10000,0)</f>
        <v>#DIV/0!</v>
      </c>
      <c r="F30" s="1512" t="s">
        <v>994</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536" t="s">
        <v>2948</v>
      </c>
      <c r="B33" s="1525" t="s">
        <v>998</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537"/>
      <c r="B34" s="1446" t="s">
        <v>999</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537"/>
      <c r="B35" s="1446" t="s">
        <v>1000</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38"/>
      <c r="B36" s="1446" t="s">
        <v>1001</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1002</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1702</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1003</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1704</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1004</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1703</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0" t="s">
        <v>2975</v>
      </c>
      <c r="C41" s="839" t="e">
        <f>ROUND(POWER(1+E41,H41-G41)*(POWER(1+E41,G41)-1)/(POWER(1+E41,H41)-1),4)</f>
        <v>#DIV/0!</v>
      </c>
      <c r="D41" s="378" t="s">
        <v>2973</v>
      </c>
      <c r="E41" s="3169">
        <f>G20</f>
        <v>0</v>
      </c>
      <c r="F41" s="378" t="s">
        <v>2974</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1005</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1006</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1007</v>
      </c>
      <c r="B46" s="2387" t="s">
        <v>1008</v>
      </c>
      <c r="C46" s="2409" t="s">
        <v>1009</v>
      </c>
      <c r="D46" s="2410" t="s">
        <v>1010</v>
      </c>
      <c r="E46" s="2411" t="s">
        <v>1012</v>
      </c>
      <c r="F46" s="2412" t="s">
        <v>2248</v>
      </c>
      <c r="G46" s="2410" t="s">
        <v>1013</v>
      </c>
      <c r="H46" s="2393" t="s">
        <v>2415</v>
      </c>
      <c r="I46" s="2410" t="s">
        <v>1011</v>
      </c>
      <c r="J46" s="2413" t="s">
        <v>1014</v>
      </c>
      <c r="K46" s="2413" t="s">
        <v>1015</v>
      </c>
      <c r="L46" s="2413" t="s">
        <v>1016</v>
      </c>
      <c r="M46" s="2413" t="s">
        <v>1017</v>
      </c>
      <c r="N46" s="2413" t="s">
        <v>1018</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24">
      <c r="A47" s="1067" t="s">
        <v>1019</v>
      </c>
      <c r="B47" s="2390" t="str">
        <f>估价对象房地状况!C16</f>
        <v>一般</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14.25">
      <c r="A48" s="1067" t="s">
        <v>1020</v>
      </c>
      <c r="B48" s="2387" t="str">
        <f>估价对象房地状况!C18</f>
        <v>一般</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1021</v>
      </c>
      <c r="B49" s="2387" t="str">
        <f>估价对象房地状况!C19</f>
        <v>较好</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1022</v>
      </c>
      <c r="B50" s="3069" t="s">
        <v>2924</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1023</v>
      </c>
      <c r="B51" s="2387" t="str">
        <f>估价对象房地状况!C24</f>
        <v>支路</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1024</v>
      </c>
      <c r="B52" s="3068" t="s">
        <v>2923</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1025</v>
      </c>
      <c r="B53" s="2388" t="str">
        <f>估价对象房地状况!C21</f>
        <v>一般</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1026</v>
      </c>
      <c r="B54" s="2387" t="str">
        <f>估价对象房地状况!C22</f>
        <v>六通</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24.75" thickBot="1">
      <c r="A55" s="2420" t="s">
        <v>1027</v>
      </c>
      <c r="B55" s="2391" t="str">
        <f>估价对象房地状况!C20</f>
        <v>自然较好，人文较差，总体一般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1028</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1007</v>
      </c>
      <c r="B57" s="2387"/>
      <c r="C57" s="2409" t="s">
        <v>1009</v>
      </c>
      <c r="D57" s="2410" t="s">
        <v>1010</v>
      </c>
      <c r="E57" s="2411" t="s">
        <v>1012</v>
      </c>
      <c r="F57" s="2412" t="s">
        <v>2249</v>
      </c>
      <c r="G57" s="2410" t="s">
        <v>1013</v>
      </c>
      <c r="H57" s="2393" t="s">
        <v>2415</v>
      </c>
      <c r="I57" s="2410" t="s">
        <v>1011</v>
      </c>
      <c r="J57" s="2413" t="s">
        <v>1014</v>
      </c>
      <c r="K57" s="2413" t="s">
        <v>1015</v>
      </c>
      <c r="L57" s="2413" t="s">
        <v>1016</v>
      </c>
      <c r="M57" s="2413" t="s">
        <v>1017</v>
      </c>
      <c r="N57" s="2413" t="s">
        <v>1018</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1029</v>
      </c>
      <c r="B58" s="2390">
        <f>估价对象房地状况!C17</f>
        <v>0</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14.25">
      <c r="A59" s="1067" t="s">
        <v>1020</v>
      </c>
      <c r="B59" s="2387" t="str">
        <f>估价对象房地状况!C18</f>
        <v>一般</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1021</v>
      </c>
      <c r="B60" s="2387" t="str">
        <f>估价对象房地状况!C19</f>
        <v>较好</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1022</v>
      </c>
      <c r="B61" s="3069" t="s">
        <v>2925</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1023</v>
      </c>
      <c r="B62" s="2387" t="str">
        <f>估价对象房地状况!C24</f>
        <v>支路</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1024</v>
      </c>
      <c r="B63" s="3068" t="s">
        <v>2923</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1025</v>
      </c>
      <c r="B64" s="2388" t="str">
        <f>估价对象房地状况!C21</f>
        <v>一般</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1026</v>
      </c>
      <c r="B65" s="2388" t="str">
        <f>估价对象房地状况!C22</f>
        <v>六通</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24.75" thickBot="1">
      <c r="A66" s="2420" t="s">
        <v>1027</v>
      </c>
      <c r="B66" s="2392" t="str">
        <f>估价对象房地状况!C20</f>
        <v>自然较好，人文较差，总体一般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1030</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1007</v>
      </c>
      <c r="B68" s="2387"/>
      <c r="C68" s="2409" t="s">
        <v>1009</v>
      </c>
      <c r="D68" s="2410" t="s">
        <v>1010</v>
      </c>
      <c r="E68" s="2411" t="s">
        <v>1012</v>
      </c>
      <c r="F68" s="2412" t="s">
        <v>2250</v>
      </c>
      <c r="G68" s="2410" t="s">
        <v>1013</v>
      </c>
      <c r="H68" s="2393" t="s">
        <v>2415</v>
      </c>
      <c r="I68" s="2410" t="s">
        <v>1011</v>
      </c>
      <c r="J68" s="2413" t="s">
        <v>1014</v>
      </c>
      <c r="K68" s="2413" t="s">
        <v>1015</v>
      </c>
      <c r="L68" s="2413" t="s">
        <v>1016</v>
      </c>
      <c r="M68" s="2413" t="s">
        <v>1017</v>
      </c>
      <c r="N68" s="2413" t="s">
        <v>1018</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24">
      <c r="A69" s="1067" t="s">
        <v>1031</v>
      </c>
      <c r="B69" s="2390" t="str">
        <f>估价对象房地状况!C15</f>
        <v>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14.25">
      <c r="A70" s="1067" t="s">
        <v>1032</v>
      </c>
      <c r="B70" s="2387" t="str">
        <f>估价对象房地状况!C18</f>
        <v>一般</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1021</v>
      </c>
      <c r="B71" s="2387" t="str">
        <f>估价对象房地状况!C19</f>
        <v>较好</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1033</v>
      </c>
      <c r="B72" s="2387" t="str">
        <f>估价对象房地状况!C24</f>
        <v>支路</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1025</v>
      </c>
      <c r="B73" s="2388" t="str">
        <f>估价对象房地状况!C21</f>
        <v>一般</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1026</v>
      </c>
      <c r="B74" s="2388" t="str">
        <f>估价对象房地状况!C22</f>
        <v>六通</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1024</v>
      </c>
      <c r="B75" s="3068" t="s">
        <v>2923</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24">
      <c r="A76" s="1067" t="s">
        <v>1027</v>
      </c>
      <c r="B76" s="2390" t="str">
        <f>估价对象房地状况!C20</f>
        <v>自然较好，人文较差，总体一般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1034</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1035</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1007</v>
      </c>
      <c r="B79" s="2387"/>
      <c r="C79" s="2409" t="s">
        <v>1009</v>
      </c>
      <c r="D79" s="2410" t="s">
        <v>1010</v>
      </c>
      <c r="E79" s="2411" t="s">
        <v>1012</v>
      </c>
      <c r="F79" s="2412" t="s">
        <v>2251</v>
      </c>
      <c r="G79" s="2410" t="s">
        <v>1013</v>
      </c>
      <c r="H79" s="2393" t="s">
        <v>2415</v>
      </c>
      <c r="I79" s="2410" t="s">
        <v>1011</v>
      </c>
      <c r="J79" s="2413" t="s">
        <v>1014</v>
      </c>
      <c r="K79" s="2413" t="s">
        <v>1015</v>
      </c>
      <c r="L79" s="2413" t="s">
        <v>1016</v>
      </c>
      <c r="M79" s="2413" t="s">
        <v>1017</v>
      </c>
      <c r="N79" s="2413" t="s">
        <v>1018</v>
      </c>
      <c r="AC79" s="1406"/>
      <c r="AD79" s="1405"/>
      <c r="AJ79" s="1404"/>
      <c r="AN79" s="1405"/>
    </row>
    <row r="80" spans="1:40" ht="24">
      <c r="A80" s="1067" t="s">
        <v>1036</v>
      </c>
      <c r="B80" s="2387">
        <f>估价对象房地状况!G15</f>
        <v>0</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14.25">
      <c r="A81" s="1067" t="s">
        <v>1032</v>
      </c>
      <c r="B81" s="2387">
        <f>估价对象房地状况!G16</f>
        <v>0</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1021</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1033</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1025</v>
      </c>
      <c r="B84" s="2388">
        <f>估价对象房地状况!G19</f>
        <v>0</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1026</v>
      </c>
      <c r="B85" s="2388">
        <f>估价对象房地状况!G20</f>
        <v>0</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1024</v>
      </c>
      <c r="B86" s="3068" t="s">
        <v>2923</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15" thickBot="1">
      <c r="A87" s="2420" t="s">
        <v>1037</v>
      </c>
      <c r="B87" s="2389">
        <f>估价对象房地状况!G18</f>
        <v>0</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534" t="s">
        <v>1632</v>
      </c>
      <c r="B90" s="3534"/>
      <c r="C90" s="3534"/>
      <c r="D90" s="3534"/>
      <c r="E90" s="3534"/>
      <c r="F90" s="3534"/>
      <c r="G90" s="3534"/>
      <c r="H90" s="3534"/>
      <c r="I90" s="3534"/>
      <c r="J90" s="3534"/>
      <c r="K90" s="2429"/>
      <c r="L90" s="2429"/>
      <c r="M90" s="2429"/>
      <c r="N90" s="2429"/>
    </row>
    <row r="91" spans="1:40">
      <c r="A91" s="3535" t="s">
        <v>1442</v>
      </c>
      <c r="B91" s="3535" t="s">
        <v>1633</v>
      </c>
      <c r="C91" s="1140" t="s">
        <v>1634</v>
      </c>
      <c r="D91" s="1141"/>
      <c r="E91" s="1141"/>
      <c r="F91" s="1141"/>
      <c r="G91" s="1141"/>
      <c r="H91" s="1141"/>
      <c r="I91" s="1141"/>
      <c r="J91" s="1142"/>
      <c r="K91" s="1134"/>
      <c r="L91" s="1134"/>
      <c r="M91" s="1134"/>
      <c r="N91" s="1134"/>
    </row>
    <row r="92" spans="1:40">
      <c r="A92" s="3535"/>
      <c r="B92" s="3535"/>
      <c r="C92" s="2428" t="s">
        <v>905</v>
      </c>
      <c r="D92" s="2428" t="s">
        <v>883</v>
      </c>
      <c r="E92" s="2428" t="s">
        <v>884</v>
      </c>
      <c r="F92" s="2428" t="s">
        <v>908</v>
      </c>
      <c r="G92" s="2428" t="s">
        <v>886</v>
      </c>
      <c r="H92" s="2428" t="s">
        <v>887</v>
      </c>
      <c r="I92" s="2428" t="s">
        <v>888</v>
      </c>
      <c r="J92" s="2428" t="s">
        <v>889</v>
      </c>
      <c r="K92" s="2428" t="s">
        <v>913</v>
      </c>
      <c r="L92" s="2428" t="s">
        <v>891</v>
      </c>
      <c r="M92" s="2428" t="s">
        <v>892</v>
      </c>
      <c r="N92" s="2428" t="s">
        <v>916</v>
      </c>
    </row>
    <row r="93" spans="1:40">
      <c r="A93" s="3524"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2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2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2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2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2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25"/>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2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24" t="s">
        <v>1636</v>
      </c>
      <c r="B101" s="1147" t="s">
        <v>904</v>
      </c>
      <c r="C101" s="1148">
        <f>$G$3</f>
        <v>2.4</v>
      </c>
      <c r="D101" s="1148">
        <f t="shared" ref="D101:N101" si="31">$G$3</f>
        <v>2.4</v>
      </c>
      <c r="E101" s="1148">
        <f t="shared" si="31"/>
        <v>2.4</v>
      </c>
      <c r="F101" s="1148">
        <f t="shared" si="31"/>
        <v>2.4</v>
      </c>
      <c r="G101" s="1148">
        <f t="shared" si="31"/>
        <v>2.4</v>
      </c>
      <c r="H101" s="1148">
        <f t="shared" si="31"/>
        <v>2.4</v>
      </c>
      <c r="I101" s="1148">
        <f t="shared" si="31"/>
        <v>2.4</v>
      </c>
      <c r="J101" s="1148">
        <f t="shared" si="31"/>
        <v>2.4</v>
      </c>
      <c r="K101" s="1148">
        <f t="shared" si="31"/>
        <v>2.4</v>
      </c>
      <c r="L101" s="1148">
        <f t="shared" si="31"/>
        <v>2.4</v>
      </c>
      <c r="M101" s="1148">
        <f t="shared" si="31"/>
        <v>2.4</v>
      </c>
      <c r="N101" s="1148">
        <f t="shared" si="31"/>
        <v>2.4</v>
      </c>
    </row>
    <row r="102" spans="1:14">
      <c r="A102" s="3525"/>
      <c r="B102" s="1143">
        <v>1</v>
      </c>
      <c r="C102" s="1144">
        <f>1.9362/C101</f>
        <v>0.80674999999999997</v>
      </c>
      <c r="D102" s="1144">
        <f>1.9362/D101</f>
        <v>0.80674999999999997</v>
      </c>
      <c r="E102" s="1144">
        <f>1.8629/E101</f>
        <v>0.77620833333333339</v>
      </c>
      <c r="F102" s="1144">
        <f>1.8629/F101</f>
        <v>0.77620833333333339</v>
      </c>
      <c r="G102" s="1144">
        <f>1.8629/G101</f>
        <v>0.77620833333333339</v>
      </c>
      <c r="H102" s="1144">
        <f>1.8629/H101</f>
        <v>0.77620833333333339</v>
      </c>
      <c r="I102" s="1144">
        <f>1.8629/I101</f>
        <v>0.77620833333333339</v>
      </c>
      <c r="J102" s="1144">
        <f>1.942/J101</f>
        <v>0.8091666666666667</v>
      </c>
      <c r="K102" s="1144">
        <f>1.942/K101</f>
        <v>0.8091666666666667</v>
      </c>
      <c r="L102" s="1144">
        <f>1.942/L101</f>
        <v>0.8091666666666667</v>
      </c>
      <c r="M102" s="1144">
        <f>1.942/M101</f>
        <v>0.8091666666666667</v>
      </c>
      <c r="N102" s="1144">
        <f>1.942/N101</f>
        <v>0.8091666666666667</v>
      </c>
    </row>
    <row r="103" spans="1:14">
      <c r="A103" s="3525"/>
      <c r="B103" s="1143">
        <v>2</v>
      </c>
      <c r="C103" s="1144">
        <f>1.4198/C101</f>
        <v>0.59158333333333335</v>
      </c>
      <c r="D103" s="1144">
        <f>1.4198/D101</f>
        <v>0.59158333333333335</v>
      </c>
      <c r="E103" s="1144">
        <f>1.3372/E101</f>
        <v>0.5571666666666667</v>
      </c>
      <c r="F103" s="1144">
        <f>1.3372/F101</f>
        <v>0.5571666666666667</v>
      </c>
      <c r="G103" s="1144">
        <f>1.3372/G101</f>
        <v>0.5571666666666667</v>
      </c>
      <c r="H103" s="1144">
        <f>1.3372/H101</f>
        <v>0.5571666666666667</v>
      </c>
      <c r="I103" s="1144">
        <f>1.3372/I101</f>
        <v>0.5571666666666667</v>
      </c>
      <c r="J103" s="1144">
        <f>1.2799/J101</f>
        <v>0.53329166666666672</v>
      </c>
      <c r="K103" s="1144">
        <f>1.2799/K101</f>
        <v>0.53329166666666672</v>
      </c>
      <c r="L103" s="1144">
        <f>1.2799/L101</f>
        <v>0.53329166666666672</v>
      </c>
      <c r="M103" s="1144">
        <f>1.2799/M101</f>
        <v>0.53329166666666672</v>
      </c>
      <c r="N103" s="1144">
        <f>1.2799/N101</f>
        <v>0.53329166666666672</v>
      </c>
    </row>
    <row r="104" spans="1:14">
      <c r="A104" s="3525"/>
      <c r="B104" s="1143">
        <v>3</v>
      </c>
      <c r="C104" s="1144">
        <f>1.1594/C101</f>
        <v>0.48308333333333336</v>
      </c>
      <c r="D104" s="1144">
        <f>1.1594/D101</f>
        <v>0.48308333333333336</v>
      </c>
      <c r="E104" s="1144">
        <f>1.0788/E101</f>
        <v>0.44950000000000001</v>
      </c>
      <c r="F104" s="1144">
        <f>1.0788/F101</f>
        <v>0.44950000000000001</v>
      </c>
      <c r="G104" s="1144">
        <f>1.0788/G101</f>
        <v>0.44950000000000001</v>
      </c>
      <c r="H104" s="1144">
        <f>1.0788/H101</f>
        <v>0.44950000000000001</v>
      </c>
      <c r="I104" s="1144">
        <f>1.0788/I101</f>
        <v>0.44950000000000001</v>
      </c>
      <c r="J104" s="1144">
        <f>1.0072/J101</f>
        <v>0.41966666666666674</v>
      </c>
      <c r="K104" s="1144">
        <f>1.0072/K101</f>
        <v>0.41966666666666674</v>
      </c>
      <c r="L104" s="1144">
        <f>1.0072/L101</f>
        <v>0.41966666666666674</v>
      </c>
      <c r="M104" s="1144">
        <f>1.0072/M101</f>
        <v>0.41966666666666674</v>
      </c>
      <c r="N104" s="1144">
        <f>1.0072/N101</f>
        <v>0.41966666666666674</v>
      </c>
    </row>
    <row r="105" spans="1:14">
      <c r="A105" s="3525"/>
      <c r="B105" s="1143">
        <v>4</v>
      </c>
      <c r="C105" s="1144">
        <f>0.9622/C101</f>
        <v>0.4009166666666667</v>
      </c>
      <c r="D105" s="1144">
        <f>0.9622/D101</f>
        <v>0.4009166666666667</v>
      </c>
      <c r="E105" s="1144">
        <f>0.8656/E101</f>
        <v>0.36066666666666669</v>
      </c>
      <c r="F105" s="1144">
        <f>0.8656/F101</f>
        <v>0.36066666666666669</v>
      </c>
      <c r="G105" s="1144">
        <f>0.8656/G101</f>
        <v>0.36066666666666669</v>
      </c>
      <c r="H105" s="1144">
        <f>0.8656/H101</f>
        <v>0.36066666666666669</v>
      </c>
      <c r="I105" s="1144">
        <f>0.8656/I101</f>
        <v>0.36066666666666669</v>
      </c>
      <c r="J105" s="1144">
        <f>0.7525/J101</f>
        <v>0.31354166666666666</v>
      </c>
      <c r="K105" s="1144">
        <f>0.7525/K101</f>
        <v>0.31354166666666666</v>
      </c>
      <c r="L105" s="1144">
        <f>0.7525/L101</f>
        <v>0.31354166666666666</v>
      </c>
      <c r="M105" s="1144">
        <f>0.7525/M101</f>
        <v>0.31354166666666666</v>
      </c>
      <c r="N105" s="1144">
        <f>0.7525/N101</f>
        <v>0.31354166666666666</v>
      </c>
    </row>
    <row r="106" spans="1:14">
      <c r="A106" s="3525"/>
      <c r="B106" s="1143">
        <v>5</v>
      </c>
      <c r="C106" s="1144">
        <f>0.8417/C101</f>
        <v>0.35070833333333334</v>
      </c>
      <c r="D106" s="1144">
        <f>0.8417/D101</f>
        <v>0.35070833333333334</v>
      </c>
      <c r="E106" s="1144">
        <f>0.7371/E101</f>
        <v>0.30712499999999998</v>
      </c>
      <c r="F106" s="1144">
        <f>0.7371/F101</f>
        <v>0.30712499999999998</v>
      </c>
      <c r="G106" s="1144">
        <f>0.7371/G101</f>
        <v>0.30712499999999998</v>
      </c>
      <c r="H106" s="1144">
        <f>0.7371/H101</f>
        <v>0.30712499999999998</v>
      </c>
      <c r="I106" s="1144">
        <f>0.7371/I101</f>
        <v>0.30712499999999998</v>
      </c>
      <c r="J106" s="1144">
        <f>0.5659/J101</f>
        <v>0.23579166666666665</v>
      </c>
      <c r="K106" s="1144">
        <f>0.5659/K101</f>
        <v>0.23579166666666665</v>
      </c>
      <c r="L106" s="1144">
        <f>0.5659/L101</f>
        <v>0.23579166666666665</v>
      </c>
      <c r="M106" s="1144">
        <f>0.5659/M101</f>
        <v>0.23579166666666665</v>
      </c>
      <c r="N106" s="1144">
        <f>0.5659/N101</f>
        <v>0.23579166666666665</v>
      </c>
    </row>
    <row r="107" spans="1:14">
      <c r="A107" s="3525"/>
      <c r="B107" s="1143">
        <v>6</v>
      </c>
      <c r="C107" s="1144">
        <f>0.7608/C101</f>
        <v>0.317</v>
      </c>
      <c r="D107" s="1144">
        <f>0.7608/D101</f>
        <v>0.317</v>
      </c>
      <c r="E107" s="1144">
        <f>0.6482/E101</f>
        <v>0.27008333333333334</v>
      </c>
      <c r="F107" s="1144">
        <f>0.6482/F101</f>
        <v>0.27008333333333334</v>
      </c>
      <c r="G107" s="1144">
        <f>0.6482/G101</f>
        <v>0.27008333333333334</v>
      </c>
      <c r="H107" s="1144">
        <f>0.6482/H101</f>
        <v>0.27008333333333334</v>
      </c>
      <c r="I107" s="1144">
        <f>0.6482/I101</f>
        <v>0.27008333333333334</v>
      </c>
      <c r="J107" s="1144">
        <f>0.4525/J101</f>
        <v>0.18854166666666669</v>
      </c>
      <c r="K107" s="1144">
        <f>0.4525/K101</f>
        <v>0.18854166666666669</v>
      </c>
      <c r="L107" s="1144">
        <f>0.4525/L101</f>
        <v>0.18854166666666669</v>
      </c>
      <c r="M107" s="1144">
        <f>0.4525/M101</f>
        <v>0.18854166666666669</v>
      </c>
      <c r="N107" s="1144">
        <f>0.4525/N101</f>
        <v>0.18854166666666669</v>
      </c>
    </row>
    <row r="108" spans="1:14">
      <c r="A108" s="3525"/>
      <c r="B108" s="3527"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26"/>
      <c r="B109" s="3528"/>
      <c r="C109" s="1146">
        <f>(-0.163*(C108^2)-0.59*C108+7617)*(10^(-4))/C101</f>
        <v>0.3167436666666667</v>
      </c>
      <c r="D109" s="1146">
        <f>(-0.163*(D108^2)-0.59*D108+7617)*(10^(-4))/D101</f>
        <v>0.3167436666666667</v>
      </c>
      <c r="E109" s="1146">
        <f>(-0.161*(E108^2)-7.509*E108+6533)*(10^(-4))/E101</f>
        <v>0.26927600000000002</v>
      </c>
      <c r="F109" s="1146">
        <f>(-0.161*(F108^2)-7.509*F108+6533)*(10^(-4))/F101</f>
        <v>0.26927600000000002</v>
      </c>
      <c r="G109" s="1146">
        <f>(-0.161*(G108^2)-7.509*G108+6533)*(10^(-4))/G101</f>
        <v>0.26927600000000002</v>
      </c>
      <c r="H109" s="1146">
        <f>(-0.161*(H108^2)-7.509*H108+6533)*(10^(-4))/H101</f>
        <v>0.26927600000000002</v>
      </c>
      <c r="I109" s="1146">
        <f>(-0.161*(I108^2)-7.509*I108+6533)*(10^(-4))/I101</f>
        <v>0.26927600000000002</v>
      </c>
      <c r="J109" s="1146">
        <f>(-0.214*(J108^2)-21.991*J108+4665)*(10^(-4))/J101</f>
        <v>0.18647400000000003</v>
      </c>
      <c r="K109" s="1146">
        <f>(-0.214*(K108^2)-21.991*K108+4665)*(10^(-4))/K101</f>
        <v>0.18647400000000003</v>
      </c>
      <c r="L109" s="1146">
        <f>(-0.214*(L108^2)-21.991*L108+4665)*(10^(-4))/L101</f>
        <v>0.18647400000000003</v>
      </c>
      <c r="M109" s="1146">
        <f>(-0.214*(M108^2)-21.991*M108+4665)*(10^(-4))/M101</f>
        <v>0.18647400000000003</v>
      </c>
      <c r="N109" s="1146">
        <f>(-0.214*(N108^2)-21.991*N108+4665)*(10^(-4))/N101</f>
        <v>0.18647400000000003</v>
      </c>
    </row>
    <row r="110" spans="1:14">
      <c r="A110" s="3529" t="s">
        <v>1638</v>
      </c>
      <c r="B110" s="3529"/>
      <c r="C110" s="3529"/>
      <c r="D110" s="3529"/>
      <c r="E110" s="3529"/>
      <c r="F110" s="3529"/>
      <c r="G110" s="3529"/>
      <c r="H110" s="3529"/>
      <c r="I110" s="3529"/>
      <c r="J110" s="3529"/>
      <c r="K110" s="2427"/>
      <c r="L110" s="2427"/>
      <c r="M110" s="2427"/>
      <c r="N110" s="2427"/>
    </row>
    <row r="112" spans="1:14" ht="12.75" thickBot="1"/>
    <row r="113" spans="1:13" ht="25.5" thickBot="1">
      <c r="A113" s="1016" t="s">
        <v>894</v>
      </c>
      <c r="B113" s="2430">
        <f>G3</f>
        <v>2.4</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0.91090000000000004</v>
      </c>
      <c r="C115" s="1030">
        <f>B115</f>
        <v>0.91090000000000004</v>
      </c>
      <c r="D115" s="1030">
        <f>ROUND(0.8331-0.0109*B113,4)</f>
        <v>0.80689999999999995</v>
      </c>
      <c r="E115" s="1030">
        <f>D115</f>
        <v>0.80689999999999995</v>
      </c>
      <c r="F115" s="1030">
        <f>E115</f>
        <v>0.80689999999999995</v>
      </c>
      <c r="G115" s="1030">
        <f>F115</f>
        <v>0.80689999999999995</v>
      </c>
      <c r="H115" s="1030">
        <f>G115</f>
        <v>0.80689999999999995</v>
      </c>
      <c r="I115" s="1030">
        <f>ROUND(0.689-0.0155*B113,4)</f>
        <v>0.65180000000000005</v>
      </c>
      <c r="J115" s="1030">
        <f t="shared" ref="J115:M118" si="33">I115</f>
        <v>0.65180000000000005</v>
      </c>
      <c r="K115" s="1030">
        <f t="shared" si="33"/>
        <v>0.65180000000000005</v>
      </c>
      <c r="L115" s="1030">
        <f t="shared" si="33"/>
        <v>0.65180000000000005</v>
      </c>
      <c r="M115" s="1031">
        <f t="shared" si="33"/>
        <v>0.65180000000000005</v>
      </c>
    </row>
    <row r="116" spans="1:13" ht="12.75">
      <c r="A116" s="1029" t="s">
        <v>899</v>
      </c>
      <c r="B116" s="1030">
        <f>ROUND(0.949-0.012*B113,4)</f>
        <v>0.92020000000000002</v>
      </c>
      <c r="C116" s="1030">
        <f>B116</f>
        <v>0.92020000000000002</v>
      </c>
      <c r="D116" s="1030">
        <f>ROUND(0.8567-0.013*B113,4)</f>
        <v>0.82550000000000001</v>
      </c>
      <c r="E116" s="1030">
        <f t="shared" ref="E116:H117" si="34">D116</f>
        <v>0.82550000000000001</v>
      </c>
      <c r="F116" s="1030">
        <f t="shared" si="34"/>
        <v>0.82550000000000001</v>
      </c>
      <c r="G116" s="1030">
        <f t="shared" si="34"/>
        <v>0.82550000000000001</v>
      </c>
      <c r="H116" s="1030">
        <f t="shared" si="34"/>
        <v>0.82550000000000001</v>
      </c>
      <c r="I116" s="1030">
        <f>ROUND(0.7694-0.014*B113,4)</f>
        <v>0.73580000000000001</v>
      </c>
      <c r="J116" s="1030">
        <f t="shared" si="33"/>
        <v>0.73580000000000001</v>
      </c>
      <c r="K116" s="1030">
        <f t="shared" si="33"/>
        <v>0.73580000000000001</v>
      </c>
      <c r="L116" s="1030">
        <f t="shared" si="33"/>
        <v>0.73580000000000001</v>
      </c>
      <c r="M116" s="1031">
        <f t="shared" si="33"/>
        <v>0.73580000000000001</v>
      </c>
    </row>
    <row r="117" spans="1:13" ht="12.75">
      <c r="A117" s="1032" t="s">
        <v>900</v>
      </c>
      <c r="B117" s="1030">
        <f>ROUND(0.8808-0.006*B113,4)</f>
        <v>0.86639999999999995</v>
      </c>
      <c r="C117" s="1030">
        <f>B117</f>
        <v>0.86639999999999995</v>
      </c>
      <c r="D117" s="1030">
        <f>ROUND(0.8748-0.008*B113,4)</f>
        <v>0.85560000000000003</v>
      </c>
      <c r="E117" s="1030">
        <f t="shared" si="34"/>
        <v>0.85560000000000003</v>
      </c>
      <c r="F117" s="1030">
        <f t="shared" si="34"/>
        <v>0.85560000000000003</v>
      </c>
      <c r="G117" s="1030">
        <f t="shared" si="34"/>
        <v>0.85560000000000003</v>
      </c>
      <c r="H117" s="1030">
        <f t="shared" si="34"/>
        <v>0.85560000000000003</v>
      </c>
      <c r="I117" s="1030">
        <f>ROUND(0.7412-0.0095*B113,4)</f>
        <v>0.71840000000000004</v>
      </c>
      <c r="J117" s="1030">
        <f t="shared" si="33"/>
        <v>0.71840000000000004</v>
      </c>
      <c r="K117" s="1030">
        <f t="shared" si="33"/>
        <v>0.71840000000000004</v>
      </c>
      <c r="L117" s="1030">
        <f t="shared" si="33"/>
        <v>0.71840000000000004</v>
      </c>
      <c r="M117" s="1031">
        <f t="shared" si="33"/>
        <v>0.71840000000000004</v>
      </c>
    </row>
    <row r="118" spans="1:13" ht="13.5" thickBot="1">
      <c r="A118" s="1033" t="s">
        <v>901</v>
      </c>
      <c r="B118" s="1034">
        <f>ROUND(0.7275-0.01*B113,4)</f>
        <v>0.70350000000000001</v>
      </c>
      <c r="C118" s="1034">
        <f>B118</f>
        <v>0.70350000000000001</v>
      </c>
      <c r="D118" s="1034">
        <f>ROUND(0.7043-0.012*B113,4)</f>
        <v>0.67549999999999999</v>
      </c>
      <c r="E118" s="1034">
        <f>D118</f>
        <v>0.67549999999999999</v>
      </c>
      <c r="F118" s="1034">
        <f>E118</f>
        <v>0.67549999999999999</v>
      </c>
      <c r="G118" s="1034">
        <f>ROUND(0.6299-0.0122*B113,4)</f>
        <v>0.60060000000000002</v>
      </c>
      <c r="H118" s="1034">
        <f>G118</f>
        <v>0.60060000000000002</v>
      </c>
      <c r="I118" s="1034">
        <f>ROUND(0.5667-0.0136*B113,4)</f>
        <v>0.53410000000000002</v>
      </c>
      <c r="J118" s="1034">
        <f t="shared" si="33"/>
        <v>0.53410000000000002</v>
      </c>
      <c r="K118" s="1034">
        <f t="shared" si="33"/>
        <v>0.53410000000000002</v>
      </c>
      <c r="L118" s="1034">
        <f t="shared" si="33"/>
        <v>0.53410000000000002</v>
      </c>
      <c r="M118" s="1035">
        <f t="shared" si="33"/>
        <v>0.53410000000000002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535" t="s">
        <v>1006</v>
      </c>
      <c r="B18" s="1154" t="s">
        <v>1445</v>
      </c>
      <c r="C18" s="1131" t="s">
        <v>1446</v>
      </c>
      <c r="D18" s="1132"/>
      <c r="E18" s="1154">
        <v>1</v>
      </c>
      <c r="F18" s="1133" t="s">
        <v>1447</v>
      </c>
      <c r="G18" s="1134"/>
      <c r="H18" s="1105"/>
      <c r="I18" s="1105"/>
    </row>
    <row r="19" spans="1:9" s="1600" customFormat="1" ht="19.5" customHeight="1">
      <c r="A19" s="3535"/>
      <c r="B19" s="3535" t="s">
        <v>1448</v>
      </c>
      <c r="C19" s="1131" t="s">
        <v>1449</v>
      </c>
      <c r="D19" s="1132"/>
      <c r="E19" s="1154">
        <v>0.9</v>
      </c>
      <c r="F19" s="1133" t="s">
        <v>1450</v>
      </c>
      <c r="G19" s="1134"/>
      <c r="H19" s="1105"/>
      <c r="I19" s="1105"/>
    </row>
    <row r="20" spans="1:9" s="1600" customFormat="1" ht="19.5" customHeight="1">
      <c r="A20" s="3535"/>
      <c r="B20" s="3535"/>
      <c r="C20" s="1131" t="s">
        <v>1451</v>
      </c>
      <c r="D20" s="1132"/>
      <c r="E20" s="1154">
        <v>1.1000000000000001</v>
      </c>
      <c r="F20" s="1133" t="s">
        <v>1452</v>
      </c>
      <c r="G20" s="1134"/>
      <c r="H20" s="1105"/>
      <c r="I20" s="1105"/>
    </row>
    <row r="21" spans="1:9" s="1600" customFormat="1" ht="19.5" customHeight="1">
      <c r="A21" s="3535"/>
      <c r="B21" s="3535"/>
      <c r="C21" s="1131" t="s">
        <v>1453</v>
      </c>
      <c r="D21" s="1132"/>
      <c r="E21" s="1154">
        <v>0.8</v>
      </c>
      <c r="F21" s="1133" t="s">
        <v>1454</v>
      </c>
      <c r="G21" s="1134"/>
      <c r="H21" s="1105"/>
      <c r="I21" s="1105"/>
    </row>
    <row r="22" spans="1:9" s="1600" customFormat="1" ht="19.5" customHeight="1">
      <c r="A22" s="3535"/>
      <c r="B22" s="3535"/>
      <c r="C22" s="1131" t="s">
        <v>1455</v>
      </c>
      <c r="D22" s="1132"/>
      <c r="E22" s="1154">
        <v>0.5</v>
      </c>
      <c r="F22" s="1133"/>
      <c r="G22" s="1134"/>
      <c r="H22" s="1105"/>
      <c r="I22" s="1105"/>
    </row>
    <row r="23" spans="1:9" s="1600" customFormat="1" ht="19.5" customHeight="1">
      <c r="A23" s="3535" t="s">
        <v>1028</v>
      </c>
      <c r="B23" s="1154" t="s">
        <v>1445</v>
      </c>
      <c r="C23" s="1131" t="s">
        <v>1456</v>
      </c>
      <c r="D23" s="1132"/>
      <c r="E23" s="1154">
        <v>1</v>
      </c>
      <c r="F23" s="1133" t="s">
        <v>1457</v>
      </c>
      <c r="G23" s="1134"/>
      <c r="H23" s="1105"/>
      <c r="I23" s="1105"/>
    </row>
    <row r="24" spans="1:9" s="1600" customFormat="1" ht="19.5" customHeight="1">
      <c r="A24" s="3535"/>
      <c r="B24" s="3535" t="s">
        <v>1448</v>
      </c>
      <c r="C24" s="1131" t="s">
        <v>1458</v>
      </c>
      <c r="D24" s="1132"/>
      <c r="E24" s="1154">
        <v>0.5</v>
      </c>
      <c r="F24" s="1133"/>
      <c r="G24" s="1134"/>
      <c r="H24" s="1105"/>
      <c r="I24" s="1105"/>
    </row>
    <row r="25" spans="1:9" s="1600" customFormat="1" ht="19.5" customHeight="1">
      <c r="A25" s="3535"/>
      <c r="B25" s="3535"/>
      <c r="C25" s="1131" t="s">
        <v>1459</v>
      </c>
      <c r="D25" s="1132"/>
      <c r="E25" s="1154">
        <v>1.1000000000000001</v>
      </c>
      <c r="F25" s="1133"/>
      <c r="G25" s="1134"/>
      <c r="H25" s="1105"/>
      <c r="I25" s="1105"/>
    </row>
    <row r="26" spans="1:9" s="1600" customFormat="1" ht="19.5" customHeight="1">
      <c r="A26" s="3535"/>
      <c r="B26" s="3535"/>
      <c r="C26" s="1131" t="s">
        <v>1460</v>
      </c>
      <c r="D26" s="1132"/>
      <c r="E26" s="1154">
        <v>1.1000000000000001</v>
      </c>
      <c r="F26" s="1133"/>
      <c r="G26" s="1134"/>
      <c r="H26" s="1105"/>
      <c r="I26" s="1105"/>
    </row>
    <row r="27" spans="1:9" s="1600" customFormat="1" ht="19.5" customHeight="1">
      <c r="A27" s="3535"/>
      <c r="B27" s="3535"/>
      <c r="C27" s="1131" t="s">
        <v>1461</v>
      </c>
      <c r="D27" s="1132"/>
      <c r="E27" s="1154">
        <v>0.9</v>
      </c>
      <c r="F27" s="1133" t="s">
        <v>1462</v>
      </c>
      <c r="G27" s="1134"/>
      <c r="H27" s="1105"/>
      <c r="I27" s="1105"/>
    </row>
    <row r="28" spans="1:9" s="1600" customFormat="1" ht="19.5" customHeight="1">
      <c r="A28" s="3535"/>
      <c r="B28" s="3535"/>
      <c r="C28" s="1131" t="s">
        <v>1463</v>
      </c>
      <c r="D28" s="1132"/>
      <c r="E28" s="1154">
        <v>0.9</v>
      </c>
      <c r="F28" s="1133" t="s">
        <v>1464</v>
      </c>
      <c r="G28" s="1134"/>
      <c r="H28" s="1105"/>
      <c r="I28" s="1105"/>
    </row>
    <row r="29" spans="1:9" s="1600" customFormat="1" ht="19.5" customHeight="1">
      <c r="A29" s="3535"/>
      <c r="B29" s="3535"/>
      <c r="C29" s="1131" t="s">
        <v>1465</v>
      </c>
      <c r="D29" s="1132"/>
      <c r="E29" s="1154">
        <v>0.9</v>
      </c>
      <c r="F29" s="1133" t="s">
        <v>1466</v>
      </c>
      <c r="G29" s="1134"/>
      <c r="H29" s="1105"/>
      <c r="I29" s="1105"/>
    </row>
    <row r="30" spans="1:9" s="1600" customFormat="1" ht="19.5" customHeight="1">
      <c r="A30" s="3535"/>
      <c r="B30" s="3535"/>
      <c r="C30" s="1131" t="s">
        <v>1467</v>
      </c>
      <c r="D30" s="1132"/>
      <c r="E30" s="1154">
        <v>0.9</v>
      </c>
      <c r="F30" s="1133" t="s">
        <v>1468</v>
      </c>
      <c r="G30" s="1134"/>
      <c r="H30" s="1105"/>
      <c r="I30" s="1105"/>
    </row>
    <row r="31" spans="1:9" s="1600" customFormat="1" ht="19.5" customHeight="1">
      <c r="A31" s="3535"/>
      <c r="B31" s="3535"/>
      <c r="C31" s="1131" t="s">
        <v>1469</v>
      </c>
      <c r="D31" s="1132"/>
      <c r="E31" s="1154">
        <v>0.8</v>
      </c>
      <c r="F31" s="1133" t="s">
        <v>1470</v>
      </c>
      <c r="G31" s="1134"/>
      <c r="H31" s="1105"/>
      <c r="I31" s="1105"/>
    </row>
    <row r="32" spans="1:9" s="1600" customFormat="1" ht="19.5" customHeight="1">
      <c r="A32" s="3535"/>
      <c r="B32" s="3535"/>
      <c r="C32" s="1131" t="s">
        <v>1471</v>
      </c>
      <c r="D32" s="1132"/>
      <c r="E32" s="1154">
        <v>0.8</v>
      </c>
      <c r="F32" s="1133" t="s">
        <v>1472</v>
      </c>
      <c r="G32" s="1134"/>
      <c r="H32" s="1105"/>
      <c r="I32" s="1105"/>
    </row>
    <row r="33" spans="1:9" s="1600" customFormat="1" ht="19.5" customHeight="1">
      <c r="A33" s="3535" t="s">
        <v>1473</v>
      </c>
      <c r="B33" s="1154" t="s">
        <v>1445</v>
      </c>
      <c r="C33" s="1131" t="s">
        <v>1474</v>
      </c>
      <c r="D33" s="1132"/>
      <c r="E33" s="1154">
        <v>1</v>
      </c>
      <c r="F33" s="1133" t="s">
        <v>1475</v>
      </c>
      <c r="G33" s="1134"/>
      <c r="H33" s="1105"/>
      <c r="I33" s="1105"/>
    </row>
    <row r="34" spans="1:9" s="1600" customFormat="1" ht="19.5" customHeight="1">
      <c r="A34" s="3535"/>
      <c r="B34" s="1154" t="s">
        <v>1448</v>
      </c>
      <c r="C34" s="1131" t="s">
        <v>1476</v>
      </c>
      <c r="D34" s="1132"/>
      <c r="E34" s="1154">
        <v>1.5</v>
      </c>
      <c r="F34" s="1133" t="s">
        <v>1477</v>
      </c>
      <c r="G34" s="1134"/>
      <c r="H34" s="1105"/>
      <c r="I34" s="1105"/>
    </row>
    <row r="35" spans="1:9" s="1600" customFormat="1" ht="19.5" customHeight="1">
      <c r="A35" s="3535" t="s">
        <v>1431</v>
      </c>
      <c r="B35" s="1154" t="s">
        <v>1445</v>
      </c>
      <c r="C35" s="1131" t="s">
        <v>1478</v>
      </c>
      <c r="D35" s="1132"/>
      <c r="E35" s="1154">
        <v>1</v>
      </c>
      <c r="F35" s="1133" t="s">
        <v>1479</v>
      </c>
      <c r="G35" s="1134"/>
      <c r="H35" s="1105"/>
      <c r="I35" s="1105"/>
    </row>
    <row r="36" spans="1:9" s="1600" customFormat="1" ht="19.5" customHeight="1">
      <c r="A36" s="3535"/>
      <c r="B36" s="3535" t="s">
        <v>1448</v>
      </c>
      <c r="C36" s="1131" t="s">
        <v>1480</v>
      </c>
      <c r="D36" s="1132"/>
      <c r="E36" s="1154">
        <v>1</v>
      </c>
      <c r="F36" s="1133" t="s">
        <v>1481</v>
      </c>
      <c r="G36" s="1134"/>
      <c r="H36" s="1105"/>
      <c r="I36" s="1105"/>
    </row>
    <row r="37" spans="1:9" s="1600" customFormat="1" ht="19.5" customHeight="1">
      <c r="A37" s="3535"/>
      <c r="B37" s="3535"/>
      <c r="C37" s="1131" t="s">
        <v>1482</v>
      </c>
      <c r="D37" s="1132"/>
      <c r="E37" s="1154">
        <v>1.5</v>
      </c>
      <c r="F37" s="1133" t="s">
        <v>1483</v>
      </c>
      <c r="G37" s="1134"/>
      <c r="H37" s="1105"/>
      <c r="I37" s="1105"/>
    </row>
    <row r="38" spans="1:9" s="1600" customFormat="1" ht="19.5" customHeight="1">
      <c r="A38" s="3535"/>
      <c r="B38" s="3535"/>
      <c r="C38" s="1131" t="s">
        <v>1484</v>
      </c>
      <c r="D38" s="1132"/>
      <c r="E38" s="1154">
        <v>1</v>
      </c>
      <c r="F38" s="1133" t="s">
        <v>1485</v>
      </c>
      <c r="G38" s="1134"/>
      <c r="H38" s="1105"/>
      <c r="I38" s="1105"/>
    </row>
    <row r="39" spans="1:9" s="1600" customFormat="1" ht="19.5" customHeight="1">
      <c r="A39" s="3535"/>
      <c r="B39" s="3535"/>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535" t="s">
        <v>1500</v>
      </c>
      <c r="C61" s="1068" t="s">
        <v>1501</v>
      </c>
      <c r="D61" s="1068" t="s">
        <v>1502</v>
      </c>
      <c r="E61" s="1139">
        <v>0.5</v>
      </c>
      <c r="F61" s="1154">
        <v>80</v>
      </c>
      <c r="H61" s="1105">
        <f>SUMIF(C59:C119,基准地价!C8,E59:E119)</f>
        <v>0</v>
      </c>
    </row>
    <row r="62" spans="1:8" s="1105" customFormat="1" ht="24">
      <c r="A62" s="1154">
        <v>2</v>
      </c>
      <c r="B62" s="3535"/>
      <c r="C62" s="1068" t="s">
        <v>1503</v>
      </c>
      <c r="D62" s="1068" t="s">
        <v>1504</v>
      </c>
      <c r="E62" s="1139">
        <v>0.5</v>
      </c>
      <c r="F62" s="1154">
        <v>80</v>
      </c>
    </row>
    <row r="63" spans="1:8" s="1105" customFormat="1" ht="36">
      <c r="A63" s="1154">
        <v>3</v>
      </c>
      <c r="B63" s="3535"/>
      <c r="C63" s="1068" t="s">
        <v>1505</v>
      </c>
      <c r="D63" s="1068" t="s">
        <v>1506</v>
      </c>
      <c r="E63" s="1139">
        <v>0.5</v>
      </c>
      <c r="F63" s="1154">
        <v>80</v>
      </c>
    </row>
    <row r="64" spans="1:8" s="1105" customFormat="1" ht="36">
      <c r="A64" s="1154">
        <v>4</v>
      </c>
      <c r="B64" s="3535"/>
      <c r="C64" s="1068" t="s">
        <v>1507</v>
      </c>
      <c r="D64" s="1068" t="s">
        <v>1508</v>
      </c>
      <c r="E64" s="1139">
        <v>0.4</v>
      </c>
      <c r="F64" s="1154">
        <v>60</v>
      </c>
    </row>
    <row r="65" spans="1:6" s="1105" customFormat="1" ht="36">
      <c r="A65" s="1154">
        <v>5</v>
      </c>
      <c r="B65" s="3535"/>
      <c r="C65" s="1068" t="s">
        <v>1509</v>
      </c>
      <c r="D65" s="1068" t="s">
        <v>1510</v>
      </c>
      <c r="E65" s="1139">
        <v>0.2</v>
      </c>
      <c r="F65" s="1154">
        <v>30</v>
      </c>
    </row>
    <row r="66" spans="1:6" s="1105" customFormat="1" ht="36">
      <c r="A66" s="1154">
        <v>6</v>
      </c>
      <c r="B66" s="3535"/>
      <c r="C66" s="1068" t="s">
        <v>1511</v>
      </c>
      <c r="D66" s="1068" t="s">
        <v>1512</v>
      </c>
      <c r="E66" s="1139">
        <v>0.3</v>
      </c>
      <c r="F66" s="1154">
        <v>50</v>
      </c>
    </row>
    <row r="67" spans="1:6" s="1105" customFormat="1" ht="36">
      <c r="A67" s="1154">
        <v>7</v>
      </c>
      <c r="B67" s="3535"/>
      <c r="C67" s="1068" t="s">
        <v>1513</v>
      </c>
      <c r="D67" s="1068" t="s">
        <v>1514</v>
      </c>
      <c r="E67" s="1139">
        <v>0.2</v>
      </c>
      <c r="F67" s="1154">
        <v>30</v>
      </c>
    </row>
    <row r="68" spans="1:6" s="1105" customFormat="1" ht="36">
      <c r="A68" s="1154">
        <v>8</v>
      </c>
      <c r="B68" s="3535"/>
      <c r="C68" s="1068" t="s">
        <v>1515</v>
      </c>
      <c r="D68" s="1068" t="s">
        <v>1516</v>
      </c>
      <c r="E68" s="1139">
        <v>0.2</v>
      </c>
      <c r="F68" s="1154">
        <v>30</v>
      </c>
    </row>
    <row r="69" spans="1:6" s="1105" customFormat="1" ht="36">
      <c r="A69" s="1154">
        <v>9</v>
      </c>
      <c r="B69" s="3535"/>
      <c r="C69" s="1068" t="s">
        <v>1517</v>
      </c>
      <c r="D69" s="1068" t="s">
        <v>1518</v>
      </c>
      <c r="E69" s="1139">
        <v>0.2</v>
      </c>
      <c r="F69" s="1154">
        <v>30</v>
      </c>
    </row>
    <row r="70" spans="1:6" s="1105" customFormat="1" ht="48">
      <c r="A70" s="1154">
        <v>10</v>
      </c>
      <c r="B70" s="3535"/>
      <c r="C70" s="1068" t="s">
        <v>1519</v>
      </c>
      <c r="D70" s="1068" t="s">
        <v>1520</v>
      </c>
      <c r="E70" s="1139">
        <v>0.2</v>
      </c>
      <c r="F70" s="1154">
        <v>30</v>
      </c>
    </row>
    <row r="71" spans="1:6" s="1105" customFormat="1" ht="48">
      <c r="A71" s="1154">
        <v>11</v>
      </c>
      <c r="B71" s="3535"/>
      <c r="C71" s="1068" t="s">
        <v>1521</v>
      </c>
      <c r="D71" s="1068" t="s">
        <v>1522</v>
      </c>
      <c r="E71" s="1139">
        <v>0.2</v>
      </c>
      <c r="F71" s="1154">
        <v>30</v>
      </c>
    </row>
    <row r="72" spans="1:6" s="1105" customFormat="1" ht="36">
      <c r="A72" s="1154">
        <v>12</v>
      </c>
      <c r="B72" s="3535"/>
      <c r="C72" s="1068" t="s">
        <v>1523</v>
      </c>
      <c r="D72" s="1068" t="s">
        <v>1524</v>
      </c>
      <c r="E72" s="1139">
        <v>0.5</v>
      </c>
      <c r="F72" s="1154">
        <v>80</v>
      </c>
    </row>
    <row r="73" spans="1:6" s="1105" customFormat="1" ht="24">
      <c r="A73" s="1154">
        <v>13</v>
      </c>
      <c r="B73" s="3535"/>
      <c r="C73" s="1068" t="s">
        <v>1525</v>
      </c>
      <c r="D73" s="1068" t="s">
        <v>1526</v>
      </c>
      <c r="E73" s="1139">
        <v>0.4</v>
      </c>
      <c r="F73" s="1154">
        <v>60</v>
      </c>
    </row>
    <row r="74" spans="1:6" s="1105" customFormat="1" ht="24">
      <c r="A74" s="1154">
        <v>14</v>
      </c>
      <c r="B74" s="3535"/>
      <c r="C74" s="1068" t="s">
        <v>1527</v>
      </c>
      <c r="D74" s="1068" t="s">
        <v>1528</v>
      </c>
      <c r="E74" s="1139">
        <v>0.2</v>
      </c>
      <c r="F74" s="1154">
        <v>30</v>
      </c>
    </row>
    <row r="75" spans="1:6" s="1105" customFormat="1" ht="24">
      <c r="A75" s="1154">
        <v>15</v>
      </c>
      <c r="B75" s="3535"/>
      <c r="C75" s="1068" t="s">
        <v>1529</v>
      </c>
      <c r="D75" s="1068" t="s">
        <v>1530</v>
      </c>
      <c r="E75" s="1139">
        <v>0.2</v>
      </c>
      <c r="F75" s="1154">
        <v>30</v>
      </c>
    </row>
    <row r="76" spans="1:6" s="1105" customFormat="1" ht="24">
      <c r="A76" s="1154">
        <v>16</v>
      </c>
      <c r="B76" s="3535" t="s">
        <v>1531</v>
      </c>
      <c r="C76" s="1068" t="s">
        <v>1532</v>
      </c>
      <c r="D76" s="1068" t="s">
        <v>1533</v>
      </c>
      <c r="E76" s="1139">
        <v>0.5</v>
      </c>
      <c r="F76" s="1154">
        <v>80</v>
      </c>
    </row>
    <row r="77" spans="1:6" s="1105" customFormat="1" ht="24">
      <c r="A77" s="1154">
        <v>17</v>
      </c>
      <c r="B77" s="3535"/>
      <c r="C77" s="1068" t="s">
        <v>1534</v>
      </c>
      <c r="D77" s="1068" t="s">
        <v>1535</v>
      </c>
      <c r="E77" s="1139">
        <v>0.5</v>
      </c>
      <c r="F77" s="1154">
        <v>80</v>
      </c>
    </row>
    <row r="78" spans="1:6" s="1105" customFormat="1" ht="24">
      <c r="A78" s="1154">
        <v>18</v>
      </c>
      <c r="B78" s="3535"/>
      <c r="C78" s="1068" t="s">
        <v>1536</v>
      </c>
      <c r="D78" s="1068" t="s">
        <v>1537</v>
      </c>
      <c r="E78" s="1139">
        <v>0.2</v>
      </c>
      <c r="F78" s="1154">
        <v>30</v>
      </c>
    </row>
    <row r="79" spans="1:6" s="1105" customFormat="1" ht="24">
      <c r="A79" s="1154">
        <v>19</v>
      </c>
      <c r="B79" s="3535"/>
      <c r="C79" s="1068" t="s">
        <v>1538</v>
      </c>
      <c r="D79" s="1068" t="s">
        <v>1539</v>
      </c>
      <c r="E79" s="1139">
        <v>0.5</v>
      </c>
      <c r="F79" s="1154">
        <v>80</v>
      </c>
    </row>
    <row r="80" spans="1:6" s="1105" customFormat="1" ht="36">
      <c r="A80" s="1154">
        <v>20</v>
      </c>
      <c r="B80" s="3535"/>
      <c r="C80" s="1068" t="s">
        <v>1540</v>
      </c>
      <c r="D80" s="1068" t="s">
        <v>1541</v>
      </c>
      <c r="E80" s="1139">
        <v>0.2</v>
      </c>
      <c r="F80" s="1154">
        <v>30</v>
      </c>
    </row>
    <row r="81" spans="1:6" s="1105" customFormat="1" ht="36">
      <c r="A81" s="1154">
        <v>21</v>
      </c>
      <c r="B81" s="3535"/>
      <c r="C81" s="1068" t="s">
        <v>1542</v>
      </c>
      <c r="D81" s="1068" t="s">
        <v>1543</v>
      </c>
      <c r="E81" s="1139">
        <v>0.2</v>
      </c>
      <c r="F81" s="1154">
        <v>30</v>
      </c>
    </row>
    <row r="82" spans="1:6" s="1105" customFormat="1" ht="48">
      <c r="A82" s="1154">
        <v>22</v>
      </c>
      <c r="B82" s="3535"/>
      <c r="C82" s="1068" t="s">
        <v>1544</v>
      </c>
      <c r="D82" s="1068" t="s">
        <v>1545</v>
      </c>
      <c r="E82" s="1139">
        <v>0.2</v>
      </c>
      <c r="F82" s="1154">
        <v>30</v>
      </c>
    </row>
    <row r="83" spans="1:6" s="1105" customFormat="1" ht="48">
      <c r="A83" s="1154">
        <v>23</v>
      </c>
      <c r="B83" s="3535"/>
      <c r="C83" s="1068" t="s">
        <v>1546</v>
      </c>
      <c r="D83" s="1068" t="s">
        <v>1547</v>
      </c>
      <c r="E83" s="1139">
        <v>0.2</v>
      </c>
      <c r="F83" s="1154">
        <v>30</v>
      </c>
    </row>
    <row r="84" spans="1:6" s="1105" customFormat="1" ht="36">
      <c r="A84" s="1154">
        <v>24</v>
      </c>
      <c r="B84" s="3535"/>
      <c r="C84" s="1068" t="s">
        <v>1548</v>
      </c>
      <c r="D84" s="1068" t="s">
        <v>1549</v>
      </c>
      <c r="E84" s="1139">
        <v>0.2</v>
      </c>
      <c r="F84" s="1154">
        <v>30</v>
      </c>
    </row>
    <row r="85" spans="1:6" s="1105" customFormat="1" ht="36">
      <c r="A85" s="1154">
        <v>25</v>
      </c>
      <c r="B85" s="3535"/>
      <c r="C85" s="1068" t="s">
        <v>1550</v>
      </c>
      <c r="D85" s="1068" t="s">
        <v>1551</v>
      </c>
      <c r="E85" s="1139">
        <v>0.5</v>
      </c>
      <c r="F85" s="1154">
        <v>80</v>
      </c>
    </row>
    <row r="86" spans="1:6" s="1105" customFormat="1" ht="36">
      <c r="A86" s="1154">
        <v>26</v>
      </c>
      <c r="B86" s="3535"/>
      <c r="C86" s="1068" t="s">
        <v>1552</v>
      </c>
      <c r="D86" s="1068" t="s">
        <v>1553</v>
      </c>
      <c r="E86" s="1139">
        <v>0.2</v>
      </c>
      <c r="F86" s="1154">
        <v>30</v>
      </c>
    </row>
    <row r="87" spans="1:6" s="1105" customFormat="1" ht="36">
      <c r="A87" s="1154">
        <v>27</v>
      </c>
      <c r="B87" s="3535"/>
      <c r="C87" s="1068" t="s">
        <v>1554</v>
      </c>
      <c r="D87" s="1068" t="s">
        <v>1555</v>
      </c>
      <c r="E87" s="1139">
        <v>0.2</v>
      </c>
      <c r="F87" s="1154">
        <v>30</v>
      </c>
    </row>
    <row r="88" spans="1:6" s="1105" customFormat="1" ht="36">
      <c r="A88" s="1154">
        <v>28</v>
      </c>
      <c r="B88" s="3535"/>
      <c r="C88" s="1068" t="s">
        <v>1556</v>
      </c>
      <c r="D88" s="1068" t="s">
        <v>1557</v>
      </c>
      <c r="E88" s="1139">
        <v>0.2</v>
      </c>
      <c r="F88" s="1154">
        <v>30</v>
      </c>
    </row>
    <row r="89" spans="1:6" s="1105" customFormat="1" ht="24">
      <c r="A89" s="1154">
        <v>29</v>
      </c>
      <c r="B89" s="3535"/>
      <c r="C89" s="1068" t="s">
        <v>1558</v>
      </c>
      <c r="D89" s="1068" t="s">
        <v>1559</v>
      </c>
      <c r="E89" s="1139">
        <v>0.2</v>
      </c>
      <c r="F89" s="1154">
        <v>30</v>
      </c>
    </row>
    <row r="90" spans="1:6" s="1105" customFormat="1" ht="24">
      <c r="A90" s="1154">
        <v>30</v>
      </c>
      <c r="B90" s="3535"/>
      <c r="C90" s="1068" t="s">
        <v>1560</v>
      </c>
      <c r="D90" s="1068" t="s">
        <v>1561</v>
      </c>
      <c r="E90" s="1139">
        <v>0.2</v>
      </c>
      <c r="F90" s="1154">
        <v>30</v>
      </c>
    </row>
    <row r="91" spans="1:6" s="1105" customFormat="1" ht="36">
      <c r="A91" s="1154">
        <v>31</v>
      </c>
      <c r="B91" s="3535"/>
      <c r="C91" s="1068" t="s">
        <v>1562</v>
      </c>
      <c r="D91" s="1068" t="s">
        <v>1563</v>
      </c>
      <c r="E91" s="1139">
        <v>0.2</v>
      </c>
      <c r="F91" s="1154">
        <v>30</v>
      </c>
    </row>
    <row r="92" spans="1:6" s="1105" customFormat="1" ht="24">
      <c r="A92" s="1154">
        <v>32</v>
      </c>
      <c r="B92" s="3535" t="s">
        <v>1564</v>
      </c>
      <c r="C92" s="1154" t="s">
        <v>1565</v>
      </c>
      <c r="D92" s="1068" t="s">
        <v>1566</v>
      </c>
      <c r="E92" s="1139">
        <v>0.2</v>
      </c>
      <c r="F92" s="1154">
        <v>30</v>
      </c>
    </row>
    <row r="93" spans="1:6" s="1105" customFormat="1" ht="36">
      <c r="A93" s="1154">
        <v>33</v>
      </c>
      <c r="B93" s="3535"/>
      <c r="C93" s="1154" t="s">
        <v>1567</v>
      </c>
      <c r="D93" s="1068" t="s">
        <v>1568</v>
      </c>
      <c r="E93" s="1139">
        <v>0.2</v>
      </c>
      <c r="F93" s="1154">
        <v>30</v>
      </c>
    </row>
    <row r="94" spans="1:6" s="1105" customFormat="1" ht="48">
      <c r="A94" s="1154">
        <v>34</v>
      </c>
      <c r="B94" s="3535"/>
      <c r="C94" s="1154" t="s">
        <v>1569</v>
      </c>
      <c r="D94" s="1068" t="s">
        <v>1570</v>
      </c>
      <c r="E94" s="1139">
        <v>0.2</v>
      </c>
      <c r="F94" s="1154">
        <v>30</v>
      </c>
    </row>
    <row r="95" spans="1:6" s="1105" customFormat="1" ht="36">
      <c r="A95" s="1154">
        <v>35</v>
      </c>
      <c r="B95" s="3535"/>
      <c r="C95" s="1154" t="s">
        <v>1571</v>
      </c>
      <c r="D95" s="1068" t="s">
        <v>1572</v>
      </c>
      <c r="E95" s="1139">
        <v>0.2</v>
      </c>
      <c r="F95" s="1154">
        <v>30</v>
      </c>
    </row>
    <row r="96" spans="1:6" s="1105" customFormat="1" ht="48">
      <c r="A96" s="1154">
        <v>36</v>
      </c>
      <c r="B96" s="3535"/>
      <c r="C96" s="1068" t="s">
        <v>1573</v>
      </c>
      <c r="D96" s="1068" t="s">
        <v>1574</v>
      </c>
      <c r="E96" s="1139">
        <v>0.2</v>
      </c>
      <c r="F96" s="1154">
        <v>30</v>
      </c>
    </row>
    <row r="97" spans="1:6" s="1105" customFormat="1" ht="36">
      <c r="A97" s="1154">
        <v>37</v>
      </c>
      <c r="B97" s="3535"/>
      <c r="C97" s="1154" t="s">
        <v>1575</v>
      </c>
      <c r="D97" s="1068" t="s">
        <v>1576</v>
      </c>
      <c r="E97" s="1139">
        <v>0.2</v>
      </c>
      <c r="F97" s="1154">
        <v>30</v>
      </c>
    </row>
    <row r="98" spans="1:6" s="1105" customFormat="1" ht="36">
      <c r="A98" s="1154">
        <v>38</v>
      </c>
      <c r="B98" s="3535"/>
      <c r="C98" s="1154" t="s">
        <v>1577</v>
      </c>
      <c r="D98" s="1068" t="s">
        <v>1578</v>
      </c>
      <c r="E98" s="1139">
        <v>0.2</v>
      </c>
      <c r="F98" s="1154">
        <v>30</v>
      </c>
    </row>
    <row r="99" spans="1:6" s="1105" customFormat="1" ht="36">
      <c r="A99" s="1154">
        <v>39</v>
      </c>
      <c r="B99" s="3535" t="s">
        <v>1579</v>
      </c>
      <c r="C99" s="1154" t="s">
        <v>1580</v>
      </c>
      <c r="D99" s="1068" t="s">
        <v>1581</v>
      </c>
      <c r="E99" s="1139">
        <v>0.3</v>
      </c>
      <c r="F99" s="1154">
        <v>50</v>
      </c>
    </row>
    <row r="100" spans="1:6" s="1105" customFormat="1" ht="24">
      <c r="A100" s="1154">
        <v>40</v>
      </c>
      <c r="B100" s="3535"/>
      <c r="C100" s="1154" t="s">
        <v>1582</v>
      </c>
      <c r="D100" s="1068" t="s">
        <v>1583</v>
      </c>
      <c r="E100" s="1139">
        <v>0.2</v>
      </c>
      <c r="F100" s="1154">
        <v>30</v>
      </c>
    </row>
    <row r="101" spans="1:6" s="1105" customFormat="1" ht="36">
      <c r="A101" s="1154">
        <v>41</v>
      </c>
      <c r="B101" s="3535"/>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535" t="s">
        <v>1594</v>
      </c>
      <c r="C105" s="1154" t="s">
        <v>1595</v>
      </c>
      <c r="D105" s="1068" t="s">
        <v>1596</v>
      </c>
      <c r="E105" s="1139">
        <v>0.2</v>
      </c>
      <c r="F105" s="1154">
        <v>30</v>
      </c>
    </row>
    <row r="106" spans="1:6" s="1105" customFormat="1" ht="36">
      <c r="A106" s="1154">
        <v>46</v>
      </c>
      <c r="B106" s="3535"/>
      <c r="C106" s="1154" t="s">
        <v>1597</v>
      </c>
      <c r="D106" s="1068" t="s">
        <v>1598</v>
      </c>
      <c r="E106" s="1139">
        <v>0.2</v>
      </c>
      <c r="F106" s="1154">
        <v>30</v>
      </c>
    </row>
    <row r="107" spans="1:6" s="1105" customFormat="1" ht="36">
      <c r="A107" s="1154">
        <v>47</v>
      </c>
      <c r="B107" s="3535" t="s">
        <v>1599</v>
      </c>
      <c r="C107" s="1154" t="s">
        <v>1600</v>
      </c>
      <c r="D107" s="1068" t="s">
        <v>1601</v>
      </c>
      <c r="E107" s="1139">
        <v>0.3</v>
      </c>
      <c r="F107" s="1154">
        <v>50</v>
      </c>
    </row>
    <row r="108" spans="1:6" s="1105" customFormat="1" ht="36">
      <c r="A108" s="1154">
        <v>48</v>
      </c>
      <c r="B108" s="3535"/>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535" t="s">
        <v>1610</v>
      </c>
      <c r="C111" s="1154" t="s">
        <v>1611</v>
      </c>
      <c r="D111" s="1068" t="s">
        <v>1612</v>
      </c>
      <c r="E111" s="1139">
        <v>0.2</v>
      </c>
      <c r="F111" s="1154">
        <v>30</v>
      </c>
    </row>
    <row r="112" spans="1:6" s="1105" customFormat="1" ht="24">
      <c r="A112" s="1154">
        <v>52</v>
      </c>
      <c r="B112" s="3535"/>
      <c r="C112" s="1154" t="s">
        <v>1613</v>
      </c>
      <c r="D112" s="1068" t="s">
        <v>1614</v>
      </c>
      <c r="E112" s="1139">
        <v>0.2</v>
      </c>
      <c r="F112" s="1154">
        <v>30</v>
      </c>
    </row>
    <row r="113" spans="1:14" s="1105" customFormat="1" ht="24">
      <c r="A113" s="1154">
        <v>53</v>
      </c>
      <c r="B113" s="3535"/>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535" t="s">
        <v>1623</v>
      </c>
      <c r="C116" s="1154" t="s">
        <v>1624</v>
      </c>
      <c r="D116" s="1068" t="s">
        <v>1625</v>
      </c>
      <c r="E116" s="1139">
        <v>0.2</v>
      </c>
      <c r="F116" s="1154">
        <v>30</v>
      </c>
    </row>
    <row r="117" spans="1:14" ht="36">
      <c r="A117" s="1154">
        <v>57</v>
      </c>
      <c r="B117" s="3535"/>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534" t="s">
        <v>1632</v>
      </c>
      <c r="B121" s="3534"/>
      <c r="C121" s="3534"/>
      <c r="D121" s="3534"/>
      <c r="E121" s="3534"/>
      <c r="F121" s="3534"/>
      <c r="G121" s="3534"/>
      <c r="H121" s="3534"/>
      <c r="I121" s="3534"/>
      <c r="J121" s="353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39" t="s">
        <v>1038</v>
      </c>
      <c r="B1" s="3539"/>
      <c r="C1" s="3539"/>
      <c r="D1" s="3539"/>
      <c r="E1" s="3539"/>
      <c r="F1" s="3539"/>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540" t="s">
        <v>1051</v>
      </c>
      <c r="B2" s="3540"/>
      <c r="C2" s="3540"/>
      <c r="D2" s="3540"/>
      <c r="E2" s="3540"/>
      <c r="F2" s="3540"/>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541"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542"/>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2419</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2420</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43" t="s">
        <v>2077</v>
      </c>
      <c r="B1" s="3543"/>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1095</v>
      </c>
      <c r="B6" s="1859" t="s">
        <v>2086</v>
      </c>
      <c r="C6" s="1860">
        <v>0.1</v>
      </c>
      <c r="D6" s="1860">
        <v>9.0999999999999998E-2</v>
      </c>
      <c r="E6" s="1860">
        <v>9.0999999999999998E-2</v>
      </c>
      <c r="F6" s="1861">
        <v>0.1</v>
      </c>
    </row>
    <row r="7" spans="1:6" ht="14.25" thickBot="1">
      <c r="A7" s="1855" t="s">
        <v>1095</v>
      </c>
      <c r="B7" s="1862" t="s">
        <v>1083</v>
      </c>
      <c r="C7" s="1860">
        <v>8.5999999999999993E-2</v>
      </c>
      <c r="D7" s="1860">
        <v>9.6000000000000002E-2</v>
      </c>
      <c r="E7" s="1860">
        <v>7.5999999999999998E-2</v>
      </c>
      <c r="F7" s="1861">
        <v>0.1</v>
      </c>
    </row>
    <row r="8" spans="1:6" ht="14.25" thickBot="1">
      <c r="A8" s="1855" t="s">
        <v>1095</v>
      </c>
      <c r="B8" s="1859" t="s">
        <v>1096</v>
      </c>
      <c r="C8" s="1860">
        <v>9.9000000000000005E-2</v>
      </c>
      <c r="D8" s="1860">
        <v>9.8000000000000004E-2</v>
      </c>
      <c r="E8" s="1860">
        <v>9.8000000000000004E-2</v>
      </c>
      <c r="F8" s="1861">
        <v>0.1</v>
      </c>
    </row>
    <row r="9" spans="1:6" ht="14.25" thickBot="1">
      <c r="A9" s="1863" t="s">
        <v>1095</v>
      </c>
      <c r="B9" s="1864" t="s">
        <v>1110</v>
      </c>
      <c r="C9" s="1865">
        <v>0.05</v>
      </c>
      <c r="D9" s="1866"/>
      <c r="E9" s="1866"/>
      <c r="F9" s="1867"/>
    </row>
    <row r="10" spans="1:6" ht="14.25" thickBot="1">
      <c r="A10" s="1855" t="s">
        <v>1154</v>
      </c>
      <c r="B10" s="1856" t="s">
        <v>2087</v>
      </c>
      <c r="C10" s="1857">
        <v>8.8999999999999996E-2</v>
      </c>
      <c r="D10" s="1857">
        <v>7.2999999999999995E-2</v>
      </c>
      <c r="E10" s="1857">
        <v>8.2000000000000003E-2</v>
      </c>
      <c r="F10" s="1858">
        <v>0.1</v>
      </c>
    </row>
    <row r="11" spans="1:6" ht="14.25" thickBot="1">
      <c r="A11" s="1855" t="s">
        <v>1154</v>
      </c>
      <c r="B11" s="1862" t="s">
        <v>1070</v>
      </c>
      <c r="C11" s="1860">
        <v>8.8999999999999996E-2</v>
      </c>
      <c r="D11" s="1860">
        <v>7.2999999999999995E-2</v>
      </c>
      <c r="E11" s="1860">
        <v>8.2000000000000003E-2</v>
      </c>
      <c r="F11" s="1861">
        <v>0.1</v>
      </c>
    </row>
    <row r="12" spans="1:6" ht="14.25" thickBot="1">
      <c r="A12" s="1855" t="s">
        <v>1154</v>
      </c>
      <c r="B12" s="1862" t="s">
        <v>1084</v>
      </c>
      <c r="C12" s="1860">
        <v>6.0999999999999999E-2</v>
      </c>
      <c r="D12" s="1860">
        <v>7.0999999999999994E-2</v>
      </c>
      <c r="E12" s="1860">
        <v>9.6000000000000002E-2</v>
      </c>
      <c r="F12" s="1861">
        <v>0.1</v>
      </c>
    </row>
    <row r="13" spans="1:6" ht="14.25" thickBot="1">
      <c r="A13" s="1855" t="s">
        <v>1154</v>
      </c>
      <c r="B13" s="1862" t="s">
        <v>1097</v>
      </c>
      <c r="C13" s="1860">
        <v>6.9000000000000006E-2</v>
      </c>
      <c r="D13" s="1860">
        <v>6.5000000000000002E-2</v>
      </c>
      <c r="E13" s="1860">
        <v>6.6000000000000003E-2</v>
      </c>
      <c r="F13" s="1861">
        <v>0.1</v>
      </c>
    </row>
    <row r="14" spans="1:6" ht="14.25" thickBot="1">
      <c r="A14" s="1855" t="s">
        <v>1154</v>
      </c>
      <c r="B14" s="1862" t="s">
        <v>1111</v>
      </c>
      <c r="C14" s="1860">
        <v>0.1</v>
      </c>
      <c r="D14" s="1860">
        <v>6.5000000000000002E-2</v>
      </c>
      <c r="E14" s="1860">
        <v>7.0000000000000007E-2</v>
      </c>
      <c r="F14" s="1861">
        <v>0.1</v>
      </c>
    </row>
    <row r="15" spans="1:6" ht="14.25" thickBot="1">
      <c r="A15" s="1855" t="s">
        <v>1154</v>
      </c>
      <c r="B15" s="1862" t="s">
        <v>1122</v>
      </c>
      <c r="C15" s="1860">
        <v>9.8000000000000004E-2</v>
      </c>
      <c r="D15" s="1860">
        <v>8.8999999999999996E-2</v>
      </c>
      <c r="E15" s="1860">
        <v>8.8999999999999996E-2</v>
      </c>
      <c r="F15" s="1861">
        <v>0.1</v>
      </c>
    </row>
    <row r="16" spans="1:6" ht="14.25" thickBot="1">
      <c r="A16" s="1855" t="s">
        <v>1154</v>
      </c>
      <c r="B16" s="1862" t="s">
        <v>1133</v>
      </c>
      <c r="C16" s="1860">
        <v>7.0000000000000007E-2</v>
      </c>
      <c r="D16" s="1860">
        <v>9.2999999999999999E-2</v>
      </c>
      <c r="E16" s="1860">
        <v>9.6000000000000002E-2</v>
      </c>
      <c r="F16" s="1861">
        <v>0.1</v>
      </c>
    </row>
    <row r="17" spans="1:6" ht="14.25" thickBot="1">
      <c r="A17" s="1855" t="s">
        <v>1154</v>
      </c>
      <c r="B17" s="1862" t="s">
        <v>1144</v>
      </c>
      <c r="C17" s="1860">
        <v>9.5000000000000001E-2</v>
      </c>
      <c r="D17" s="1860">
        <v>0.1</v>
      </c>
      <c r="E17" s="1860">
        <v>0.1</v>
      </c>
      <c r="F17" s="1868"/>
    </row>
    <row r="18" spans="1:6" ht="14.25" thickBot="1">
      <c r="A18" s="1855" t="s">
        <v>1154</v>
      </c>
      <c r="B18" s="1862" t="s">
        <v>1156</v>
      </c>
      <c r="C18" s="1860">
        <v>7.3999999999999996E-2</v>
      </c>
      <c r="D18" s="1860">
        <v>9.9000000000000005E-2</v>
      </c>
      <c r="E18" s="1860">
        <v>0.1</v>
      </c>
      <c r="F18" s="1868"/>
    </row>
    <row r="19" spans="1:6" ht="14.25" thickBot="1">
      <c r="A19" s="1855" t="s">
        <v>1154</v>
      </c>
      <c r="B19" s="1862" t="s">
        <v>1166</v>
      </c>
      <c r="C19" s="1860">
        <v>9.9000000000000005E-2</v>
      </c>
      <c r="D19" s="1860">
        <v>7.5999999999999998E-2</v>
      </c>
      <c r="E19" s="1860">
        <v>8.6999999999999994E-2</v>
      </c>
      <c r="F19" s="1868"/>
    </row>
    <row r="20" spans="1:6" ht="14.25" thickBot="1">
      <c r="A20" s="1855" t="s">
        <v>1154</v>
      </c>
      <c r="B20" s="1862" t="s">
        <v>1176</v>
      </c>
      <c r="C20" s="1860">
        <v>9.8000000000000004E-2</v>
      </c>
      <c r="D20" s="1860">
        <v>8.5000000000000006E-2</v>
      </c>
      <c r="E20" s="1860">
        <v>8.2000000000000003E-2</v>
      </c>
      <c r="F20" s="1868"/>
    </row>
    <row r="21" spans="1:6" ht="14.25" thickBot="1">
      <c r="A21" s="1855" t="s">
        <v>1154</v>
      </c>
      <c r="B21" s="1862" t="s">
        <v>1186</v>
      </c>
      <c r="C21" s="1860">
        <v>6.6000000000000003E-2</v>
      </c>
      <c r="D21" s="1860">
        <v>6.4000000000000001E-2</v>
      </c>
      <c r="E21" s="1860">
        <v>6.5000000000000002E-2</v>
      </c>
      <c r="F21" s="1868"/>
    </row>
    <row r="22" spans="1:6" ht="14.25" thickBot="1">
      <c r="A22" s="1855" t="s">
        <v>1154</v>
      </c>
      <c r="B22" s="1862" t="s">
        <v>2088</v>
      </c>
      <c r="C22" s="1860">
        <v>0.08</v>
      </c>
      <c r="D22" s="1860">
        <v>9.8000000000000004E-2</v>
      </c>
      <c r="E22" s="1860">
        <v>9.8000000000000004E-2</v>
      </c>
      <c r="F22" s="1868"/>
    </row>
    <row r="23" spans="1:6" ht="14.25" thickBot="1">
      <c r="A23" s="1855" t="s">
        <v>1154</v>
      </c>
      <c r="B23" s="1862" t="s">
        <v>1206</v>
      </c>
      <c r="C23" s="1860">
        <v>9.9000000000000005E-2</v>
      </c>
      <c r="D23" s="1860">
        <v>9.8000000000000004E-2</v>
      </c>
      <c r="E23" s="1860">
        <v>9.0999999999999998E-2</v>
      </c>
      <c r="F23" s="1868"/>
    </row>
    <row r="24" spans="1:6" ht="14.25" thickBot="1">
      <c r="A24" s="1855" t="s">
        <v>1154</v>
      </c>
      <c r="B24" s="1862" t="s">
        <v>1216</v>
      </c>
      <c r="C24" s="1860">
        <v>8.8999999999999996E-2</v>
      </c>
      <c r="D24" s="1860">
        <v>9.7000000000000003E-2</v>
      </c>
      <c r="E24" s="1860">
        <v>7.0000000000000007E-2</v>
      </c>
      <c r="F24" s="1868"/>
    </row>
    <row r="25" spans="1:6" ht="14.25" thickBot="1">
      <c r="A25" s="1855" t="s">
        <v>1154</v>
      </c>
      <c r="B25" s="1862" t="s">
        <v>1226</v>
      </c>
      <c r="C25" s="1860">
        <v>8.8999999999999996E-2</v>
      </c>
      <c r="D25" s="1860">
        <v>0.1</v>
      </c>
      <c r="E25" s="1860">
        <v>8.1000000000000003E-2</v>
      </c>
      <c r="F25" s="1868"/>
    </row>
    <row r="26" spans="1:6" ht="14.25" thickBot="1">
      <c r="A26" s="1855" t="s">
        <v>1154</v>
      </c>
      <c r="B26" s="1862" t="s">
        <v>1236</v>
      </c>
      <c r="C26" s="1869"/>
      <c r="D26" s="1860">
        <v>9.6000000000000002E-2</v>
      </c>
      <c r="E26" s="1860">
        <v>9.2999999999999999E-2</v>
      </c>
      <c r="F26" s="1868"/>
    </row>
    <row r="27" spans="1:6" ht="14.25" thickBot="1">
      <c r="A27" s="1855" t="s">
        <v>1154</v>
      </c>
      <c r="B27" s="1862" t="s">
        <v>1246</v>
      </c>
      <c r="C27" s="1869"/>
      <c r="D27" s="1860">
        <v>7.5999999999999998E-2</v>
      </c>
      <c r="E27" s="1860">
        <v>9.1999999999999998E-2</v>
      </c>
      <c r="F27" s="1868"/>
    </row>
    <row r="28" spans="1:6" ht="14.25" thickBot="1">
      <c r="A28" s="1863" t="s">
        <v>1154</v>
      </c>
      <c r="B28" s="1864" t="s">
        <v>1256</v>
      </c>
      <c r="C28" s="1866"/>
      <c r="D28" s="1865">
        <v>7.5999999999999998E-2</v>
      </c>
      <c r="E28" s="1865">
        <v>9.1999999999999998E-2</v>
      </c>
      <c r="F28" s="1867"/>
    </row>
    <row r="29" spans="1:6" ht="14.25" thickBot="1">
      <c r="A29" s="1855" t="s">
        <v>1325</v>
      </c>
      <c r="B29" s="1856" t="s">
        <v>2089</v>
      </c>
      <c r="C29" s="1857">
        <v>6.4000000000000001E-2</v>
      </c>
      <c r="D29" s="1857">
        <v>6.5000000000000002E-2</v>
      </c>
      <c r="E29" s="1857">
        <v>6.9000000000000006E-2</v>
      </c>
      <c r="F29" s="1858">
        <v>0.1</v>
      </c>
    </row>
    <row r="30" spans="1:6" ht="14.25" thickBot="1">
      <c r="A30" s="1855" t="s">
        <v>1325</v>
      </c>
      <c r="B30" s="1862" t="s">
        <v>1071</v>
      </c>
      <c r="C30" s="1860">
        <v>6.4000000000000001E-2</v>
      </c>
      <c r="D30" s="1860">
        <v>9.9000000000000005E-2</v>
      </c>
      <c r="E30" s="1860">
        <v>0.1</v>
      </c>
      <c r="F30" s="1861">
        <v>0.1</v>
      </c>
    </row>
    <row r="31" spans="1:6" ht="14.25" thickBot="1">
      <c r="A31" s="1855" t="s">
        <v>1325</v>
      </c>
      <c r="B31" s="1862" t="s">
        <v>1085</v>
      </c>
      <c r="C31" s="1860">
        <v>0.1</v>
      </c>
      <c r="D31" s="1860">
        <v>9.5000000000000001E-2</v>
      </c>
      <c r="E31" s="1860">
        <v>8.8999999999999996E-2</v>
      </c>
      <c r="F31" s="1861">
        <v>0.1</v>
      </c>
    </row>
    <row r="32" spans="1:6" ht="14.25" thickBot="1">
      <c r="A32" s="1855" t="s">
        <v>1325</v>
      </c>
      <c r="B32" s="1862" t="s">
        <v>1098</v>
      </c>
      <c r="C32" s="1860">
        <v>0.05</v>
      </c>
      <c r="D32" s="1860">
        <v>0.05</v>
      </c>
      <c r="E32" s="1860">
        <v>8.7999999999999995E-2</v>
      </c>
      <c r="F32" s="1861">
        <v>0.1</v>
      </c>
    </row>
    <row r="33" spans="1:6" ht="14.25" thickBot="1">
      <c r="A33" s="1855" t="s">
        <v>1325</v>
      </c>
      <c r="B33" s="1862" t="s">
        <v>1112</v>
      </c>
      <c r="C33" s="1860">
        <v>7.4999999999999997E-2</v>
      </c>
      <c r="D33" s="1860">
        <v>9.4E-2</v>
      </c>
      <c r="E33" s="1860">
        <v>9.7000000000000003E-2</v>
      </c>
      <c r="F33" s="1861">
        <v>0.1</v>
      </c>
    </row>
    <row r="34" spans="1:6" ht="14.25" thickBot="1">
      <c r="A34" s="1855" t="s">
        <v>1325</v>
      </c>
      <c r="B34" s="1862" t="s">
        <v>1123</v>
      </c>
      <c r="C34" s="1860">
        <v>9.8000000000000004E-2</v>
      </c>
      <c r="D34" s="1860">
        <v>8.5999999999999993E-2</v>
      </c>
      <c r="E34" s="1860">
        <v>9.7000000000000003E-2</v>
      </c>
      <c r="F34" s="1861">
        <v>0.1</v>
      </c>
    </row>
    <row r="35" spans="1:6" ht="14.25" thickBot="1">
      <c r="A35" s="1855" t="s">
        <v>1325</v>
      </c>
      <c r="B35" s="1862" t="s">
        <v>1134</v>
      </c>
      <c r="C35" s="1860">
        <v>5.8999999999999997E-2</v>
      </c>
      <c r="D35" s="1860">
        <v>6.5000000000000002E-2</v>
      </c>
      <c r="E35" s="1860">
        <v>7.0000000000000007E-2</v>
      </c>
      <c r="F35" s="1861">
        <v>0.1</v>
      </c>
    </row>
    <row r="36" spans="1:6" ht="14.25" thickBot="1">
      <c r="A36" s="1855" t="s">
        <v>1325</v>
      </c>
      <c r="B36" s="1862" t="s">
        <v>1145</v>
      </c>
      <c r="C36" s="1860">
        <v>6.3E-2</v>
      </c>
      <c r="D36" s="1860">
        <v>0.1</v>
      </c>
      <c r="E36" s="1860">
        <v>0.1</v>
      </c>
      <c r="F36" s="1861">
        <v>0.1</v>
      </c>
    </row>
    <row r="37" spans="1:6" ht="14.25" thickBot="1">
      <c r="A37" s="1855" t="s">
        <v>1325</v>
      </c>
      <c r="B37" s="1862" t="s">
        <v>1157</v>
      </c>
      <c r="C37" s="1860">
        <v>7.3999999999999996E-2</v>
      </c>
      <c r="D37" s="1860">
        <v>0.1</v>
      </c>
      <c r="E37" s="1860">
        <v>0.1</v>
      </c>
      <c r="F37" s="1861">
        <v>0.1</v>
      </c>
    </row>
    <row r="38" spans="1:6" ht="14.25" thickBot="1">
      <c r="A38" s="1855" t="s">
        <v>1325</v>
      </c>
      <c r="B38" s="1862" t="s">
        <v>1167</v>
      </c>
      <c r="C38" s="1860">
        <v>0.1</v>
      </c>
      <c r="D38" s="1860">
        <v>9.6000000000000002E-2</v>
      </c>
      <c r="E38" s="1860">
        <v>9.6000000000000002E-2</v>
      </c>
      <c r="F38" s="1868"/>
    </row>
    <row r="39" spans="1:6" ht="14.25" thickBot="1">
      <c r="A39" s="1855" t="s">
        <v>1325</v>
      </c>
      <c r="B39" s="1862" t="s">
        <v>1177</v>
      </c>
      <c r="C39" s="1860">
        <v>0.1</v>
      </c>
      <c r="D39" s="1860">
        <v>9.6000000000000002E-2</v>
      </c>
      <c r="E39" s="1860">
        <v>9.6000000000000002E-2</v>
      </c>
      <c r="F39" s="1868"/>
    </row>
    <row r="40" spans="1:6" ht="14.25" thickBot="1">
      <c r="A40" s="1855" t="s">
        <v>1325</v>
      </c>
      <c r="B40" s="1862" t="s">
        <v>1187</v>
      </c>
      <c r="C40" s="1860">
        <v>9.6000000000000002E-2</v>
      </c>
      <c r="D40" s="1860">
        <v>0.1</v>
      </c>
      <c r="E40" s="1860">
        <v>9.9000000000000005E-2</v>
      </c>
      <c r="F40" s="1868"/>
    </row>
    <row r="41" spans="1:6" ht="14.25" thickBot="1">
      <c r="A41" s="1855" t="s">
        <v>1325</v>
      </c>
      <c r="B41" s="1862" t="s">
        <v>1197</v>
      </c>
      <c r="C41" s="1860">
        <v>9.6000000000000002E-2</v>
      </c>
      <c r="D41" s="1860">
        <v>9.8000000000000004E-2</v>
      </c>
      <c r="E41" s="1860">
        <v>9.8000000000000004E-2</v>
      </c>
      <c r="F41" s="1868"/>
    </row>
    <row r="42" spans="1:6" ht="14.25" thickBot="1">
      <c r="A42" s="1855" t="s">
        <v>1325</v>
      </c>
      <c r="B42" s="1862" t="s">
        <v>1207</v>
      </c>
      <c r="C42" s="1860">
        <v>0.1</v>
      </c>
      <c r="D42" s="1860">
        <v>8.7999999999999995E-2</v>
      </c>
      <c r="E42" s="1860">
        <v>0.1</v>
      </c>
      <c r="F42" s="1868"/>
    </row>
    <row r="43" spans="1:6" ht="14.25" thickBot="1">
      <c r="A43" s="1855" t="s">
        <v>1325</v>
      </c>
      <c r="B43" s="1862" t="s">
        <v>1217</v>
      </c>
      <c r="C43" s="1860">
        <v>9.8000000000000004E-2</v>
      </c>
      <c r="D43" s="1860">
        <v>9.7000000000000003E-2</v>
      </c>
      <c r="E43" s="1860">
        <v>9.6000000000000002E-2</v>
      </c>
      <c r="F43" s="1868"/>
    </row>
    <row r="44" spans="1:6" ht="14.25" thickBot="1">
      <c r="A44" s="1855" t="s">
        <v>1325</v>
      </c>
      <c r="B44" s="1862" t="s">
        <v>1227</v>
      </c>
      <c r="C44" s="1860">
        <v>8.5999999999999993E-2</v>
      </c>
      <c r="D44" s="1860">
        <v>7.9000000000000001E-2</v>
      </c>
      <c r="E44" s="1860">
        <v>7.0999999999999994E-2</v>
      </c>
      <c r="F44" s="1868"/>
    </row>
    <row r="45" spans="1:6" ht="14.25" thickBot="1">
      <c r="A45" s="1855" t="s">
        <v>1325</v>
      </c>
      <c r="B45" s="1862" t="s">
        <v>1237</v>
      </c>
      <c r="C45" s="1860">
        <v>9.8000000000000004E-2</v>
      </c>
      <c r="D45" s="1860">
        <v>9.6000000000000002E-2</v>
      </c>
      <c r="E45" s="1860">
        <v>9.6000000000000002E-2</v>
      </c>
      <c r="F45" s="1868"/>
    </row>
    <row r="46" spans="1:6" ht="14.25" thickBot="1">
      <c r="A46" s="1855" t="s">
        <v>1325</v>
      </c>
      <c r="B46" s="1862" t="s">
        <v>1247</v>
      </c>
      <c r="C46" s="1860">
        <v>8.5999999999999993E-2</v>
      </c>
      <c r="D46" s="1860">
        <v>9.8000000000000004E-2</v>
      </c>
      <c r="E46" s="1860">
        <v>8.7999999999999995E-2</v>
      </c>
      <c r="F46" s="1868"/>
    </row>
    <row r="47" spans="1:6" ht="14.25" thickBot="1">
      <c r="A47" s="1855" t="s">
        <v>1325</v>
      </c>
      <c r="B47" s="1862" t="s">
        <v>1257</v>
      </c>
      <c r="C47" s="1860">
        <v>9.6000000000000002E-2</v>
      </c>
      <c r="D47" s="1869"/>
      <c r="E47" s="1860">
        <v>6.9000000000000006E-2</v>
      </c>
      <c r="F47" s="1868"/>
    </row>
    <row r="48" spans="1:6" ht="14.25" thickBot="1">
      <c r="A48" s="1863" t="s">
        <v>1325</v>
      </c>
      <c r="B48" s="1864" t="s">
        <v>1266</v>
      </c>
      <c r="C48" s="1865">
        <v>9.8000000000000004E-2</v>
      </c>
      <c r="D48" s="1866"/>
      <c r="E48" s="1865">
        <v>9.5000000000000001E-2</v>
      </c>
      <c r="F48" s="1867"/>
    </row>
    <row r="49" spans="1:6" ht="14.25" thickBot="1">
      <c r="A49" s="1855" t="s">
        <v>923</v>
      </c>
      <c r="B49" s="1856" t="s">
        <v>2090</v>
      </c>
      <c r="C49" s="1857">
        <v>9.7000000000000003E-2</v>
      </c>
      <c r="D49" s="1857">
        <v>9.5000000000000001E-2</v>
      </c>
      <c r="E49" s="1857">
        <v>9.7000000000000003E-2</v>
      </c>
      <c r="F49" s="1858">
        <v>0.1</v>
      </c>
    </row>
    <row r="50" spans="1:6" ht="14.25" thickBot="1">
      <c r="A50" s="1855" t="s">
        <v>923</v>
      </c>
      <c r="B50" s="1859" t="s">
        <v>1072</v>
      </c>
      <c r="C50" s="1860">
        <v>7.4999999999999997E-2</v>
      </c>
      <c r="D50" s="1860">
        <v>9.5000000000000001E-2</v>
      </c>
      <c r="E50" s="1860">
        <v>0.1</v>
      </c>
      <c r="F50" s="1861">
        <v>0.1</v>
      </c>
    </row>
    <row r="51" spans="1:6" ht="14.25" thickBot="1">
      <c r="A51" s="1855" t="s">
        <v>923</v>
      </c>
      <c r="B51" s="1859" t="s">
        <v>1086</v>
      </c>
      <c r="C51" s="1860">
        <v>9.8000000000000004E-2</v>
      </c>
      <c r="D51" s="1860">
        <v>8.8999999999999996E-2</v>
      </c>
      <c r="E51" s="1860">
        <v>0.1</v>
      </c>
      <c r="F51" s="1861">
        <v>0.1</v>
      </c>
    </row>
    <row r="52" spans="1:6" ht="14.25" thickBot="1">
      <c r="A52" s="1855" t="s">
        <v>923</v>
      </c>
      <c r="B52" s="1859" t="s">
        <v>1099</v>
      </c>
      <c r="C52" s="1860">
        <v>9.8000000000000004E-2</v>
      </c>
      <c r="D52" s="1860">
        <v>9.7000000000000003E-2</v>
      </c>
      <c r="E52" s="1860">
        <v>8.1000000000000003E-2</v>
      </c>
      <c r="F52" s="1861">
        <v>0.1</v>
      </c>
    </row>
    <row r="53" spans="1:6" ht="14.25" thickBot="1">
      <c r="A53" s="1855" t="s">
        <v>923</v>
      </c>
      <c r="B53" s="1859" t="s">
        <v>1113</v>
      </c>
      <c r="C53" s="1860">
        <v>9.7000000000000003E-2</v>
      </c>
      <c r="D53" s="1860">
        <v>7.5999999999999998E-2</v>
      </c>
      <c r="E53" s="1860">
        <v>7.0999999999999994E-2</v>
      </c>
      <c r="F53" s="1861">
        <v>0.1</v>
      </c>
    </row>
    <row r="54" spans="1:6" ht="14.25" thickBot="1">
      <c r="A54" s="1855" t="s">
        <v>923</v>
      </c>
      <c r="B54" s="1859" t="s">
        <v>1124</v>
      </c>
      <c r="C54" s="1860">
        <v>7.5999999999999998E-2</v>
      </c>
      <c r="D54" s="1860">
        <v>0.1</v>
      </c>
      <c r="E54" s="1860">
        <v>9.9000000000000005E-2</v>
      </c>
      <c r="F54" s="1861">
        <v>0.1</v>
      </c>
    </row>
    <row r="55" spans="1:6" ht="14.25" thickBot="1">
      <c r="A55" s="1855" t="s">
        <v>923</v>
      </c>
      <c r="B55" s="1859" t="s">
        <v>1135</v>
      </c>
      <c r="C55" s="1860">
        <v>0.1</v>
      </c>
      <c r="D55" s="1860">
        <v>0.1</v>
      </c>
      <c r="E55" s="1860">
        <v>9.6000000000000002E-2</v>
      </c>
      <c r="F55" s="1861">
        <v>0.1</v>
      </c>
    </row>
    <row r="56" spans="1:6" ht="14.25" thickBot="1">
      <c r="A56" s="1855" t="s">
        <v>923</v>
      </c>
      <c r="B56" s="1859" t="s">
        <v>1146</v>
      </c>
      <c r="C56" s="1860">
        <v>0.1</v>
      </c>
      <c r="D56" s="1860">
        <v>9.6000000000000002E-2</v>
      </c>
      <c r="E56" s="1860">
        <v>5.1999999999999998E-2</v>
      </c>
      <c r="F56" s="1861">
        <v>0.1</v>
      </c>
    </row>
    <row r="57" spans="1:6" ht="14.25" thickBot="1">
      <c r="A57" s="1855" t="s">
        <v>923</v>
      </c>
      <c r="B57" s="1859" t="s">
        <v>1158</v>
      </c>
      <c r="C57" s="1860">
        <v>9.7000000000000003E-2</v>
      </c>
      <c r="D57" s="1860">
        <v>9.6000000000000002E-2</v>
      </c>
      <c r="E57" s="1860">
        <v>9.6000000000000002E-2</v>
      </c>
      <c r="F57" s="1861">
        <v>0.1</v>
      </c>
    </row>
    <row r="58" spans="1:6" ht="14.25" thickBot="1">
      <c r="A58" s="1855" t="s">
        <v>923</v>
      </c>
      <c r="B58" s="1859" t="s">
        <v>1168</v>
      </c>
      <c r="C58" s="1860">
        <v>9.6000000000000002E-2</v>
      </c>
      <c r="D58" s="1860">
        <v>9.9000000000000005E-2</v>
      </c>
      <c r="E58" s="1860">
        <v>9.6000000000000002E-2</v>
      </c>
      <c r="F58" s="1861">
        <v>0.1</v>
      </c>
    </row>
    <row r="59" spans="1:6" ht="14.25" thickBot="1">
      <c r="A59" s="1855" t="s">
        <v>923</v>
      </c>
      <c r="B59" s="1859" t="s">
        <v>1178</v>
      </c>
      <c r="C59" s="1860">
        <v>7.1999999999999995E-2</v>
      </c>
      <c r="D59" s="1860">
        <v>9.6000000000000002E-2</v>
      </c>
      <c r="E59" s="1860">
        <v>7.0999999999999994E-2</v>
      </c>
      <c r="F59" s="1861">
        <v>0.1</v>
      </c>
    </row>
    <row r="60" spans="1:6" ht="14.25" thickBot="1">
      <c r="A60" s="1855" t="s">
        <v>923</v>
      </c>
      <c r="B60" s="1859" t="s">
        <v>1188</v>
      </c>
      <c r="C60" s="1860">
        <v>9.6000000000000002E-2</v>
      </c>
      <c r="D60" s="1860">
        <v>8.8999999999999996E-2</v>
      </c>
      <c r="E60" s="1860">
        <v>9.6000000000000002E-2</v>
      </c>
      <c r="F60" s="1861">
        <v>0.1</v>
      </c>
    </row>
    <row r="61" spans="1:6" ht="14.25" thickBot="1">
      <c r="A61" s="1855" t="s">
        <v>923</v>
      </c>
      <c r="B61" s="1859" t="s">
        <v>1198</v>
      </c>
      <c r="C61" s="1860">
        <v>8.8999999999999996E-2</v>
      </c>
      <c r="D61" s="1860">
        <v>9.8000000000000004E-2</v>
      </c>
      <c r="E61" s="1860">
        <v>8.7999999999999995E-2</v>
      </c>
      <c r="F61" s="1868"/>
    </row>
    <row r="62" spans="1:6" ht="14.25" thickBot="1">
      <c r="A62" s="1855" t="s">
        <v>923</v>
      </c>
      <c r="B62" s="1859" t="s">
        <v>1208</v>
      </c>
      <c r="C62" s="1860">
        <v>9.8000000000000004E-2</v>
      </c>
      <c r="D62" s="1860">
        <v>9.2999999999999999E-2</v>
      </c>
      <c r="E62" s="1860">
        <v>9.7000000000000003E-2</v>
      </c>
      <c r="F62" s="1868"/>
    </row>
    <row r="63" spans="1:6" ht="14.25" thickBot="1">
      <c r="A63" s="1855" t="s">
        <v>923</v>
      </c>
      <c r="B63" s="1859" t="s">
        <v>1218</v>
      </c>
      <c r="C63" s="1860">
        <v>9.6000000000000002E-2</v>
      </c>
      <c r="D63" s="1860">
        <v>9.8000000000000004E-2</v>
      </c>
      <c r="E63" s="1860">
        <v>0.09</v>
      </c>
      <c r="F63" s="1868"/>
    </row>
    <row r="64" spans="1:6" ht="14.25" thickBot="1">
      <c r="A64" s="1855" t="s">
        <v>923</v>
      </c>
      <c r="B64" s="1859" t="s">
        <v>1228</v>
      </c>
      <c r="C64" s="1860">
        <v>9.9000000000000005E-2</v>
      </c>
      <c r="D64" s="1860">
        <v>9.7000000000000003E-2</v>
      </c>
      <c r="E64" s="1860">
        <v>9.9000000000000005E-2</v>
      </c>
      <c r="F64" s="1868"/>
    </row>
    <row r="65" spans="1:6" ht="14.25" thickBot="1">
      <c r="A65" s="1855" t="s">
        <v>923</v>
      </c>
      <c r="B65" s="1859" t="s">
        <v>1238</v>
      </c>
      <c r="C65" s="1860">
        <v>9.8000000000000004E-2</v>
      </c>
      <c r="D65" s="1860">
        <v>9.6000000000000002E-2</v>
      </c>
      <c r="E65" s="1860">
        <v>9.6000000000000002E-2</v>
      </c>
      <c r="F65" s="1868"/>
    </row>
    <row r="66" spans="1:6" ht="14.25" thickBot="1">
      <c r="A66" s="1855" t="s">
        <v>923</v>
      </c>
      <c r="B66" s="1859" t="s">
        <v>1248</v>
      </c>
      <c r="C66" s="1860">
        <v>9.6000000000000002E-2</v>
      </c>
      <c r="D66" s="1860">
        <v>9.1999999999999998E-2</v>
      </c>
      <c r="E66" s="1860">
        <v>9.6000000000000002E-2</v>
      </c>
      <c r="F66" s="1868"/>
    </row>
    <row r="67" spans="1:6" ht="14.25" thickBot="1">
      <c r="A67" s="1855" t="s">
        <v>923</v>
      </c>
      <c r="B67" s="1859" t="s">
        <v>1258</v>
      </c>
      <c r="C67" s="1860">
        <v>9.4E-2</v>
      </c>
      <c r="D67" s="1860">
        <v>0.1</v>
      </c>
      <c r="E67" s="1860">
        <v>8.7999999999999995E-2</v>
      </c>
      <c r="F67" s="1868"/>
    </row>
    <row r="68" spans="1:6" ht="14.25" thickBot="1">
      <c r="A68" s="1855" t="s">
        <v>923</v>
      </c>
      <c r="B68" s="1859" t="s">
        <v>1267</v>
      </c>
      <c r="C68" s="1860">
        <v>0.1</v>
      </c>
      <c r="D68" s="1860">
        <v>8.7999999999999995E-2</v>
      </c>
      <c r="E68" s="1860">
        <v>9.7000000000000003E-2</v>
      </c>
      <c r="F68" s="1868"/>
    </row>
    <row r="69" spans="1:6" ht="14.25" thickBot="1">
      <c r="A69" s="1855" t="s">
        <v>923</v>
      </c>
      <c r="B69" s="1859" t="s">
        <v>1276</v>
      </c>
      <c r="C69" s="1860">
        <v>6.4000000000000001E-2</v>
      </c>
      <c r="D69" s="1860">
        <v>0.1</v>
      </c>
      <c r="E69" s="1860">
        <v>0.1</v>
      </c>
      <c r="F69" s="1868"/>
    </row>
    <row r="70" spans="1:6" ht="14.25" thickBot="1">
      <c r="A70" s="1855" t="s">
        <v>923</v>
      </c>
      <c r="B70" s="1859" t="s">
        <v>1284</v>
      </c>
      <c r="C70" s="1860">
        <v>9.0999999999999998E-2</v>
      </c>
      <c r="D70" s="1869"/>
      <c r="E70" s="1869"/>
      <c r="F70" s="1868"/>
    </row>
    <row r="71" spans="1:6" ht="14.25" thickBot="1">
      <c r="A71" s="1855" t="s">
        <v>923</v>
      </c>
      <c r="B71" s="1859" t="s">
        <v>1291</v>
      </c>
      <c r="C71" s="1860">
        <v>0.1</v>
      </c>
      <c r="D71" s="1869"/>
      <c r="E71" s="1869"/>
      <c r="F71" s="1868"/>
    </row>
    <row r="72" spans="1:6" ht="14.25" thickBot="1">
      <c r="A72" s="1855" t="s">
        <v>923</v>
      </c>
      <c r="B72" s="1859" t="s">
        <v>2091</v>
      </c>
      <c r="C72" s="1869"/>
      <c r="D72" s="1869"/>
      <c r="E72" s="1869"/>
      <c r="F72" s="1861">
        <v>0.05</v>
      </c>
    </row>
    <row r="73" spans="1:6" ht="14.25" thickBot="1">
      <c r="A73" s="1855" t="s">
        <v>923</v>
      </c>
      <c r="B73" s="1859" t="s">
        <v>2092</v>
      </c>
      <c r="C73" s="1869"/>
      <c r="D73" s="1869"/>
      <c r="E73" s="1869"/>
      <c r="F73" s="1861">
        <v>0.05</v>
      </c>
    </row>
    <row r="74" spans="1:6" ht="14.25" thickBot="1">
      <c r="A74" s="1855" t="s">
        <v>923</v>
      </c>
      <c r="B74" s="1859" t="s">
        <v>2093</v>
      </c>
      <c r="C74" s="1869"/>
      <c r="D74" s="1869"/>
      <c r="E74" s="1869"/>
      <c r="F74" s="1861">
        <v>0.05</v>
      </c>
    </row>
    <row r="75" spans="1:6" ht="14.25" thickBot="1">
      <c r="A75" s="1863" t="s">
        <v>923</v>
      </c>
      <c r="B75" s="1870" t="s">
        <v>2094</v>
      </c>
      <c r="C75" s="1866"/>
      <c r="D75" s="1866"/>
      <c r="E75" s="1866"/>
      <c r="F75" s="1871">
        <v>0.05</v>
      </c>
    </row>
    <row r="76" spans="1:6" ht="14.25" thickBot="1">
      <c r="A76" s="1855" t="s">
        <v>1406</v>
      </c>
      <c r="B76" s="1856" t="s">
        <v>2095</v>
      </c>
      <c r="C76" s="1857">
        <v>0.1</v>
      </c>
      <c r="D76" s="1857">
        <v>0.1</v>
      </c>
      <c r="E76" s="1857">
        <v>0.1</v>
      </c>
      <c r="F76" s="1858">
        <v>0.1</v>
      </c>
    </row>
    <row r="77" spans="1:6" ht="14.25" thickBot="1">
      <c r="A77" s="1855" t="s">
        <v>1406</v>
      </c>
      <c r="B77" s="1859" t="s">
        <v>1073</v>
      </c>
      <c r="C77" s="1860">
        <v>8.7999999999999995E-2</v>
      </c>
      <c r="D77" s="1860">
        <v>8.6999999999999994E-2</v>
      </c>
      <c r="E77" s="1860">
        <v>7.9000000000000001E-2</v>
      </c>
      <c r="F77" s="1861">
        <v>0.1</v>
      </c>
    </row>
    <row r="78" spans="1:6" ht="14.25" thickBot="1">
      <c r="A78" s="1855" t="s">
        <v>1406</v>
      </c>
      <c r="B78" s="1859" t="s">
        <v>1087</v>
      </c>
      <c r="C78" s="1860">
        <v>8.6999999999999994E-2</v>
      </c>
      <c r="D78" s="1860">
        <v>8.4000000000000005E-2</v>
      </c>
      <c r="E78" s="1860">
        <v>9.6000000000000002E-2</v>
      </c>
      <c r="F78" s="1861">
        <v>0.1</v>
      </c>
    </row>
    <row r="79" spans="1:6" ht="14.25" thickBot="1">
      <c r="A79" s="1855" t="s">
        <v>1406</v>
      </c>
      <c r="B79" s="1859" t="s">
        <v>1100</v>
      </c>
      <c r="C79" s="1860">
        <v>9.8000000000000004E-2</v>
      </c>
      <c r="D79" s="1860">
        <v>9.8000000000000004E-2</v>
      </c>
      <c r="E79" s="1860">
        <v>9.0999999999999998E-2</v>
      </c>
      <c r="F79" s="1861">
        <v>0.1</v>
      </c>
    </row>
    <row r="80" spans="1:6" ht="14.25" thickBot="1">
      <c r="A80" s="1855" t="s">
        <v>1406</v>
      </c>
      <c r="B80" s="1859" t="s">
        <v>1114</v>
      </c>
      <c r="C80" s="1860">
        <v>9.6000000000000002E-2</v>
      </c>
      <c r="D80" s="1860">
        <v>9.6000000000000002E-2</v>
      </c>
      <c r="E80" s="1860">
        <v>0.1</v>
      </c>
      <c r="F80" s="1861">
        <v>0.1</v>
      </c>
    </row>
    <row r="81" spans="1:6" ht="14.25" thickBot="1">
      <c r="A81" s="1855" t="s">
        <v>1406</v>
      </c>
      <c r="B81" s="1859" t="s">
        <v>1125</v>
      </c>
      <c r="C81" s="1860">
        <v>9.9000000000000005E-2</v>
      </c>
      <c r="D81" s="1860">
        <v>9.9000000000000005E-2</v>
      </c>
      <c r="E81" s="1860">
        <v>9.8000000000000004E-2</v>
      </c>
      <c r="F81" s="1861">
        <v>0.1</v>
      </c>
    </row>
    <row r="82" spans="1:6" ht="14.25" thickBot="1">
      <c r="A82" s="1855" t="s">
        <v>1406</v>
      </c>
      <c r="B82" s="1859" t="s">
        <v>1136</v>
      </c>
      <c r="C82" s="1860">
        <v>9.9000000000000005E-2</v>
      </c>
      <c r="D82" s="1860">
        <v>9.9000000000000005E-2</v>
      </c>
      <c r="E82" s="1860">
        <v>9.7000000000000003E-2</v>
      </c>
      <c r="F82" s="1861">
        <v>0.1</v>
      </c>
    </row>
    <row r="83" spans="1:6" ht="14.25" thickBot="1">
      <c r="A83" s="1855" t="s">
        <v>1406</v>
      </c>
      <c r="B83" s="1859" t="s">
        <v>1147</v>
      </c>
      <c r="C83" s="1860">
        <v>9.8000000000000004E-2</v>
      </c>
      <c r="D83" s="1860">
        <v>9.8000000000000004E-2</v>
      </c>
      <c r="E83" s="1860">
        <v>9.8000000000000004E-2</v>
      </c>
      <c r="F83" s="1861">
        <v>0.1</v>
      </c>
    </row>
    <row r="84" spans="1:6" ht="14.25" thickBot="1">
      <c r="A84" s="1855" t="s">
        <v>1406</v>
      </c>
      <c r="B84" s="1859" t="s">
        <v>1159</v>
      </c>
      <c r="C84" s="1860">
        <v>9.9000000000000005E-2</v>
      </c>
      <c r="D84" s="1860">
        <v>9.9000000000000005E-2</v>
      </c>
      <c r="E84" s="1860">
        <v>9.9000000000000005E-2</v>
      </c>
      <c r="F84" s="1861">
        <v>0.1</v>
      </c>
    </row>
    <row r="85" spans="1:6" ht="14.25" thickBot="1">
      <c r="A85" s="1855" t="s">
        <v>1406</v>
      </c>
      <c r="B85" s="1859" t="s">
        <v>1169</v>
      </c>
      <c r="C85" s="1860">
        <v>9.9000000000000005E-2</v>
      </c>
      <c r="D85" s="1860">
        <v>9.9000000000000005E-2</v>
      </c>
      <c r="E85" s="1860">
        <v>9.9000000000000005E-2</v>
      </c>
      <c r="F85" s="1861">
        <v>0.1</v>
      </c>
    </row>
    <row r="86" spans="1:6" ht="14.25" thickBot="1">
      <c r="A86" s="1855" t="s">
        <v>1406</v>
      </c>
      <c r="B86" s="1859" t="s">
        <v>1179</v>
      </c>
      <c r="C86" s="1860">
        <v>0.1</v>
      </c>
      <c r="D86" s="1860">
        <v>0.1</v>
      </c>
      <c r="E86" s="1860">
        <v>7.6999999999999999E-2</v>
      </c>
      <c r="F86" s="1861">
        <v>0.1</v>
      </c>
    </row>
    <row r="87" spans="1:6" ht="14.25" thickBot="1">
      <c r="A87" s="1855" t="s">
        <v>1406</v>
      </c>
      <c r="B87" s="1859" t="s">
        <v>1189</v>
      </c>
      <c r="C87" s="1860">
        <v>0.1</v>
      </c>
      <c r="D87" s="1860">
        <v>0.1</v>
      </c>
      <c r="E87" s="1860">
        <v>9.8000000000000004E-2</v>
      </c>
      <c r="F87" s="1868"/>
    </row>
    <row r="88" spans="1:6" ht="14.25" thickBot="1">
      <c r="A88" s="1855" t="s">
        <v>1406</v>
      </c>
      <c r="B88" s="1859" t="s">
        <v>1199</v>
      </c>
      <c r="C88" s="1860">
        <v>9.1999999999999998E-2</v>
      </c>
      <c r="D88" s="1860">
        <v>8.5000000000000006E-2</v>
      </c>
      <c r="E88" s="1860">
        <v>9.6000000000000002E-2</v>
      </c>
      <c r="F88" s="1868"/>
    </row>
    <row r="89" spans="1:6" ht="14.25" thickBot="1">
      <c r="A89" s="1855" t="s">
        <v>1406</v>
      </c>
      <c r="B89" s="1859" t="s">
        <v>1209</v>
      </c>
      <c r="C89" s="1860">
        <v>0.1</v>
      </c>
      <c r="D89" s="1860">
        <v>0.1</v>
      </c>
      <c r="E89" s="1860">
        <v>9.7000000000000003E-2</v>
      </c>
      <c r="F89" s="1868"/>
    </row>
    <row r="90" spans="1:6" ht="14.25" thickBot="1">
      <c r="A90" s="1855" t="s">
        <v>1406</v>
      </c>
      <c r="B90" s="1859" t="s">
        <v>1219</v>
      </c>
      <c r="C90" s="1860">
        <v>9.8000000000000004E-2</v>
      </c>
      <c r="D90" s="1860">
        <v>9.8000000000000004E-2</v>
      </c>
      <c r="E90" s="1860">
        <v>8.7999999999999995E-2</v>
      </c>
      <c r="F90" s="1868"/>
    </row>
    <row r="91" spans="1:6" ht="14.25" thickBot="1">
      <c r="A91" s="1855" t="s">
        <v>1406</v>
      </c>
      <c r="B91" s="1859" t="s">
        <v>1229</v>
      </c>
      <c r="C91" s="1860">
        <v>9.9000000000000005E-2</v>
      </c>
      <c r="D91" s="1860">
        <v>9.9000000000000005E-2</v>
      </c>
      <c r="E91" s="1860">
        <v>9.0999999999999998E-2</v>
      </c>
      <c r="F91" s="1868"/>
    </row>
    <row r="92" spans="1:6" ht="14.25" thickBot="1">
      <c r="A92" s="1855" t="s">
        <v>1406</v>
      </c>
      <c r="B92" s="1859" t="s">
        <v>1239</v>
      </c>
      <c r="C92" s="1860">
        <v>9.6000000000000002E-2</v>
      </c>
      <c r="D92" s="1860">
        <v>9.6000000000000002E-2</v>
      </c>
      <c r="E92" s="1860">
        <v>7.2999999999999995E-2</v>
      </c>
      <c r="F92" s="1868"/>
    </row>
    <row r="93" spans="1:6" ht="14.25" thickBot="1">
      <c r="A93" s="1855" t="s">
        <v>1406</v>
      </c>
      <c r="B93" s="1859" t="s">
        <v>1249</v>
      </c>
      <c r="C93" s="1860">
        <v>9.6000000000000002E-2</v>
      </c>
      <c r="D93" s="1860">
        <v>9.6000000000000002E-2</v>
      </c>
      <c r="E93" s="1860">
        <v>9.9000000000000005E-2</v>
      </c>
      <c r="F93" s="1868"/>
    </row>
    <row r="94" spans="1:6" ht="14.25" thickBot="1">
      <c r="A94" s="1855" t="s">
        <v>1406</v>
      </c>
      <c r="B94" s="1859" t="s">
        <v>1259</v>
      </c>
      <c r="C94" s="1860">
        <v>7.5999999999999998E-2</v>
      </c>
      <c r="D94" s="1860">
        <v>7.3999999999999996E-2</v>
      </c>
      <c r="E94" s="1860">
        <v>9.7000000000000003E-2</v>
      </c>
      <c r="F94" s="1868"/>
    </row>
    <row r="95" spans="1:6" ht="14.25" thickBot="1">
      <c r="A95" s="1855" t="s">
        <v>1406</v>
      </c>
      <c r="B95" s="1859" t="s">
        <v>1268</v>
      </c>
      <c r="C95" s="1860">
        <v>9.9000000000000005E-2</v>
      </c>
      <c r="D95" s="1860">
        <v>9.4E-2</v>
      </c>
      <c r="E95" s="1860">
        <v>9.6000000000000002E-2</v>
      </c>
      <c r="F95" s="1868"/>
    </row>
    <row r="96" spans="1:6" ht="14.25" thickBot="1">
      <c r="A96" s="1855" t="s">
        <v>1406</v>
      </c>
      <c r="B96" s="1859" t="s">
        <v>1277</v>
      </c>
      <c r="C96" s="1860">
        <v>9.9000000000000005E-2</v>
      </c>
      <c r="D96" s="1860">
        <v>9.9000000000000005E-2</v>
      </c>
      <c r="E96" s="1860">
        <v>9.9000000000000005E-2</v>
      </c>
      <c r="F96" s="1868"/>
    </row>
    <row r="97" spans="1:6" ht="14.25" thickBot="1">
      <c r="A97" s="1855" t="s">
        <v>1406</v>
      </c>
      <c r="B97" s="1859" t="s">
        <v>1285</v>
      </c>
      <c r="C97" s="1860">
        <v>9.8000000000000004E-2</v>
      </c>
      <c r="D97" s="1860">
        <v>9.8000000000000004E-2</v>
      </c>
      <c r="E97" s="1860">
        <v>9.7000000000000003E-2</v>
      </c>
      <c r="F97" s="1868"/>
    </row>
    <row r="98" spans="1:6" ht="14.25" thickBot="1">
      <c r="A98" s="1855" t="s">
        <v>1406</v>
      </c>
      <c r="B98" s="1859" t="s">
        <v>1292</v>
      </c>
      <c r="C98" s="1860">
        <v>0.1</v>
      </c>
      <c r="D98" s="1860">
        <v>0.1</v>
      </c>
      <c r="E98" s="1860">
        <v>9.7000000000000003E-2</v>
      </c>
      <c r="F98" s="1868"/>
    </row>
    <row r="99" spans="1:6" ht="14.25" thickBot="1">
      <c r="A99" s="1855" t="s">
        <v>1406</v>
      </c>
      <c r="B99" s="1859" t="s">
        <v>1299</v>
      </c>
      <c r="C99" s="1860">
        <v>0.1</v>
      </c>
      <c r="D99" s="1860">
        <v>0.1</v>
      </c>
      <c r="E99" s="1869"/>
      <c r="F99" s="1868"/>
    </row>
    <row r="100" spans="1:6" ht="14.25" thickBot="1">
      <c r="A100" s="1855" t="s">
        <v>1406</v>
      </c>
      <c r="B100" s="1859" t="s">
        <v>1306</v>
      </c>
      <c r="C100" s="1860">
        <v>0.09</v>
      </c>
      <c r="D100" s="1860">
        <v>8.8999999999999996E-2</v>
      </c>
      <c r="E100" s="1869"/>
      <c r="F100" s="1868"/>
    </row>
    <row r="101" spans="1:6" ht="14.25" thickBot="1">
      <c r="A101" s="1855" t="s">
        <v>1406</v>
      </c>
      <c r="B101" s="1859" t="s">
        <v>1313</v>
      </c>
      <c r="C101" s="1860">
        <v>9.8000000000000004E-2</v>
      </c>
      <c r="D101" s="1860">
        <v>9.7000000000000003E-2</v>
      </c>
      <c r="E101" s="1869"/>
      <c r="F101" s="1868"/>
    </row>
    <row r="102" spans="1:6" ht="14.25" thickBot="1">
      <c r="A102" s="1855" t="s">
        <v>1406</v>
      </c>
      <c r="B102" s="1859" t="s">
        <v>2096</v>
      </c>
      <c r="C102" s="1869"/>
      <c r="D102" s="1869"/>
      <c r="E102" s="1869"/>
      <c r="F102" s="1861">
        <v>0.05</v>
      </c>
    </row>
    <row r="103" spans="1:6" ht="24.75" thickBot="1">
      <c r="A103" s="1855" t="s">
        <v>1406</v>
      </c>
      <c r="B103" s="1859" t="s">
        <v>2097</v>
      </c>
      <c r="C103" s="1869"/>
      <c r="D103" s="1869"/>
      <c r="E103" s="1869"/>
      <c r="F103" s="1861">
        <v>0.05</v>
      </c>
    </row>
    <row r="104" spans="1:6" ht="14.25" thickBot="1">
      <c r="A104" s="1855" t="s">
        <v>1406</v>
      </c>
      <c r="B104" s="1859" t="s">
        <v>2098</v>
      </c>
      <c r="C104" s="1869"/>
      <c r="D104" s="1869"/>
      <c r="E104" s="1869"/>
      <c r="F104" s="1861">
        <v>0.05</v>
      </c>
    </row>
    <row r="105" spans="1:6" ht="14.25" thickBot="1">
      <c r="A105" s="1855" t="s">
        <v>1406</v>
      </c>
      <c r="B105" s="1859" t="s">
        <v>2099</v>
      </c>
      <c r="C105" s="1869"/>
      <c r="D105" s="1869"/>
      <c r="E105" s="1869"/>
      <c r="F105" s="1861">
        <v>0.05</v>
      </c>
    </row>
    <row r="106" spans="1:6" ht="14.25" thickBot="1">
      <c r="A106" s="1855" t="s">
        <v>1406</v>
      </c>
      <c r="B106" s="1859" t="s">
        <v>2100</v>
      </c>
      <c r="C106" s="1869"/>
      <c r="D106" s="1869"/>
      <c r="E106" s="1869"/>
      <c r="F106" s="1861">
        <v>0.05</v>
      </c>
    </row>
    <row r="107" spans="1:6" ht="24.75" thickBot="1">
      <c r="A107" s="1855" t="s">
        <v>1406</v>
      </c>
      <c r="B107" s="1859" t="s">
        <v>2101</v>
      </c>
      <c r="C107" s="1869"/>
      <c r="D107" s="1869"/>
      <c r="E107" s="1869"/>
      <c r="F107" s="1861">
        <v>0.05</v>
      </c>
    </row>
    <row r="108" spans="1:6" ht="24.75" thickBot="1">
      <c r="A108" s="1855" t="s">
        <v>1406</v>
      </c>
      <c r="B108" s="1859" t="s">
        <v>2102</v>
      </c>
      <c r="C108" s="1869"/>
      <c r="D108" s="1869"/>
      <c r="E108" s="1869"/>
      <c r="F108" s="1861">
        <v>0.05</v>
      </c>
    </row>
    <row r="109" spans="1:6" ht="24.75" thickBot="1">
      <c r="A109" s="1863" t="s">
        <v>1406</v>
      </c>
      <c r="B109" s="1870" t="s">
        <v>2103</v>
      </c>
      <c r="C109" s="1866"/>
      <c r="D109" s="1866"/>
      <c r="E109" s="1866"/>
      <c r="F109" s="1871">
        <v>0.05</v>
      </c>
    </row>
    <row r="110" spans="1:6" ht="14.25" thickBot="1">
      <c r="A110" s="1855" t="s">
        <v>1408</v>
      </c>
      <c r="B110" s="1856" t="s">
        <v>2104</v>
      </c>
      <c r="C110" s="1857">
        <v>0.129</v>
      </c>
      <c r="D110" s="1857">
        <v>0.129</v>
      </c>
      <c r="E110" s="1857">
        <v>0.126</v>
      </c>
      <c r="F110" s="1858">
        <v>0.13</v>
      </c>
    </row>
    <row r="111" spans="1:6" ht="14.25" thickBot="1">
      <c r="A111" s="1855" t="s">
        <v>1408</v>
      </c>
      <c r="B111" s="1859" t="s">
        <v>1074</v>
      </c>
      <c r="C111" s="1860">
        <v>0.11</v>
      </c>
      <c r="D111" s="1860">
        <v>0.11</v>
      </c>
      <c r="E111" s="1860">
        <v>9.9000000000000005E-2</v>
      </c>
      <c r="F111" s="1861">
        <v>0.128</v>
      </c>
    </row>
    <row r="112" spans="1:6" ht="14.25" thickBot="1">
      <c r="A112" s="1855" t="s">
        <v>1408</v>
      </c>
      <c r="B112" s="1859" t="s">
        <v>1088</v>
      </c>
      <c r="C112" s="1860">
        <v>0.125</v>
      </c>
      <c r="D112" s="1860">
        <v>0.125</v>
      </c>
      <c r="E112" s="1860">
        <v>0.12</v>
      </c>
      <c r="F112" s="1861">
        <v>0.125</v>
      </c>
    </row>
    <row r="113" spans="1:6" ht="14.25" thickBot="1">
      <c r="A113" s="1855" t="s">
        <v>1408</v>
      </c>
      <c r="B113" s="1859" t="s">
        <v>1101</v>
      </c>
      <c r="C113" s="1860">
        <v>0.13</v>
      </c>
      <c r="D113" s="1860">
        <v>0.13</v>
      </c>
      <c r="E113" s="1860">
        <v>0.13</v>
      </c>
      <c r="F113" s="1861">
        <v>0.13</v>
      </c>
    </row>
    <row r="114" spans="1:6" ht="14.25" thickBot="1">
      <c r="A114" s="1855" t="s">
        <v>1408</v>
      </c>
      <c r="B114" s="1859" t="s">
        <v>1115</v>
      </c>
      <c r="C114" s="1860">
        <v>0.123</v>
      </c>
      <c r="D114" s="1860">
        <v>0.123</v>
      </c>
      <c r="E114" s="1860">
        <v>0.12</v>
      </c>
      <c r="F114" s="1861">
        <v>0.13</v>
      </c>
    </row>
    <row r="115" spans="1:6" ht="14.25" thickBot="1">
      <c r="A115" s="1855" t="s">
        <v>1408</v>
      </c>
      <c r="B115" s="1859" t="s">
        <v>1126</v>
      </c>
      <c r="C115" s="1860">
        <v>0.125</v>
      </c>
      <c r="D115" s="1860">
        <v>0.125</v>
      </c>
      <c r="E115" s="1860">
        <v>0.11700000000000001</v>
      </c>
      <c r="F115" s="1861">
        <v>0.13</v>
      </c>
    </row>
    <row r="116" spans="1:6" ht="14.25" thickBot="1">
      <c r="A116" s="1855" t="s">
        <v>1408</v>
      </c>
      <c r="B116" s="1859" t="s">
        <v>1137</v>
      </c>
      <c r="C116" s="1860">
        <v>0.11700000000000001</v>
      </c>
      <c r="D116" s="1860">
        <v>0.11700000000000001</v>
      </c>
      <c r="E116" s="1860">
        <v>8.7999999999999995E-2</v>
      </c>
      <c r="F116" s="1861">
        <v>0.13</v>
      </c>
    </row>
    <row r="117" spans="1:6" ht="14.25" thickBot="1">
      <c r="A117" s="1855" t="s">
        <v>1408</v>
      </c>
      <c r="B117" s="1859" t="s">
        <v>1148</v>
      </c>
      <c r="C117" s="1860">
        <v>0.13</v>
      </c>
      <c r="D117" s="1860">
        <v>0.13</v>
      </c>
      <c r="E117" s="1860">
        <v>0.129</v>
      </c>
      <c r="F117" s="1861">
        <v>0.13</v>
      </c>
    </row>
    <row r="118" spans="1:6" ht="14.25" thickBot="1">
      <c r="A118" s="1855" t="s">
        <v>1408</v>
      </c>
      <c r="B118" s="1859" t="s">
        <v>1160</v>
      </c>
      <c r="C118" s="1860">
        <v>0.123</v>
      </c>
      <c r="D118" s="1860">
        <v>0.123</v>
      </c>
      <c r="E118" s="1860">
        <v>0.11600000000000001</v>
      </c>
      <c r="F118" s="1861">
        <v>0.13</v>
      </c>
    </row>
    <row r="119" spans="1:6" ht="14.25" thickBot="1">
      <c r="A119" s="1855" t="s">
        <v>1408</v>
      </c>
      <c r="B119" s="1859" t="s">
        <v>1170</v>
      </c>
      <c r="C119" s="1860">
        <v>0.127</v>
      </c>
      <c r="D119" s="1860">
        <v>0.127</v>
      </c>
      <c r="E119" s="1860">
        <v>0.124</v>
      </c>
      <c r="F119" s="1861">
        <v>0.13</v>
      </c>
    </row>
    <row r="120" spans="1:6" ht="14.25" thickBot="1">
      <c r="A120" s="1855" t="s">
        <v>1408</v>
      </c>
      <c r="B120" s="1859" t="s">
        <v>1180</v>
      </c>
      <c r="C120" s="1860">
        <v>0.125</v>
      </c>
      <c r="D120" s="1860">
        <v>0.125</v>
      </c>
      <c r="E120" s="1860">
        <v>0.122</v>
      </c>
      <c r="F120" s="1861">
        <v>0.13</v>
      </c>
    </row>
    <row r="121" spans="1:6" ht="14.25" thickBot="1">
      <c r="A121" s="1855" t="s">
        <v>1408</v>
      </c>
      <c r="B121" s="1859" t="s">
        <v>1190</v>
      </c>
      <c r="C121" s="1860">
        <v>0.13</v>
      </c>
      <c r="D121" s="1860">
        <v>0.13</v>
      </c>
      <c r="E121" s="1860">
        <v>0.13</v>
      </c>
      <c r="F121" s="1861">
        <v>0.13</v>
      </c>
    </row>
    <row r="122" spans="1:6" ht="14.25" thickBot="1">
      <c r="A122" s="1855" t="s">
        <v>1408</v>
      </c>
      <c r="B122" s="1859" t="s">
        <v>1200</v>
      </c>
      <c r="C122" s="1860">
        <v>0.13</v>
      </c>
      <c r="D122" s="1860">
        <v>0.13</v>
      </c>
      <c r="E122" s="1860">
        <v>0.125</v>
      </c>
      <c r="F122" s="1861">
        <v>0.13</v>
      </c>
    </row>
    <row r="123" spans="1:6" ht="14.25" thickBot="1">
      <c r="A123" s="1855" t="s">
        <v>1408</v>
      </c>
      <c r="B123" s="1859" t="s">
        <v>1210</v>
      </c>
      <c r="C123" s="1860">
        <v>0.129</v>
      </c>
      <c r="D123" s="1860">
        <v>0.129</v>
      </c>
      <c r="E123" s="1860">
        <v>0.123</v>
      </c>
      <c r="F123" s="1861">
        <v>0.13</v>
      </c>
    </row>
    <row r="124" spans="1:6" ht="14.25" thickBot="1">
      <c r="A124" s="1855" t="s">
        <v>1408</v>
      </c>
      <c r="B124" s="1859" t="s">
        <v>1220</v>
      </c>
      <c r="C124" s="1860">
        <v>0.10199999999999999</v>
      </c>
      <c r="D124" s="1860">
        <v>0.10100000000000001</v>
      </c>
      <c r="E124" s="1860">
        <v>0.08</v>
      </c>
      <c r="F124" s="1868"/>
    </row>
    <row r="125" spans="1:6" ht="14.25" thickBot="1">
      <c r="A125" s="1855" t="s">
        <v>1408</v>
      </c>
      <c r="B125" s="1859" t="s">
        <v>1230</v>
      </c>
      <c r="C125" s="1860">
        <v>0.13</v>
      </c>
      <c r="D125" s="1860">
        <v>0.13</v>
      </c>
      <c r="E125" s="1860">
        <v>0.129</v>
      </c>
      <c r="F125" s="1868"/>
    </row>
    <row r="126" spans="1:6" ht="14.25" thickBot="1">
      <c r="A126" s="1855" t="s">
        <v>1408</v>
      </c>
      <c r="B126" s="1859" t="s">
        <v>1240</v>
      </c>
      <c r="C126" s="1860">
        <v>0.13</v>
      </c>
      <c r="D126" s="1860">
        <v>0.13</v>
      </c>
      <c r="E126" s="1860">
        <v>0.126</v>
      </c>
      <c r="F126" s="1868"/>
    </row>
    <row r="127" spans="1:6" ht="14.25" thickBot="1">
      <c r="A127" s="1855" t="s">
        <v>1408</v>
      </c>
      <c r="B127" s="1859" t="s">
        <v>1250</v>
      </c>
      <c r="C127" s="1860">
        <v>0.125</v>
      </c>
      <c r="D127" s="1860">
        <v>0.125</v>
      </c>
      <c r="E127" s="1860">
        <v>0.121</v>
      </c>
      <c r="F127" s="1868"/>
    </row>
    <row r="128" spans="1:6" ht="14.25" thickBot="1">
      <c r="A128" s="1855" t="s">
        <v>1408</v>
      </c>
      <c r="B128" s="1859" t="s">
        <v>1260</v>
      </c>
      <c r="C128" s="1860">
        <v>0.12</v>
      </c>
      <c r="D128" s="1860">
        <v>0.12</v>
      </c>
      <c r="E128" s="1860">
        <v>0.105</v>
      </c>
      <c r="F128" s="1868"/>
    </row>
    <row r="129" spans="1:6" ht="14.25" thickBot="1">
      <c r="A129" s="1855" t="s">
        <v>1408</v>
      </c>
      <c r="B129" s="1859" t="s">
        <v>1269</v>
      </c>
      <c r="C129" s="1860">
        <v>0.13</v>
      </c>
      <c r="D129" s="1860">
        <v>0.13</v>
      </c>
      <c r="E129" s="1860">
        <v>0.126</v>
      </c>
      <c r="F129" s="1868"/>
    </row>
    <row r="130" spans="1:6" ht="14.25" thickBot="1">
      <c r="A130" s="1855" t="s">
        <v>1408</v>
      </c>
      <c r="B130" s="1859" t="s">
        <v>1278</v>
      </c>
      <c r="C130" s="1860">
        <v>0.125</v>
      </c>
      <c r="D130" s="1860">
        <v>0.125</v>
      </c>
      <c r="E130" s="1860">
        <v>0.122</v>
      </c>
      <c r="F130" s="1868"/>
    </row>
    <row r="131" spans="1:6" ht="14.25" thickBot="1">
      <c r="A131" s="1855" t="s">
        <v>1408</v>
      </c>
      <c r="B131" s="1859" t="s">
        <v>1286</v>
      </c>
      <c r="C131" s="1860">
        <v>0.127</v>
      </c>
      <c r="D131" s="1860">
        <v>0.126</v>
      </c>
      <c r="E131" s="1860">
        <v>0.123</v>
      </c>
      <c r="F131" s="1868"/>
    </row>
    <row r="132" spans="1:6" ht="14.25" thickBot="1">
      <c r="A132" s="1855" t="s">
        <v>1408</v>
      </c>
      <c r="B132" s="1859" t="s">
        <v>1293</v>
      </c>
      <c r="C132" s="1860">
        <v>9.0999999999999998E-2</v>
      </c>
      <c r="D132" s="1860">
        <v>0.121</v>
      </c>
      <c r="E132" s="1860">
        <v>9.9000000000000005E-2</v>
      </c>
      <c r="F132" s="1868"/>
    </row>
    <row r="133" spans="1:6" ht="14.25" thickBot="1">
      <c r="A133" s="1855" t="s">
        <v>1408</v>
      </c>
      <c r="B133" s="1859" t="s">
        <v>1300</v>
      </c>
      <c r="C133" s="1860">
        <v>0.13</v>
      </c>
      <c r="D133" s="1860">
        <v>0.13</v>
      </c>
      <c r="E133" s="1860">
        <v>0.129</v>
      </c>
      <c r="F133" s="1868"/>
    </row>
    <row r="134" spans="1:6" ht="14.25" thickBot="1">
      <c r="A134" s="1855" t="s">
        <v>1408</v>
      </c>
      <c r="B134" s="1859" t="s">
        <v>2105</v>
      </c>
      <c r="C134" s="1860">
        <v>6.8000000000000005E-2</v>
      </c>
      <c r="D134" s="1860">
        <v>6.5000000000000002E-2</v>
      </c>
      <c r="E134" s="1860">
        <v>6.5000000000000002E-2</v>
      </c>
      <c r="F134" s="1861">
        <v>0.13</v>
      </c>
    </row>
    <row r="135" spans="1:6" ht="14.25" thickBot="1">
      <c r="A135" s="1855" t="s">
        <v>1408</v>
      </c>
      <c r="B135" s="1859" t="s">
        <v>1314</v>
      </c>
      <c r="C135" s="1860">
        <v>0.123</v>
      </c>
      <c r="D135" s="1860">
        <v>0.123</v>
      </c>
      <c r="E135" s="1860">
        <v>0.11</v>
      </c>
      <c r="F135" s="1868"/>
    </row>
    <row r="136" spans="1:6" ht="14.25" thickBot="1">
      <c r="A136" s="1855" t="s">
        <v>1408</v>
      </c>
      <c r="B136" s="1859" t="s">
        <v>1321</v>
      </c>
      <c r="C136" s="1860">
        <v>0.13</v>
      </c>
      <c r="D136" s="1860">
        <v>0.13</v>
      </c>
      <c r="E136" s="1860">
        <v>0.125</v>
      </c>
      <c r="F136" s="1868"/>
    </row>
    <row r="137" spans="1:6" ht="14.25" thickBot="1">
      <c r="A137" s="1855" t="s">
        <v>1408</v>
      </c>
      <c r="B137" s="1859" t="s">
        <v>1328</v>
      </c>
      <c r="C137" s="1860">
        <v>0.121</v>
      </c>
      <c r="D137" s="1860">
        <v>0.122</v>
      </c>
      <c r="E137" s="1860">
        <v>0.115</v>
      </c>
      <c r="F137" s="1868"/>
    </row>
    <row r="138" spans="1:6" ht="14.25" thickBot="1">
      <c r="A138" s="1855" t="s">
        <v>1408</v>
      </c>
      <c r="B138" s="1859" t="s">
        <v>2106</v>
      </c>
      <c r="C138" s="1860">
        <v>0.105</v>
      </c>
      <c r="D138" s="1860">
        <v>0.125</v>
      </c>
      <c r="E138" s="1860">
        <v>0.112</v>
      </c>
      <c r="F138" s="1868"/>
    </row>
    <row r="139" spans="1:6" ht="14.25" thickBot="1">
      <c r="A139" s="1855" t="s">
        <v>1408</v>
      </c>
      <c r="B139" s="1859" t="s">
        <v>2107</v>
      </c>
      <c r="C139" s="1860">
        <v>0.127</v>
      </c>
      <c r="D139" s="1860">
        <v>0.127</v>
      </c>
      <c r="E139" s="1860">
        <v>0.122</v>
      </c>
      <c r="F139" s="1861">
        <v>0.13</v>
      </c>
    </row>
    <row r="140" spans="1:6" ht="14.25" thickBot="1">
      <c r="A140" s="1855" t="s">
        <v>1408</v>
      </c>
      <c r="B140" s="1859" t="s">
        <v>2108</v>
      </c>
      <c r="C140" s="1860">
        <v>0.125</v>
      </c>
      <c r="D140" s="1860">
        <v>0.125</v>
      </c>
      <c r="E140" s="1860">
        <v>0.11899999999999999</v>
      </c>
      <c r="F140" s="1861">
        <v>0.13</v>
      </c>
    </row>
    <row r="141" spans="1:6" ht="14.25" thickBot="1">
      <c r="A141" s="1855" t="s">
        <v>1408</v>
      </c>
      <c r="B141" s="1859" t="s">
        <v>1347</v>
      </c>
      <c r="C141" s="1860">
        <v>0.125</v>
      </c>
      <c r="D141" s="1860">
        <v>0.125</v>
      </c>
      <c r="E141" s="1860">
        <v>0.11700000000000001</v>
      </c>
      <c r="F141" s="1868"/>
    </row>
    <row r="142" spans="1:6" ht="14.25" thickBot="1">
      <c r="A142" s="1855" t="s">
        <v>1408</v>
      </c>
      <c r="B142" s="1859" t="s">
        <v>1352</v>
      </c>
      <c r="C142" s="1860">
        <v>0.125</v>
      </c>
      <c r="D142" s="1860">
        <v>0.125</v>
      </c>
      <c r="E142" s="1860">
        <v>0.115</v>
      </c>
      <c r="F142" s="1868"/>
    </row>
    <row r="143" spans="1:6" ht="14.25" thickBot="1">
      <c r="A143" s="1855" t="s">
        <v>1408</v>
      </c>
      <c r="B143" s="1859" t="s">
        <v>1357</v>
      </c>
      <c r="C143" s="1860">
        <v>0.121</v>
      </c>
      <c r="D143" s="1860">
        <v>0.121</v>
      </c>
      <c r="E143" s="1860">
        <v>0.108</v>
      </c>
      <c r="F143" s="1868"/>
    </row>
    <row r="144" spans="1:6" ht="14.25" thickBot="1">
      <c r="A144" s="1855" t="s">
        <v>1408</v>
      </c>
      <c r="B144" s="1872" t="s">
        <v>2109</v>
      </c>
      <c r="C144" s="1873">
        <v>0.126</v>
      </c>
      <c r="D144" s="1873">
        <v>0.126</v>
      </c>
      <c r="E144" s="1873">
        <v>0.121</v>
      </c>
      <c r="F144" s="1868"/>
    </row>
    <row r="145" spans="1:6" ht="14.25" thickBot="1">
      <c r="A145" s="1863" t="s">
        <v>1408</v>
      </c>
      <c r="B145" s="1874" t="s">
        <v>2110</v>
      </c>
      <c r="C145" s="1875"/>
      <c r="D145" s="1875"/>
      <c r="E145" s="1875"/>
      <c r="F145" s="1876">
        <v>0.05</v>
      </c>
    </row>
    <row r="146" spans="1:6" ht="24.75" thickBot="1">
      <c r="A146" s="1877" t="s">
        <v>1408</v>
      </c>
      <c r="B146" s="1862" t="s">
        <v>2111</v>
      </c>
      <c r="C146" s="1869"/>
      <c r="D146" s="1869"/>
      <c r="E146" s="1869"/>
      <c r="F146" s="1878">
        <v>0.05</v>
      </c>
    </row>
    <row r="147" spans="1:6" ht="24.75" thickBot="1">
      <c r="A147" s="1855" t="s">
        <v>1408</v>
      </c>
      <c r="B147" s="1859" t="s">
        <v>2112</v>
      </c>
      <c r="C147" s="1869"/>
      <c r="D147" s="1869"/>
      <c r="E147" s="1869"/>
      <c r="F147" s="1861">
        <v>0.05</v>
      </c>
    </row>
    <row r="148" spans="1:6" ht="24.75" thickBot="1">
      <c r="A148" s="1855" t="s">
        <v>1408</v>
      </c>
      <c r="B148" s="1859" t="s">
        <v>2113</v>
      </c>
      <c r="C148" s="1869"/>
      <c r="D148" s="1869"/>
      <c r="E148" s="1869"/>
      <c r="F148" s="1861">
        <v>0.05</v>
      </c>
    </row>
    <row r="149" spans="1:6" ht="24.75" thickBot="1">
      <c r="A149" s="1855" t="s">
        <v>1408</v>
      </c>
      <c r="B149" s="1859" t="s">
        <v>2114</v>
      </c>
      <c r="C149" s="1869"/>
      <c r="D149" s="1869"/>
      <c r="E149" s="1869"/>
      <c r="F149" s="1861">
        <v>0.05</v>
      </c>
    </row>
    <row r="150" spans="1:6" ht="24.75" thickBot="1">
      <c r="A150" s="1855" t="s">
        <v>1408</v>
      </c>
      <c r="B150" s="1859" t="s">
        <v>2115</v>
      </c>
      <c r="C150" s="1869"/>
      <c r="D150" s="1869"/>
      <c r="E150" s="1869"/>
      <c r="F150" s="1861">
        <v>0.05</v>
      </c>
    </row>
    <row r="151" spans="1:6" ht="24.75" thickBot="1">
      <c r="A151" s="1855" t="s">
        <v>1408</v>
      </c>
      <c r="B151" s="1859" t="s">
        <v>2116</v>
      </c>
      <c r="C151" s="1869"/>
      <c r="D151" s="1869"/>
      <c r="E151" s="1869"/>
      <c r="F151" s="1861">
        <v>0.05</v>
      </c>
    </row>
    <row r="152" spans="1:6" ht="24.75" thickBot="1">
      <c r="A152" s="1855" t="s">
        <v>1408</v>
      </c>
      <c r="B152" s="1859" t="s">
        <v>1390</v>
      </c>
      <c r="C152" s="1869"/>
      <c r="D152" s="1869"/>
      <c r="E152" s="1869"/>
      <c r="F152" s="1861">
        <v>0.05</v>
      </c>
    </row>
    <row r="153" spans="1:6" ht="14.25" thickBot="1">
      <c r="A153" s="1855" t="s">
        <v>1408</v>
      </c>
      <c r="B153" s="1859" t="s">
        <v>2117</v>
      </c>
      <c r="C153" s="1869"/>
      <c r="D153" s="1869"/>
      <c r="E153" s="1869"/>
      <c r="F153" s="1861">
        <v>0.05</v>
      </c>
    </row>
    <row r="154" spans="1:6" ht="14.25" thickBot="1">
      <c r="A154" s="1855" t="s">
        <v>1408</v>
      </c>
      <c r="B154" s="1859" t="s">
        <v>2118</v>
      </c>
      <c r="C154" s="1869"/>
      <c r="D154" s="1869"/>
      <c r="E154" s="1869"/>
      <c r="F154" s="1861">
        <v>0.05</v>
      </c>
    </row>
    <row r="155" spans="1:6" ht="24.75" thickBot="1">
      <c r="A155" s="1855" t="s">
        <v>1408</v>
      </c>
      <c r="B155" s="1859" t="s">
        <v>2119</v>
      </c>
      <c r="C155" s="1869"/>
      <c r="D155" s="1869"/>
      <c r="E155" s="1869"/>
      <c r="F155" s="1861">
        <v>0.05</v>
      </c>
    </row>
    <row r="156" spans="1:6" ht="24.75" thickBot="1">
      <c r="A156" s="1855" t="s">
        <v>1408</v>
      </c>
      <c r="B156" s="1859" t="s">
        <v>2120</v>
      </c>
      <c r="C156" s="1869"/>
      <c r="D156" s="1869"/>
      <c r="E156" s="1869"/>
      <c r="F156" s="1861">
        <v>0.05</v>
      </c>
    </row>
    <row r="157" spans="1:6" ht="14.25" thickBot="1">
      <c r="A157" s="1863" t="s">
        <v>1408</v>
      </c>
      <c r="B157" s="1870" t="s">
        <v>2121</v>
      </c>
      <c r="C157" s="1866"/>
      <c r="D157" s="1866"/>
      <c r="E157" s="1866"/>
      <c r="F157" s="1871">
        <v>0.05</v>
      </c>
    </row>
    <row r="158" spans="1:6" ht="14.25" thickBot="1">
      <c r="A158" s="1855" t="s">
        <v>1410</v>
      </c>
      <c r="B158" s="1856" t="s">
        <v>2122</v>
      </c>
      <c r="C158" s="1857">
        <v>0.13</v>
      </c>
      <c r="D158" s="1857">
        <v>0.13</v>
      </c>
      <c r="E158" s="1857">
        <v>0.13</v>
      </c>
      <c r="F158" s="1858">
        <v>0.13</v>
      </c>
    </row>
    <row r="159" spans="1:6" ht="14.25" thickBot="1">
      <c r="A159" s="1855" t="s">
        <v>1410</v>
      </c>
      <c r="B159" s="1859" t="s">
        <v>1075</v>
      </c>
      <c r="C159" s="1860">
        <v>0.13</v>
      </c>
      <c r="D159" s="1860">
        <v>0.13</v>
      </c>
      <c r="E159" s="1860">
        <v>0.13</v>
      </c>
      <c r="F159" s="1861">
        <v>0.13</v>
      </c>
    </row>
    <row r="160" spans="1:6" ht="14.25" thickBot="1">
      <c r="A160" s="1855" t="s">
        <v>1410</v>
      </c>
      <c r="B160" s="1859" t="s">
        <v>1089</v>
      </c>
      <c r="C160" s="1860">
        <v>0.13</v>
      </c>
      <c r="D160" s="1860">
        <v>0.13</v>
      </c>
      <c r="E160" s="1860">
        <v>0.129</v>
      </c>
      <c r="F160" s="1861">
        <v>0.13</v>
      </c>
    </row>
    <row r="161" spans="1:6" ht="14.25" thickBot="1">
      <c r="A161" s="1855" t="s">
        <v>1410</v>
      </c>
      <c r="B161" s="1859" t="s">
        <v>1102</v>
      </c>
      <c r="C161" s="1860">
        <v>0.128</v>
      </c>
      <c r="D161" s="1860">
        <v>0.128</v>
      </c>
      <c r="E161" s="1860">
        <v>0.125</v>
      </c>
      <c r="F161" s="1861">
        <v>0.13</v>
      </c>
    </row>
    <row r="162" spans="1:6" ht="14.25" thickBot="1">
      <c r="A162" s="1855" t="s">
        <v>1410</v>
      </c>
      <c r="B162" s="1859" t="s">
        <v>1116</v>
      </c>
      <c r="C162" s="1860">
        <v>0.122</v>
      </c>
      <c r="D162" s="1860">
        <v>0.122</v>
      </c>
      <c r="E162" s="1860">
        <v>0.126</v>
      </c>
      <c r="F162" s="1861">
        <v>0.122</v>
      </c>
    </row>
    <row r="163" spans="1:6" ht="14.25" thickBot="1">
      <c r="A163" s="1855" t="s">
        <v>1410</v>
      </c>
      <c r="B163" s="1859" t="s">
        <v>1127</v>
      </c>
      <c r="C163" s="1860">
        <v>0.13</v>
      </c>
      <c r="D163" s="1860">
        <v>0.13</v>
      </c>
      <c r="E163" s="1860">
        <v>0.125</v>
      </c>
      <c r="F163" s="1861">
        <v>0.13</v>
      </c>
    </row>
    <row r="164" spans="1:6" ht="14.25" thickBot="1">
      <c r="A164" s="1855" t="s">
        <v>1410</v>
      </c>
      <c r="B164" s="1859" t="s">
        <v>1138</v>
      </c>
      <c r="C164" s="1860">
        <v>0.13</v>
      </c>
      <c r="D164" s="1860">
        <v>0.13</v>
      </c>
      <c r="E164" s="1860">
        <v>0.13</v>
      </c>
      <c r="F164" s="1861">
        <v>0.13</v>
      </c>
    </row>
    <row r="165" spans="1:6" ht="14.25" thickBot="1">
      <c r="A165" s="1855" t="s">
        <v>1410</v>
      </c>
      <c r="B165" s="1859" t="s">
        <v>1149</v>
      </c>
      <c r="C165" s="1860">
        <v>0.13</v>
      </c>
      <c r="D165" s="1860">
        <v>0.13</v>
      </c>
      <c r="E165" s="1860">
        <v>0.124</v>
      </c>
      <c r="F165" s="1861">
        <v>0.13</v>
      </c>
    </row>
    <row r="166" spans="1:6" ht="14.25" thickBot="1">
      <c r="A166" s="1855" t="s">
        <v>1410</v>
      </c>
      <c r="B166" s="1859" t="s">
        <v>1161</v>
      </c>
      <c r="C166" s="1860">
        <v>0.13</v>
      </c>
      <c r="D166" s="1860">
        <v>0.13</v>
      </c>
      <c r="E166" s="1860">
        <v>0.13</v>
      </c>
      <c r="F166" s="1861">
        <v>0.13</v>
      </c>
    </row>
    <row r="167" spans="1:6" ht="14.25" thickBot="1">
      <c r="A167" s="1855" t="s">
        <v>1410</v>
      </c>
      <c r="B167" s="1859" t="s">
        <v>1171</v>
      </c>
      <c r="C167" s="1860">
        <v>0.125</v>
      </c>
      <c r="D167" s="1860">
        <v>0.125</v>
      </c>
      <c r="E167" s="1860">
        <v>0.121</v>
      </c>
      <c r="F167" s="1868"/>
    </row>
    <row r="168" spans="1:6" ht="14.25" thickBot="1">
      <c r="A168" s="1855" t="s">
        <v>1410</v>
      </c>
      <c r="B168" s="1859" t="s">
        <v>1181</v>
      </c>
      <c r="C168" s="1860">
        <v>0.13</v>
      </c>
      <c r="D168" s="1860">
        <v>0.13</v>
      </c>
      <c r="E168" s="1860">
        <v>0.126</v>
      </c>
      <c r="F168" s="1868"/>
    </row>
    <row r="169" spans="1:6" ht="14.25" thickBot="1">
      <c r="A169" s="1855" t="s">
        <v>1410</v>
      </c>
      <c r="B169" s="1859" t="s">
        <v>1191</v>
      </c>
      <c r="C169" s="1860">
        <v>0.128</v>
      </c>
      <c r="D169" s="1860">
        <v>0.129</v>
      </c>
      <c r="E169" s="1860">
        <v>0.13</v>
      </c>
      <c r="F169" s="1868"/>
    </row>
    <row r="170" spans="1:6" ht="14.25" thickBot="1">
      <c r="A170" s="1855" t="s">
        <v>1410</v>
      </c>
      <c r="B170" s="1859" t="s">
        <v>1201</v>
      </c>
      <c r="C170" s="1860">
        <v>0.14099999999999999</v>
      </c>
      <c r="D170" s="1860">
        <v>0.13</v>
      </c>
      <c r="E170" s="1860">
        <v>0.125</v>
      </c>
      <c r="F170" s="1868"/>
    </row>
    <row r="171" spans="1:6" ht="14.25" thickBot="1">
      <c r="A171" s="1855" t="s">
        <v>1410</v>
      </c>
      <c r="B171" s="1859" t="s">
        <v>2123</v>
      </c>
      <c r="C171" s="1860">
        <v>0.127</v>
      </c>
      <c r="D171" s="1860">
        <v>0.126</v>
      </c>
      <c r="E171" s="1860">
        <v>0.126</v>
      </c>
      <c r="F171" s="1861">
        <v>0.11799999999999999</v>
      </c>
    </row>
    <row r="172" spans="1:6" ht="14.25" thickBot="1">
      <c r="A172" s="1855" t="s">
        <v>1410</v>
      </c>
      <c r="B172" s="1859" t="s">
        <v>2124</v>
      </c>
      <c r="C172" s="1860">
        <v>0.13</v>
      </c>
      <c r="D172" s="1860">
        <v>0.13</v>
      </c>
      <c r="E172" s="1860">
        <v>0.13</v>
      </c>
      <c r="F172" s="1868"/>
    </row>
    <row r="173" spans="1:6" ht="14.25" thickBot="1">
      <c r="A173" s="1855" t="s">
        <v>1410</v>
      </c>
      <c r="B173" s="1859" t="s">
        <v>1231</v>
      </c>
      <c r="C173" s="1860">
        <v>0.13</v>
      </c>
      <c r="D173" s="1860">
        <v>0.13</v>
      </c>
      <c r="E173" s="1860">
        <v>0.13</v>
      </c>
      <c r="F173" s="1868"/>
    </row>
    <row r="174" spans="1:6" ht="14.25" thickBot="1">
      <c r="A174" s="1855" t="s">
        <v>1410</v>
      </c>
      <c r="B174" s="1859" t="s">
        <v>2125</v>
      </c>
      <c r="C174" s="1860">
        <v>0.13</v>
      </c>
      <c r="D174" s="1860">
        <v>0.13</v>
      </c>
      <c r="E174" s="1860">
        <v>0.13</v>
      </c>
      <c r="F174" s="1861">
        <v>0.13</v>
      </c>
    </row>
    <row r="175" spans="1:6" ht="14.25" thickBot="1">
      <c r="A175" s="1855" t="s">
        <v>1410</v>
      </c>
      <c r="B175" s="1859" t="s">
        <v>2126</v>
      </c>
      <c r="C175" s="1860">
        <v>0.13</v>
      </c>
      <c r="D175" s="1860">
        <v>0.13</v>
      </c>
      <c r="E175" s="1860">
        <v>0.13</v>
      </c>
      <c r="F175" s="1861">
        <v>0.13</v>
      </c>
    </row>
    <row r="176" spans="1:6" ht="14.25" thickBot="1">
      <c r="A176" s="1855" t="s">
        <v>1410</v>
      </c>
      <c r="B176" s="1859" t="s">
        <v>1261</v>
      </c>
      <c r="C176" s="1860">
        <v>0.13</v>
      </c>
      <c r="D176" s="1860">
        <v>0.13</v>
      </c>
      <c r="E176" s="1860">
        <v>0.13</v>
      </c>
      <c r="F176" s="1861">
        <v>0.13</v>
      </c>
    </row>
    <row r="177" spans="1:6" ht="14.25" thickBot="1">
      <c r="A177" s="1855" t="s">
        <v>1410</v>
      </c>
      <c r="B177" s="1859" t="s">
        <v>2127</v>
      </c>
      <c r="C177" s="1860">
        <v>0.13</v>
      </c>
      <c r="D177" s="1860">
        <v>0.13</v>
      </c>
      <c r="E177" s="1860">
        <v>0.13</v>
      </c>
      <c r="F177" s="1861">
        <v>0.13</v>
      </c>
    </row>
    <row r="178" spans="1:6" ht="14.25" thickBot="1">
      <c r="A178" s="1855" t="s">
        <v>1410</v>
      </c>
      <c r="B178" s="1859" t="s">
        <v>1279</v>
      </c>
      <c r="C178" s="1860">
        <v>0.13</v>
      </c>
      <c r="D178" s="1860">
        <v>0.13</v>
      </c>
      <c r="E178" s="1860">
        <v>0.13</v>
      </c>
      <c r="F178" s="1861">
        <v>0.127</v>
      </c>
    </row>
    <row r="179" spans="1:6" ht="14.25" thickBot="1">
      <c r="A179" s="1855" t="s">
        <v>1410</v>
      </c>
      <c r="B179" s="1859" t="s">
        <v>1287</v>
      </c>
      <c r="C179" s="1860">
        <v>0.13</v>
      </c>
      <c r="D179" s="1860">
        <v>0.13</v>
      </c>
      <c r="E179" s="1860">
        <v>0.13</v>
      </c>
      <c r="F179" s="1868"/>
    </row>
    <row r="180" spans="1:6" ht="14.25" thickBot="1">
      <c r="A180" s="1855" t="s">
        <v>1410</v>
      </c>
      <c r="B180" s="1859" t="s">
        <v>2128</v>
      </c>
      <c r="C180" s="1860">
        <v>0.13</v>
      </c>
      <c r="D180" s="1860">
        <v>0.13</v>
      </c>
      <c r="E180" s="1860">
        <v>0.125</v>
      </c>
      <c r="F180" s="1861">
        <v>0.13</v>
      </c>
    </row>
    <row r="181" spans="1:6" ht="14.25" thickBot="1">
      <c r="A181" s="1855" t="s">
        <v>1410</v>
      </c>
      <c r="B181" s="1859" t="s">
        <v>1301</v>
      </c>
      <c r="C181" s="1860">
        <v>0.122</v>
      </c>
      <c r="D181" s="1860">
        <v>0.123</v>
      </c>
      <c r="E181" s="1860">
        <v>0.126</v>
      </c>
      <c r="F181" s="1861">
        <v>0.121</v>
      </c>
    </row>
    <row r="182" spans="1:6" ht="14.25" thickBot="1">
      <c r="A182" s="1855" t="s">
        <v>1410</v>
      </c>
      <c r="B182" s="1859" t="s">
        <v>1308</v>
      </c>
      <c r="C182" s="1860">
        <v>0.125</v>
      </c>
      <c r="D182" s="1860">
        <v>0.125</v>
      </c>
      <c r="E182" s="1860">
        <v>0.11700000000000001</v>
      </c>
      <c r="F182" s="1861">
        <v>0.13</v>
      </c>
    </row>
    <row r="183" spans="1:6" ht="14.25" thickBot="1">
      <c r="A183" s="1855" t="s">
        <v>1410</v>
      </c>
      <c r="B183" s="1859" t="s">
        <v>1315</v>
      </c>
      <c r="C183" s="1860">
        <v>0.127</v>
      </c>
      <c r="D183" s="1860">
        <v>0.127</v>
      </c>
      <c r="E183" s="1860">
        <v>0.128</v>
      </c>
      <c r="F183" s="1868"/>
    </row>
    <row r="184" spans="1:6" ht="14.25" thickBot="1">
      <c r="A184" s="1855" t="s">
        <v>1410</v>
      </c>
      <c r="B184" s="1859" t="s">
        <v>1322</v>
      </c>
      <c r="C184" s="1860">
        <v>0.125</v>
      </c>
      <c r="D184" s="1860">
        <v>0.125</v>
      </c>
      <c r="E184" s="1860">
        <v>0.127</v>
      </c>
      <c r="F184" s="1868"/>
    </row>
    <row r="185" spans="1:6" ht="14.25" thickBot="1">
      <c r="A185" s="1855" t="s">
        <v>1410</v>
      </c>
      <c r="B185" s="1859" t="s">
        <v>2129</v>
      </c>
      <c r="C185" s="1860">
        <v>0.127</v>
      </c>
      <c r="D185" s="1860">
        <v>0.127</v>
      </c>
      <c r="E185" s="1860">
        <v>0.128</v>
      </c>
      <c r="F185" s="1861">
        <v>0.13</v>
      </c>
    </row>
    <row r="186" spans="1:6" ht="24.75" thickBot="1">
      <c r="A186" s="1855" t="s">
        <v>1410</v>
      </c>
      <c r="B186" s="1859" t="s">
        <v>2130</v>
      </c>
      <c r="C186" s="1869"/>
      <c r="D186" s="1869"/>
      <c r="E186" s="1869"/>
      <c r="F186" s="1861">
        <v>0.05</v>
      </c>
    </row>
    <row r="187" spans="1:6" ht="14.25" thickBot="1">
      <c r="A187" s="1855" t="s">
        <v>1410</v>
      </c>
      <c r="B187" s="1859" t="s">
        <v>2131</v>
      </c>
      <c r="C187" s="1869"/>
      <c r="D187" s="1869"/>
      <c r="E187" s="1869"/>
      <c r="F187" s="1861">
        <v>0.05</v>
      </c>
    </row>
    <row r="188" spans="1:6" ht="14.25" thickBot="1">
      <c r="A188" s="1855" t="s">
        <v>1410</v>
      </c>
      <c r="B188" s="1859" t="s">
        <v>2132</v>
      </c>
      <c r="C188" s="1869"/>
      <c r="D188" s="1869"/>
      <c r="E188" s="1869"/>
      <c r="F188" s="1861">
        <v>0.05</v>
      </c>
    </row>
    <row r="189" spans="1:6" ht="24.75" thickBot="1">
      <c r="A189" s="1855" t="s">
        <v>1410</v>
      </c>
      <c r="B189" s="1859" t="s">
        <v>2133</v>
      </c>
      <c r="C189" s="1869"/>
      <c r="D189" s="1869"/>
      <c r="E189" s="1869"/>
      <c r="F189" s="1861">
        <v>0.05</v>
      </c>
    </row>
    <row r="190" spans="1:6" ht="24.75" thickBot="1">
      <c r="A190" s="1855" t="s">
        <v>1410</v>
      </c>
      <c r="B190" s="1859" t="s">
        <v>2134</v>
      </c>
      <c r="C190" s="1869"/>
      <c r="D190" s="1869"/>
      <c r="E190" s="1869"/>
      <c r="F190" s="1861">
        <v>0.05</v>
      </c>
    </row>
    <row r="191" spans="1:6" ht="24.75" thickBot="1">
      <c r="A191" s="1855" t="s">
        <v>1410</v>
      </c>
      <c r="B191" s="1859" t="s">
        <v>2135</v>
      </c>
      <c r="C191" s="1869"/>
      <c r="D191" s="1869"/>
      <c r="E191" s="1869"/>
      <c r="F191" s="1861">
        <v>0.05</v>
      </c>
    </row>
    <row r="192" spans="1:6" ht="24.75" thickBot="1">
      <c r="A192" s="1855" t="s">
        <v>1410</v>
      </c>
      <c r="B192" s="1859" t="s">
        <v>2136</v>
      </c>
      <c r="C192" s="1869"/>
      <c r="D192" s="1869"/>
      <c r="E192" s="1869"/>
      <c r="F192" s="1861">
        <v>0.05</v>
      </c>
    </row>
    <row r="193" spans="1:6" ht="24.75" thickBot="1">
      <c r="A193" s="1855" t="s">
        <v>1410</v>
      </c>
      <c r="B193" s="1859" t="s">
        <v>2137</v>
      </c>
      <c r="C193" s="1869"/>
      <c r="D193" s="1869"/>
      <c r="E193" s="1869"/>
      <c r="F193" s="1861">
        <v>0.05</v>
      </c>
    </row>
    <row r="194" spans="1:6" ht="24.75" thickBot="1">
      <c r="A194" s="1855" t="s">
        <v>1410</v>
      </c>
      <c r="B194" s="1859" t="s">
        <v>2138</v>
      </c>
      <c r="C194" s="1869"/>
      <c r="D194" s="1869"/>
      <c r="E194" s="1869"/>
      <c r="F194" s="1861">
        <v>0.05</v>
      </c>
    </row>
    <row r="195" spans="1:6" ht="14.25" thickBot="1">
      <c r="A195" s="1855" t="s">
        <v>1410</v>
      </c>
      <c r="B195" s="1859" t="s">
        <v>2139</v>
      </c>
      <c r="C195" s="1869"/>
      <c r="D195" s="1869"/>
      <c r="E195" s="1869"/>
      <c r="F195" s="1861">
        <v>0.05</v>
      </c>
    </row>
    <row r="196" spans="1:6" ht="24.75" thickBot="1">
      <c r="A196" s="1855" t="s">
        <v>1410</v>
      </c>
      <c r="B196" s="1859" t="s">
        <v>2140</v>
      </c>
      <c r="C196" s="1869"/>
      <c r="D196" s="1869"/>
      <c r="E196" s="1869"/>
      <c r="F196" s="1861">
        <v>0.05</v>
      </c>
    </row>
    <row r="197" spans="1:6" ht="24.75" thickBot="1">
      <c r="A197" s="1855" t="s">
        <v>1410</v>
      </c>
      <c r="B197" s="1859" t="s">
        <v>2141</v>
      </c>
      <c r="C197" s="1869"/>
      <c r="D197" s="1869"/>
      <c r="E197" s="1869"/>
      <c r="F197" s="1861">
        <v>0.05</v>
      </c>
    </row>
    <row r="198" spans="1:6" ht="24.75" thickBot="1">
      <c r="A198" s="1855" t="s">
        <v>1410</v>
      </c>
      <c r="B198" s="1859" t="s">
        <v>2142</v>
      </c>
      <c r="C198" s="1869"/>
      <c r="D198" s="1869"/>
      <c r="E198" s="1869"/>
      <c r="F198" s="1861">
        <v>0.05</v>
      </c>
    </row>
    <row r="199" spans="1:6" ht="24.75" thickBot="1">
      <c r="A199" s="1855" t="s">
        <v>1410</v>
      </c>
      <c r="B199" s="1859" t="s">
        <v>2143</v>
      </c>
      <c r="C199" s="1869"/>
      <c r="D199" s="1869"/>
      <c r="E199" s="1869"/>
      <c r="F199" s="1861">
        <v>0.05</v>
      </c>
    </row>
    <row r="200" spans="1:6" ht="24.75" thickBot="1">
      <c r="A200" s="1855" t="s">
        <v>1410</v>
      </c>
      <c r="B200" s="1859" t="s">
        <v>2144</v>
      </c>
      <c r="C200" s="1869"/>
      <c r="D200" s="1869"/>
      <c r="E200" s="1869"/>
      <c r="F200" s="1861">
        <v>0.05</v>
      </c>
    </row>
    <row r="201" spans="1:6" ht="24.75" thickBot="1">
      <c r="A201" s="1855" t="s">
        <v>1410</v>
      </c>
      <c r="B201" s="1859" t="s">
        <v>2145</v>
      </c>
      <c r="C201" s="1869"/>
      <c r="D201" s="1869"/>
      <c r="E201" s="1869"/>
      <c r="F201" s="1861">
        <v>0.05</v>
      </c>
    </row>
    <row r="202" spans="1:6" ht="24.75" thickBot="1">
      <c r="A202" s="1855" t="s">
        <v>1410</v>
      </c>
      <c r="B202" s="1859" t="s">
        <v>2146</v>
      </c>
      <c r="C202" s="1869"/>
      <c r="D202" s="1869"/>
      <c r="E202" s="1869"/>
      <c r="F202" s="1861">
        <v>0.05</v>
      </c>
    </row>
    <row r="203" spans="1:6" ht="24.75" thickBot="1">
      <c r="A203" s="1855" t="s">
        <v>1410</v>
      </c>
      <c r="B203" s="1859" t="s">
        <v>2147</v>
      </c>
      <c r="C203" s="1869"/>
      <c r="D203" s="1869"/>
      <c r="E203" s="1869"/>
      <c r="F203" s="1861">
        <v>0.05</v>
      </c>
    </row>
    <row r="204" spans="1:6" ht="14.25" thickBot="1">
      <c r="A204" s="1855" t="s">
        <v>1410</v>
      </c>
      <c r="B204" s="1859" t="s">
        <v>2148</v>
      </c>
      <c r="C204" s="1869"/>
      <c r="D204" s="1869"/>
      <c r="E204" s="1869"/>
      <c r="F204" s="1861">
        <v>0.05</v>
      </c>
    </row>
    <row r="205" spans="1:6" ht="14.25" thickBot="1">
      <c r="A205" s="1863" t="s">
        <v>1410</v>
      </c>
      <c r="B205" s="1870" t="s">
        <v>2149</v>
      </c>
      <c r="C205" s="1866"/>
      <c r="D205" s="1866"/>
      <c r="E205" s="1866"/>
      <c r="F205" s="1871">
        <v>0.05</v>
      </c>
    </row>
    <row r="206" spans="1:6" ht="14.25" thickBot="1">
      <c r="A206" s="1855" t="s">
        <v>1412</v>
      </c>
      <c r="B206" s="1856" t="s">
        <v>2150</v>
      </c>
      <c r="C206" s="1857">
        <v>0.15</v>
      </c>
      <c r="D206" s="1857">
        <v>0.15</v>
      </c>
      <c r="E206" s="1857">
        <v>0.15</v>
      </c>
      <c r="F206" s="1858">
        <v>0.15</v>
      </c>
    </row>
    <row r="207" spans="1:6" ht="14.25" thickBot="1">
      <c r="A207" s="1855" t="s">
        <v>1412</v>
      </c>
      <c r="B207" s="1859" t="s">
        <v>1076</v>
      </c>
      <c r="C207" s="1860">
        <v>0.15</v>
      </c>
      <c r="D207" s="1860">
        <v>0.15</v>
      </c>
      <c r="E207" s="1860">
        <v>0.15</v>
      </c>
      <c r="F207" s="1861">
        <v>0.14399999999999999</v>
      </c>
    </row>
    <row r="208" spans="1:6" ht="14.25" thickBot="1">
      <c r="A208" s="1855" t="s">
        <v>1412</v>
      </c>
      <c r="B208" s="1859" t="s">
        <v>1090</v>
      </c>
      <c r="C208" s="1860">
        <v>0.15</v>
      </c>
      <c r="D208" s="1860">
        <v>0.15</v>
      </c>
      <c r="E208" s="1860">
        <v>0.15</v>
      </c>
      <c r="F208" s="1861">
        <v>0.15</v>
      </c>
    </row>
    <row r="209" spans="1:6" ht="14.25" thickBot="1">
      <c r="A209" s="1855" t="s">
        <v>1412</v>
      </c>
      <c r="B209" s="1859" t="s">
        <v>1103</v>
      </c>
      <c r="C209" s="1860">
        <v>0.13700000000000001</v>
      </c>
      <c r="D209" s="1860">
        <v>0.13700000000000001</v>
      </c>
      <c r="E209" s="1860">
        <v>0.14000000000000001</v>
      </c>
      <c r="F209" s="1861">
        <v>0.11700000000000001</v>
      </c>
    </row>
    <row r="210" spans="1:6" ht="14.25" thickBot="1">
      <c r="A210" s="1855" t="s">
        <v>1412</v>
      </c>
      <c r="B210" s="1859" t="s">
        <v>2151</v>
      </c>
      <c r="C210" s="1860">
        <v>0.15</v>
      </c>
      <c r="D210" s="1860">
        <v>0.15</v>
      </c>
      <c r="E210" s="1860">
        <v>0.15</v>
      </c>
      <c r="F210" s="1861">
        <v>0.13800000000000001</v>
      </c>
    </row>
    <row r="211" spans="1:6" ht="14.25" thickBot="1">
      <c r="A211" s="1855" t="s">
        <v>1412</v>
      </c>
      <c r="B211" s="1859" t="s">
        <v>2152</v>
      </c>
      <c r="C211" s="1860">
        <v>0.13700000000000001</v>
      </c>
      <c r="D211" s="1860">
        <v>0.13500000000000001</v>
      </c>
      <c r="E211" s="1860">
        <v>0.13600000000000001</v>
      </c>
      <c r="F211" s="1861">
        <v>0.1</v>
      </c>
    </row>
    <row r="212" spans="1:6" ht="14.25" thickBot="1">
      <c r="A212" s="1855" t="s">
        <v>1412</v>
      </c>
      <c r="B212" s="1859" t="s">
        <v>2153</v>
      </c>
      <c r="C212" s="1860">
        <v>0.15</v>
      </c>
      <c r="D212" s="1860">
        <v>0.15</v>
      </c>
      <c r="E212" s="1860">
        <v>0.14799999999999999</v>
      </c>
      <c r="F212" s="1861">
        <v>0.13600000000000001</v>
      </c>
    </row>
    <row r="213" spans="1:6" ht="14.25" thickBot="1">
      <c r="A213" s="1855" t="s">
        <v>1412</v>
      </c>
      <c r="B213" s="1859" t="s">
        <v>1150</v>
      </c>
      <c r="C213" s="1860">
        <v>0.15</v>
      </c>
      <c r="D213" s="1860">
        <v>0.15</v>
      </c>
      <c r="E213" s="1860">
        <v>0.15</v>
      </c>
      <c r="F213" s="1861">
        <v>0.13800000000000001</v>
      </c>
    </row>
    <row r="214" spans="1:6" ht="14.25" thickBot="1">
      <c r="A214" s="1855" t="s">
        <v>1412</v>
      </c>
      <c r="B214" s="1859" t="s">
        <v>1162</v>
      </c>
      <c r="C214" s="1860">
        <v>9.0999999999999998E-2</v>
      </c>
      <c r="D214" s="1860">
        <v>0.09</v>
      </c>
      <c r="E214" s="1860">
        <v>9.1999999999999998E-2</v>
      </c>
      <c r="F214" s="1868"/>
    </row>
    <row r="215" spans="1:6" ht="14.25" thickBot="1">
      <c r="A215" s="1855" t="s">
        <v>1412</v>
      </c>
      <c r="B215" s="1859" t="s">
        <v>2154</v>
      </c>
      <c r="C215" s="1860">
        <v>0.15</v>
      </c>
      <c r="D215" s="1860">
        <v>0.15</v>
      </c>
      <c r="E215" s="1860">
        <v>0.15</v>
      </c>
      <c r="F215" s="1861">
        <v>0.15</v>
      </c>
    </row>
    <row r="216" spans="1:6" ht="14.25" thickBot="1">
      <c r="A216" s="1855" t="s">
        <v>1412</v>
      </c>
      <c r="B216" s="1859" t="s">
        <v>1182</v>
      </c>
      <c r="C216" s="1860">
        <v>0.14699999999999999</v>
      </c>
      <c r="D216" s="1860">
        <v>0.14699999999999999</v>
      </c>
      <c r="E216" s="1860">
        <v>0.15</v>
      </c>
      <c r="F216" s="1861">
        <v>0.14000000000000001</v>
      </c>
    </row>
    <row r="217" spans="1:6" ht="14.25" thickBot="1">
      <c r="A217" s="1855" t="s">
        <v>1412</v>
      </c>
      <c r="B217" s="1859" t="s">
        <v>1192</v>
      </c>
      <c r="C217" s="1860">
        <v>0.15</v>
      </c>
      <c r="D217" s="1860">
        <v>0.15</v>
      </c>
      <c r="E217" s="1860">
        <v>0.15</v>
      </c>
      <c r="F217" s="1861">
        <v>0.15</v>
      </c>
    </row>
    <row r="218" spans="1:6" ht="14.25" thickBot="1">
      <c r="A218" s="1855" t="s">
        <v>1412</v>
      </c>
      <c r="B218" s="1859" t="s">
        <v>2155</v>
      </c>
      <c r="C218" s="1860">
        <v>0.15</v>
      </c>
      <c r="D218" s="1860">
        <v>0.15</v>
      </c>
      <c r="E218" s="1860">
        <v>0.15</v>
      </c>
      <c r="F218" s="1861">
        <v>0.15</v>
      </c>
    </row>
    <row r="219" spans="1:6" ht="14.25" thickBot="1">
      <c r="A219" s="1855" t="s">
        <v>1412</v>
      </c>
      <c r="B219" s="1859" t="s">
        <v>1212</v>
      </c>
      <c r="C219" s="1860">
        <v>0.15</v>
      </c>
      <c r="D219" s="1860">
        <v>0.15</v>
      </c>
      <c r="E219" s="1860">
        <v>0.15</v>
      </c>
      <c r="F219" s="1861">
        <v>0.14799999999999999</v>
      </c>
    </row>
    <row r="220" spans="1:6" ht="14.25" thickBot="1">
      <c r="A220" s="1855" t="s">
        <v>1412</v>
      </c>
      <c r="B220" s="1859" t="s">
        <v>2156</v>
      </c>
      <c r="C220" s="1860">
        <v>0.15</v>
      </c>
      <c r="D220" s="1860">
        <v>0.15</v>
      </c>
      <c r="E220" s="1860">
        <v>0.15</v>
      </c>
      <c r="F220" s="1861">
        <v>0.15</v>
      </c>
    </row>
    <row r="221" spans="1:6" ht="14.25" thickBot="1">
      <c r="A221" s="1855" t="s">
        <v>1412</v>
      </c>
      <c r="B221" s="1859" t="s">
        <v>1232</v>
      </c>
      <c r="C221" s="1860"/>
      <c r="D221" s="1869"/>
      <c r="E221" s="1869"/>
      <c r="F221" s="1861">
        <v>0.14799999999999999</v>
      </c>
    </row>
    <row r="222" spans="1:6" ht="14.25" thickBot="1">
      <c r="A222" s="1855" t="s">
        <v>1412</v>
      </c>
      <c r="B222" s="1859" t="s">
        <v>1242</v>
      </c>
      <c r="C222" s="1860"/>
      <c r="D222" s="1869"/>
      <c r="E222" s="1869"/>
      <c r="F222" s="1861">
        <v>0.1</v>
      </c>
    </row>
    <row r="223" spans="1:6" ht="14.25" thickBot="1">
      <c r="A223" s="1855" t="s">
        <v>1412</v>
      </c>
      <c r="B223" s="1859" t="s">
        <v>1252</v>
      </c>
      <c r="C223" s="1860"/>
      <c r="D223" s="1869"/>
      <c r="E223" s="1869"/>
      <c r="F223" s="1861">
        <v>0.15</v>
      </c>
    </row>
    <row r="224" spans="1:6" ht="14.25" thickBot="1">
      <c r="A224" s="1855" t="s">
        <v>1412</v>
      </c>
      <c r="B224" s="1859" t="s">
        <v>1262</v>
      </c>
      <c r="C224" s="1860"/>
      <c r="D224" s="1869"/>
      <c r="E224" s="1869"/>
      <c r="F224" s="1861">
        <v>0.15</v>
      </c>
    </row>
    <row r="225" spans="1:6" ht="14.25" thickBot="1">
      <c r="A225" s="1855" t="s">
        <v>1412</v>
      </c>
      <c r="B225" s="1859" t="s">
        <v>2157</v>
      </c>
      <c r="C225" s="1860">
        <v>0.15</v>
      </c>
      <c r="D225" s="1860">
        <v>0.15</v>
      </c>
      <c r="E225" s="1860">
        <v>0.15</v>
      </c>
      <c r="F225" s="1861">
        <v>0.15</v>
      </c>
    </row>
    <row r="226" spans="1:6" ht="14.25" thickBot="1">
      <c r="A226" s="1855" t="s">
        <v>1412</v>
      </c>
      <c r="B226" s="1859" t="s">
        <v>1280</v>
      </c>
      <c r="C226" s="1860">
        <v>0.15</v>
      </c>
      <c r="D226" s="1860">
        <v>0.15</v>
      </c>
      <c r="E226" s="1860">
        <v>0.15</v>
      </c>
      <c r="F226" s="1861">
        <v>0.14799999999999999</v>
      </c>
    </row>
    <row r="227" spans="1:6" ht="14.25" thickBot="1">
      <c r="A227" s="1855" t="s">
        <v>1412</v>
      </c>
      <c r="B227" s="1859" t="s">
        <v>2158</v>
      </c>
      <c r="C227" s="1860">
        <v>0.15</v>
      </c>
      <c r="D227" s="1860">
        <v>0.15</v>
      </c>
      <c r="E227" s="1860">
        <v>0.15</v>
      </c>
      <c r="F227" s="1861">
        <v>0.15</v>
      </c>
    </row>
    <row r="228" spans="1:6" ht="14.25" thickBot="1">
      <c r="A228" s="1855" t="s">
        <v>1412</v>
      </c>
      <c r="B228" s="1859" t="s">
        <v>1295</v>
      </c>
      <c r="C228" s="1860">
        <v>0.15</v>
      </c>
      <c r="D228" s="1860">
        <v>0.15</v>
      </c>
      <c r="E228" s="1860">
        <v>0.15</v>
      </c>
      <c r="F228" s="1861">
        <v>0.15</v>
      </c>
    </row>
    <row r="229" spans="1:6" ht="14.25" thickBot="1">
      <c r="A229" s="1855" t="s">
        <v>1412</v>
      </c>
      <c r="B229" s="1859" t="s">
        <v>1302</v>
      </c>
      <c r="C229" s="1860">
        <v>0.15</v>
      </c>
      <c r="D229" s="1860">
        <v>0.15</v>
      </c>
      <c r="E229" s="1860">
        <v>0.15</v>
      </c>
      <c r="F229" s="1868"/>
    </row>
    <row r="230" spans="1:6" ht="14.25" thickBot="1">
      <c r="A230" s="1855" t="s">
        <v>1412</v>
      </c>
      <c r="B230" s="1859" t="s">
        <v>1309</v>
      </c>
      <c r="C230" s="1860">
        <v>0.14499999999999999</v>
      </c>
      <c r="D230" s="1860">
        <v>0.14499999999999999</v>
      </c>
      <c r="E230" s="1860">
        <v>0.14399999999999999</v>
      </c>
      <c r="F230" s="1868"/>
    </row>
    <row r="231" spans="1:6" ht="14.25" thickBot="1">
      <c r="A231" s="1855" t="s">
        <v>1412</v>
      </c>
      <c r="B231" s="1859" t="s">
        <v>2159</v>
      </c>
      <c r="C231" s="1860">
        <v>0.128</v>
      </c>
      <c r="D231" s="1860">
        <v>0.125</v>
      </c>
      <c r="E231" s="1860">
        <v>0.13200000000000001</v>
      </c>
      <c r="F231" s="1868"/>
    </row>
    <row r="232" spans="1:6" ht="14.25" thickBot="1">
      <c r="A232" s="1855" t="s">
        <v>1412</v>
      </c>
      <c r="B232" s="1859" t="s">
        <v>2160</v>
      </c>
      <c r="C232" s="1860">
        <v>0.14499999999999999</v>
      </c>
      <c r="D232" s="1860">
        <v>0.14399999999999999</v>
      </c>
      <c r="E232" s="1860">
        <v>0.14599999999999999</v>
      </c>
      <c r="F232" s="1861">
        <v>0.13800000000000001</v>
      </c>
    </row>
    <row r="233" spans="1:6" ht="14.25" thickBot="1">
      <c r="A233" s="1855" t="s">
        <v>1412</v>
      </c>
      <c r="B233" s="1859" t="s">
        <v>2161</v>
      </c>
      <c r="C233" s="1860">
        <v>0.14499999999999999</v>
      </c>
      <c r="D233" s="1860">
        <v>0.14299999999999999</v>
      </c>
      <c r="E233" s="1860">
        <v>0.14199999999999999</v>
      </c>
      <c r="F233" s="1868"/>
    </row>
    <row r="234" spans="1:6" ht="14.25" thickBot="1">
      <c r="A234" s="1855" t="s">
        <v>1412</v>
      </c>
      <c r="B234" s="1859" t="s">
        <v>2162</v>
      </c>
      <c r="C234" s="1860">
        <v>0.14000000000000001</v>
      </c>
      <c r="D234" s="1860">
        <v>0.14000000000000001</v>
      </c>
      <c r="E234" s="1860">
        <v>0.14399999999999999</v>
      </c>
      <c r="F234" s="1868"/>
    </row>
    <row r="235" spans="1:6" ht="14.25" thickBot="1">
      <c r="A235" s="1855" t="s">
        <v>1412</v>
      </c>
      <c r="B235" s="1859" t="s">
        <v>2163</v>
      </c>
      <c r="C235" s="1860">
        <v>0.14099999999999999</v>
      </c>
      <c r="D235" s="1860">
        <v>0.14199999999999999</v>
      </c>
      <c r="E235" s="1860">
        <v>0.14499999999999999</v>
      </c>
      <c r="F235" s="1861">
        <v>0.15</v>
      </c>
    </row>
    <row r="236" spans="1:6" ht="14.25" thickBot="1">
      <c r="A236" s="1855" t="s">
        <v>1412</v>
      </c>
      <c r="B236" s="1859" t="s">
        <v>1344</v>
      </c>
      <c r="C236" s="1869"/>
      <c r="D236" s="1869"/>
      <c r="E236" s="1869"/>
      <c r="F236" s="1861">
        <v>0.14299999999999999</v>
      </c>
    </row>
    <row r="237" spans="1:6" ht="24.75" thickBot="1">
      <c r="A237" s="1855" t="s">
        <v>1412</v>
      </c>
      <c r="B237" s="1859" t="s">
        <v>2164</v>
      </c>
      <c r="C237" s="1869"/>
      <c r="D237" s="1869"/>
      <c r="E237" s="1869"/>
      <c r="F237" s="1861">
        <v>0.05</v>
      </c>
    </row>
    <row r="238" spans="1:6" ht="24.75" thickBot="1">
      <c r="A238" s="1855" t="s">
        <v>1412</v>
      </c>
      <c r="B238" s="1859" t="s">
        <v>2165</v>
      </c>
      <c r="C238" s="1869"/>
      <c r="D238" s="1869"/>
      <c r="E238" s="1869"/>
      <c r="F238" s="1861">
        <v>0.05</v>
      </c>
    </row>
    <row r="239" spans="1:6" ht="24.75" thickBot="1">
      <c r="A239" s="1855" t="s">
        <v>1412</v>
      </c>
      <c r="B239" s="1859" t="s">
        <v>2166</v>
      </c>
      <c r="C239" s="1869"/>
      <c r="D239" s="1869"/>
      <c r="E239" s="1869"/>
      <c r="F239" s="1861">
        <v>0.05</v>
      </c>
    </row>
    <row r="240" spans="1:6" ht="24.75" thickBot="1">
      <c r="A240" s="1855" t="s">
        <v>1412</v>
      </c>
      <c r="B240" s="1859" t="s">
        <v>2167</v>
      </c>
      <c r="C240" s="1869"/>
      <c r="D240" s="1869"/>
      <c r="E240" s="1869"/>
      <c r="F240" s="1861">
        <v>0.05</v>
      </c>
    </row>
    <row r="241" spans="1:6" ht="24.75" thickBot="1">
      <c r="A241" s="1855" t="s">
        <v>1412</v>
      </c>
      <c r="B241" s="1859" t="s">
        <v>2168</v>
      </c>
      <c r="C241" s="1869"/>
      <c r="D241" s="1869"/>
      <c r="E241" s="1869"/>
      <c r="F241" s="1861">
        <v>0.05</v>
      </c>
    </row>
    <row r="242" spans="1:6" ht="24.75" thickBot="1">
      <c r="A242" s="1855" t="s">
        <v>1412</v>
      </c>
      <c r="B242" s="1859" t="s">
        <v>2169</v>
      </c>
      <c r="C242" s="1869"/>
      <c r="D242" s="1869"/>
      <c r="E242" s="1869"/>
      <c r="F242" s="1861">
        <v>0.05</v>
      </c>
    </row>
    <row r="243" spans="1:6" ht="24.75" thickBot="1">
      <c r="A243" s="1855" t="s">
        <v>1412</v>
      </c>
      <c r="B243" s="1859" t="s">
        <v>2170</v>
      </c>
      <c r="C243" s="1869"/>
      <c r="D243" s="1869"/>
      <c r="E243" s="1869"/>
      <c r="F243" s="1861">
        <v>0.05</v>
      </c>
    </row>
    <row r="244" spans="1:6" ht="24.75" thickBot="1">
      <c r="A244" s="1863" t="s">
        <v>1412</v>
      </c>
      <c r="B244" s="1870" t="s">
        <v>2171</v>
      </c>
      <c r="C244" s="1866"/>
      <c r="D244" s="1866"/>
      <c r="E244" s="1866"/>
      <c r="F244" s="1871">
        <v>0.05</v>
      </c>
    </row>
    <row r="245" spans="1:6" ht="14.25" thickBot="1">
      <c r="A245" s="1855" t="s">
        <v>1414</v>
      </c>
      <c r="B245" s="1856" t="s">
        <v>2172</v>
      </c>
      <c r="C245" s="1857">
        <v>0.15</v>
      </c>
      <c r="D245" s="1857">
        <v>0.15</v>
      </c>
      <c r="E245" s="1857">
        <v>0.15</v>
      </c>
      <c r="F245" s="1858">
        <v>0.14299999999999999</v>
      </c>
    </row>
    <row r="246" spans="1:6" ht="14.25" thickBot="1">
      <c r="A246" s="1855" t="s">
        <v>1414</v>
      </c>
      <c r="B246" s="1859" t="s">
        <v>1077</v>
      </c>
      <c r="C246" s="1860">
        <v>0.15</v>
      </c>
      <c r="D246" s="1860">
        <v>0.15</v>
      </c>
      <c r="E246" s="1860">
        <v>0.15</v>
      </c>
      <c r="F246" s="1861">
        <v>0.114</v>
      </c>
    </row>
    <row r="247" spans="1:6" ht="14.25" thickBot="1">
      <c r="A247" s="1855" t="s">
        <v>1414</v>
      </c>
      <c r="B247" s="1859" t="s">
        <v>2173</v>
      </c>
      <c r="C247" s="1860">
        <v>0.15</v>
      </c>
      <c r="D247" s="1860">
        <v>0.15</v>
      </c>
      <c r="E247" s="1860">
        <v>0.15</v>
      </c>
      <c r="F247" s="1861">
        <v>0.15</v>
      </c>
    </row>
    <row r="248" spans="1:6" ht="14.25" thickBot="1">
      <c r="A248" s="1855" t="s">
        <v>1414</v>
      </c>
      <c r="B248" s="1859" t="s">
        <v>2174</v>
      </c>
      <c r="C248" s="1860">
        <v>0.15</v>
      </c>
      <c r="D248" s="1860">
        <v>0.15</v>
      </c>
      <c r="E248" s="1860">
        <v>0.15</v>
      </c>
      <c r="F248" s="1861">
        <v>0.14000000000000001</v>
      </c>
    </row>
    <row r="249" spans="1:6" ht="14.25" thickBot="1">
      <c r="A249" s="1855" t="s">
        <v>1414</v>
      </c>
      <c r="B249" s="1859" t="s">
        <v>2175</v>
      </c>
      <c r="C249" s="1860">
        <v>0.15</v>
      </c>
      <c r="D249" s="1860">
        <v>0.14899999999999999</v>
      </c>
      <c r="E249" s="1860">
        <v>0.15</v>
      </c>
      <c r="F249" s="1861">
        <v>0.1</v>
      </c>
    </row>
    <row r="250" spans="1:6" ht="14.25" thickBot="1">
      <c r="A250" s="1855" t="s">
        <v>1414</v>
      </c>
      <c r="B250" s="1859" t="s">
        <v>2176</v>
      </c>
      <c r="C250" s="1860">
        <v>0.15</v>
      </c>
      <c r="D250" s="1860">
        <v>0.15</v>
      </c>
      <c r="E250" s="1860">
        <v>0.15</v>
      </c>
      <c r="F250" s="1861">
        <v>0.14399999999999999</v>
      </c>
    </row>
    <row r="251" spans="1:6" ht="14.25" thickBot="1">
      <c r="A251" s="1855" t="s">
        <v>1414</v>
      </c>
      <c r="B251" s="1859" t="s">
        <v>1140</v>
      </c>
      <c r="C251" s="1860">
        <v>0.15</v>
      </c>
      <c r="D251" s="1860">
        <v>0.15</v>
      </c>
      <c r="E251" s="1860">
        <v>0.15</v>
      </c>
      <c r="F251" s="1861">
        <v>0.14299999999999999</v>
      </c>
    </row>
    <row r="252" spans="1:6" ht="14.25" thickBot="1">
      <c r="A252" s="1855" t="s">
        <v>1414</v>
      </c>
      <c r="B252" s="1859" t="s">
        <v>1151</v>
      </c>
      <c r="C252" s="1860">
        <v>0.15</v>
      </c>
      <c r="D252" s="1860">
        <v>0.15</v>
      </c>
      <c r="E252" s="1860">
        <v>0.15</v>
      </c>
      <c r="F252" s="1861">
        <v>0.1</v>
      </c>
    </row>
    <row r="253" spans="1:6" ht="14.25" thickBot="1">
      <c r="A253" s="1855" t="s">
        <v>1414</v>
      </c>
      <c r="B253" s="1859" t="s">
        <v>1163</v>
      </c>
      <c r="C253" s="1860">
        <v>0.15</v>
      </c>
      <c r="D253" s="1860">
        <v>0.15</v>
      </c>
      <c r="E253" s="1860">
        <v>0.15</v>
      </c>
      <c r="F253" s="1861">
        <v>0.1</v>
      </c>
    </row>
    <row r="254" spans="1:6" ht="14.25" thickBot="1">
      <c r="A254" s="1855" t="s">
        <v>1414</v>
      </c>
      <c r="B254" s="1859" t="s">
        <v>1173</v>
      </c>
      <c r="C254" s="1869"/>
      <c r="D254" s="1869"/>
      <c r="E254" s="1869"/>
      <c r="F254" s="1861">
        <v>0.15</v>
      </c>
    </row>
    <row r="255" spans="1:6" ht="14.25" thickBot="1">
      <c r="A255" s="1855" t="s">
        <v>1414</v>
      </c>
      <c r="B255" s="1859" t="s">
        <v>1183</v>
      </c>
      <c r="C255" s="1869"/>
      <c r="D255" s="1869"/>
      <c r="E255" s="1869"/>
      <c r="F255" s="1861">
        <v>0.14299999999999999</v>
      </c>
    </row>
    <row r="256" spans="1:6" ht="14.25" thickBot="1">
      <c r="A256" s="1855" t="s">
        <v>1414</v>
      </c>
      <c r="B256" s="1859" t="s">
        <v>2177</v>
      </c>
      <c r="C256" s="1860">
        <v>0.14599999999999999</v>
      </c>
      <c r="D256" s="1860">
        <v>0.14699999999999999</v>
      </c>
      <c r="E256" s="1860">
        <v>0.15</v>
      </c>
      <c r="F256" s="1861">
        <v>0.13200000000000001</v>
      </c>
    </row>
    <row r="257" spans="1:6" ht="14.25" thickBot="1">
      <c r="A257" s="1855" t="s">
        <v>1414</v>
      </c>
      <c r="B257" s="1859" t="s">
        <v>1203</v>
      </c>
      <c r="C257" s="1860">
        <v>0.15</v>
      </c>
      <c r="D257" s="1860">
        <v>0.15</v>
      </c>
      <c r="E257" s="1860">
        <v>0.15</v>
      </c>
      <c r="F257" s="1861">
        <v>0.13900000000000001</v>
      </c>
    </row>
    <row r="258" spans="1:6" ht="14.25" thickBot="1">
      <c r="A258" s="1855" t="s">
        <v>1414</v>
      </c>
      <c r="B258" s="1859" t="s">
        <v>1213</v>
      </c>
      <c r="C258" s="1860">
        <v>0.15</v>
      </c>
      <c r="D258" s="1860">
        <v>0.15</v>
      </c>
      <c r="E258" s="1860">
        <v>0.15</v>
      </c>
      <c r="F258" s="1861">
        <v>0.13</v>
      </c>
    </row>
    <row r="259" spans="1:6" ht="14.25" thickBot="1">
      <c r="A259" s="1855" t="s">
        <v>1414</v>
      </c>
      <c r="B259" s="1859" t="s">
        <v>2178</v>
      </c>
      <c r="C259" s="1860">
        <v>0.14799999999999999</v>
      </c>
      <c r="D259" s="1860">
        <v>0.14899999999999999</v>
      </c>
      <c r="E259" s="1860">
        <v>0.15</v>
      </c>
      <c r="F259" s="1861">
        <v>0.13700000000000001</v>
      </c>
    </row>
    <row r="260" spans="1:6" ht="14.25" thickBot="1">
      <c r="A260" s="1855" t="s">
        <v>1414</v>
      </c>
      <c r="B260" s="1859" t="s">
        <v>1233</v>
      </c>
      <c r="C260" s="1860">
        <v>0.15</v>
      </c>
      <c r="D260" s="1860">
        <v>0.15</v>
      </c>
      <c r="E260" s="1860">
        <v>0.15</v>
      </c>
      <c r="F260" s="1861">
        <v>0.14199999999999999</v>
      </c>
    </row>
    <row r="261" spans="1:6" ht="14.25" thickBot="1">
      <c r="A261" s="1855" t="s">
        <v>1414</v>
      </c>
      <c r="B261" s="1859" t="s">
        <v>1243</v>
      </c>
      <c r="C261" s="1860">
        <v>0.15</v>
      </c>
      <c r="D261" s="1860">
        <v>0.15</v>
      </c>
      <c r="E261" s="1860">
        <v>0.14899999999999999</v>
      </c>
      <c r="F261" s="1861">
        <v>0.14799999999999999</v>
      </c>
    </row>
    <row r="262" spans="1:6" ht="14.25" thickBot="1">
      <c r="A262" s="1855" t="s">
        <v>1414</v>
      </c>
      <c r="B262" s="1859" t="s">
        <v>1253</v>
      </c>
      <c r="C262" s="1860">
        <v>0.15</v>
      </c>
      <c r="D262" s="1860">
        <v>0.15</v>
      </c>
      <c r="E262" s="1860">
        <v>0.15</v>
      </c>
      <c r="F262" s="1868"/>
    </row>
    <row r="263" spans="1:6" ht="14.25" thickBot="1">
      <c r="A263" s="1855" t="s">
        <v>1414</v>
      </c>
      <c r="B263" s="1859" t="s">
        <v>2179</v>
      </c>
      <c r="C263" s="1860">
        <v>0.14899999999999999</v>
      </c>
      <c r="D263" s="1860">
        <v>0.14899999999999999</v>
      </c>
      <c r="E263" s="1860">
        <v>0.15</v>
      </c>
      <c r="F263" s="1861">
        <v>0.13</v>
      </c>
    </row>
    <row r="264" spans="1:6" ht="14.25" thickBot="1">
      <c r="A264" s="1855" t="s">
        <v>1414</v>
      </c>
      <c r="B264" s="1859" t="s">
        <v>1272</v>
      </c>
      <c r="C264" s="1860">
        <v>0.14799999999999999</v>
      </c>
      <c r="D264" s="1860">
        <v>0.14699999999999999</v>
      </c>
      <c r="E264" s="1860">
        <v>0.15</v>
      </c>
      <c r="F264" s="1861">
        <v>7.8E-2</v>
      </c>
    </row>
    <row r="265" spans="1:6" ht="14.25" thickBot="1">
      <c r="A265" s="1855" t="s">
        <v>1414</v>
      </c>
      <c r="B265" s="1859" t="s">
        <v>1281</v>
      </c>
      <c r="C265" s="1860">
        <v>0.15</v>
      </c>
      <c r="D265" s="1860">
        <v>0.15</v>
      </c>
      <c r="E265" s="1860">
        <v>0.15</v>
      </c>
      <c r="F265" s="1861">
        <v>7.3999999999999996E-2</v>
      </c>
    </row>
    <row r="266" spans="1:6" ht="14.25" thickBot="1">
      <c r="A266" s="1855" t="s">
        <v>1414</v>
      </c>
      <c r="B266" s="1859" t="s">
        <v>1289</v>
      </c>
      <c r="C266" s="1860">
        <v>0.14699999999999999</v>
      </c>
      <c r="D266" s="1860">
        <v>0.14699999999999999</v>
      </c>
      <c r="E266" s="1860">
        <v>0.15</v>
      </c>
      <c r="F266" s="1861">
        <v>0.14299999999999999</v>
      </c>
    </row>
    <row r="267" spans="1:6" ht="14.25" thickBot="1">
      <c r="A267" s="1855" t="s">
        <v>1414</v>
      </c>
      <c r="B267" s="1859" t="s">
        <v>1296</v>
      </c>
      <c r="C267" s="1860">
        <v>0.14199999999999999</v>
      </c>
      <c r="D267" s="1860">
        <v>0.14299999999999999</v>
      </c>
      <c r="E267" s="1860">
        <v>0.15</v>
      </c>
      <c r="F267" s="1868"/>
    </row>
    <row r="268" spans="1:6" ht="14.25" thickBot="1">
      <c r="A268" s="1855" t="s">
        <v>1414</v>
      </c>
      <c r="B268" s="1859" t="s">
        <v>2180</v>
      </c>
      <c r="C268" s="1860">
        <v>0.15</v>
      </c>
      <c r="D268" s="1860">
        <v>0.15</v>
      </c>
      <c r="E268" s="1860">
        <v>0.15</v>
      </c>
      <c r="F268" s="1861">
        <v>0.13</v>
      </c>
    </row>
    <row r="269" spans="1:6" ht="14.25" thickBot="1">
      <c r="A269" s="1855" t="s">
        <v>1414</v>
      </c>
      <c r="B269" s="1859" t="s">
        <v>1310</v>
      </c>
      <c r="C269" s="1860">
        <v>0.15</v>
      </c>
      <c r="D269" s="1860">
        <v>0.15</v>
      </c>
      <c r="E269" s="1860">
        <v>0.15</v>
      </c>
      <c r="F269" s="1861">
        <v>0.14299999999999999</v>
      </c>
    </row>
    <row r="270" spans="1:6" ht="14.25" thickBot="1">
      <c r="A270" s="1855" t="s">
        <v>1414</v>
      </c>
      <c r="B270" s="1859" t="s">
        <v>1317</v>
      </c>
      <c r="C270" s="1860">
        <v>0.14499999999999999</v>
      </c>
      <c r="D270" s="1860">
        <v>0.14499999999999999</v>
      </c>
      <c r="E270" s="1860">
        <v>0.15</v>
      </c>
      <c r="F270" s="1861">
        <v>0.14699999999999999</v>
      </c>
    </row>
    <row r="271" spans="1:6" ht="14.25" thickBot="1">
      <c r="A271" s="1855" t="s">
        <v>1414</v>
      </c>
      <c r="B271" s="1859" t="s">
        <v>1324</v>
      </c>
      <c r="C271" s="1860">
        <v>0.15</v>
      </c>
      <c r="D271" s="1860">
        <v>0.15</v>
      </c>
      <c r="E271" s="1860">
        <v>0.15</v>
      </c>
      <c r="F271" s="1861">
        <v>0.13800000000000001</v>
      </c>
    </row>
    <row r="272" spans="1:6" ht="14.25" thickBot="1">
      <c r="A272" s="1855" t="s">
        <v>1414</v>
      </c>
      <c r="B272" s="1859" t="s">
        <v>1331</v>
      </c>
      <c r="C272" s="1869"/>
      <c r="D272" s="1869"/>
      <c r="E272" s="1869"/>
      <c r="F272" s="1861">
        <v>0.14000000000000001</v>
      </c>
    </row>
    <row r="273" spans="1:6" ht="14.25" thickBot="1">
      <c r="A273" s="1855" t="s">
        <v>1414</v>
      </c>
      <c r="B273" s="1859" t="s">
        <v>2181</v>
      </c>
      <c r="C273" s="1860">
        <v>0.14199999999999999</v>
      </c>
      <c r="D273" s="1860">
        <v>0.14299999999999999</v>
      </c>
      <c r="E273" s="1860">
        <v>0.15</v>
      </c>
      <c r="F273" s="1861">
        <v>0.1</v>
      </c>
    </row>
    <row r="274" spans="1:6" ht="14.25" thickBot="1">
      <c r="A274" s="1855" t="s">
        <v>1414</v>
      </c>
      <c r="B274" s="1859" t="s">
        <v>2182</v>
      </c>
      <c r="C274" s="1860">
        <v>0.14799999999999999</v>
      </c>
      <c r="D274" s="1860">
        <v>0.14799999999999999</v>
      </c>
      <c r="E274" s="1860">
        <v>0.15</v>
      </c>
      <c r="F274" s="1861">
        <v>6.7000000000000004E-2</v>
      </c>
    </row>
    <row r="275" spans="1:6" ht="14.25" thickBot="1">
      <c r="A275" s="1855" t="s">
        <v>1414</v>
      </c>
      <c r="B275" s="1859" t="s">
        <v>2183</v>
      </c>
      <c r="C275" s="1860">
        <v>0.15</v>
      </c>
      <c r="D275" s="1860">
        <v>0.15</v>
      </c>
      <c r="E275" s="1860">
        <v>0.15</v>
      </c>
      <c r="F275" s="1861">
        <v>0.15</v>
      </c>
    </row>
    <row r="276" spans="1:6" ht="14.25" thickBot="1">
      <c r="A276" s="1855" t="s">
        <v>1414</v>
      </c>
      <c r="B276" s="1859" t="s">
        <v>2184</v>
      </c>
      <c r="C276" s="1860">
        <v>0.14499999999999999</v>
      </c>
      <c r="D276" s="1860">
        <v>0.14299999999999999</v>
      </c>
      <c r="E276" s="1860">
        <v>0.15</v>
      </c>
      <c r="F276" s="1861">
        <v>5.8999999999999997E-2</v>
      </c>
    </row>
    <row r="277" spans="1:6" ht="14.25" thickBot="1">
      <c r="A277" s="1855" t="s">
        <v>1414</v>
      </c>
      <c r="B277" s="1859" t="s">
        <v>2185</v>
      </c>
      <c r="C277" s="1860">
        <v>0.15</v>
      </c>
      <c r="D277" s="1860">
        <v>0.15</v>
      </c>
      <c r="E277" s="1860">
        <v>0.15</v>
      </c>
      <c r="F277" s="1861">
        <v>0.121</v>
      </c>
    </row>
    <row r="278" spans="1:6" ht="14.25" thickBot="1">
      <c r="A278" s="1855" t="s">
        <v>1414</v>
      </c>
      <c r="B278" s="1859" t="s">
        <v>2186</v>
      </c>
      <c r="C278" s="1860">
        <v>0.15</v>
      </c>
      <c r="D278" s="1860">
        <v>0.15</v>
      </c>
      <c r="E278" s="1860">
        <v>0.15</v>
      </c>
      <c r="F278" s="1861">
        <v>0.13800000000000001</v>
      </c>
    </row>
    <row r="279" spans="1:6" ht="24.75" thickBot="1">
      <c r="A279" s="1855" t="s">
        <v>1414</v>
      </c>
      <c r="B279" s="1859" t="s">
        <v>2187</v>
      </c>
      <c r="C279" s="1869"/>
      <c r="D279" s="1869"/>
      <c r="E279" s="1869"/>
      <c r="F279" s="1861">
        <v>0.05</v>
      </c>
    </row>
    <row r="280" spans="1:6" ht="24.75" thickBot="1">
      <c r="A280" s="1855" t="s">
        <v>1414</v>
      </c>
      <c r="B280" s="1859" t="s">
        <v>2188</v>
      </c>
      <c r="C280" s="1869"/>
      <c r="D280" s="1869"/>
      <c r="E280" s="1869"/>
      <c r="F280" s="1861">
        <v>0.05</v>
      </c>
    </row>
    <row r="281" spans="1:6" ht="24.75" thickBot="1">
      <c r="A281" s="1855" t="s">
        <v>1414</v>
      </c>
      <c r="B281" s="1859" t="s">
        <v>2189</v>
      </c>
      <c r="C281" s="1869"/>
      <c r="D281" s="1869"/>
      <c r="E281" s="1869"/>
      <c r="F281" s="1861">
        <v>0.05</v>
      </c>
    </row>
    <row r="282" spans="1:6" ht="24.75" thickBot="1">
      <c r="A282" s="1855" t="s">
        <v>1414</v>
      </c>
      <c r="B282" s="1859" t="s">
        <v>2190</v>
      </c>
      <c r="C282" s="1869"/>
      <c r="D282" s="1869"/>
      <c r="E282" s="1869"/>
      <c r="F282" s="1861">
        <v>0.05</v>
      </c>
    </row>
    <row r="283" spans="1:6" ht="24.75" thickBot="1">
      <c r="A283" s="1855" t="s">
        <v>1414</v>
      </c>
      <c r="B283" s="1859" t="s">
        <v>2191</v>
      </c>
      <c r="C283" s="1869"/>
      <c r="D283" s="1869"/>
      <c r="E283" s="1869"/>
      <c r="F283" s="1861">
        <v>0.05</v>
      </c>
    </row>
    <row r="284" spans="1:6" ht="24.75" thickBot="1">
      <c r="A284" s="1855" t="s">
        <v>1414</v>
      </c>
      <c r="B284" s="1859" t="s">
        <v>2192</v>
      </c>
      <c r="C284" s="1869"/>
      <c r="D284" s="1869"/>
      <c r="E284" s="1869"/>
      <c r="F284" s="1861">
        <v>0.05</v>
      </c>
    </row>
    <row r="285" spans="1:6" ht="24.75" thickBot="1">
      <c r="A285" s="1855" t="s">
        <v>1414</v>
      </c>
      <c r="B285" s="1859" t="s">
        <v>2193</v>
      </c>
      <c r="C285" s="1869"/>
      <c r="D285" s="1869"/>
      <c r="E285" s="1869"/>
      <c r="F285" s="1861">
        <v>0.05</v>
      </c>
    </row>
    <row r="286" spans="1:6" ht="24.75" thickBot="1">
      <c r="A286" s="1855" t="s">
        <v>1414</v>
      </c>
      <c r="B286" s="1859" t="s">
        <v>2194</v>
      </c>
      <c r="C286" s="1869"/>
      <c r="D286" s="1869"/>
      <c r="E286" s="1869"/>
      <c r="F286" s="1861">
        <v>0.05</v>
      </c>
    </row>
    <row r="287" spans="1:6" ht="24.75" thickBot="1">
      <c r="A287" s="1855" t="s">
        <v>1414</v>
      </c>
      <c r="B287" s="1859" t="s">
        <v>2195</v>
      </c>
      <c r="C287" s="1869"/>
      <c r="D287" s="1869"/>
      <c r="E287" s="1869"/>
      <c r="F287" s="1861">
        <v>0.05</v>
      </c>
    </row>
    <row r="288" spans="1:6" ht="24.75" thickBot="1">
      <c r="A288" s="1855" t="s">
        <v>1414</v>
      </c>
      <c r="B288" s="1859" t="s">
        <v>2196</v>
      </c>
      <c r="C288" s="1869"/>
      <c r="D288" s="1869"/>
      <c r="E288" s="1869"/>
      <c r="F288" s="1861">
        <v>0.05</v>
      </c>
    </row>
    <row r="289" spans="1:6" ht="24.75" thickBot="1">
      <c r="A289" s="1863" t="s">
        <v>1414</v>
      </c>
      <c r="B289" s="1870" t="s">
        <v>2197</v>
      </c>
      <c r="C289" s="1866"/>
      <c r="D289" s="1866"/>
      <c r="E289" s="1866"/>
      <c r="F289" s="1871">
        <v>0.05</v>
      </c>
    </row>
    <row r="290" spans="1:6" ht="14.25" thickBot="1">
      <c r="A290" s="1855" t="s">
        <v>1418</v>
      </c>
      <c r="B290" s="1856" t="s">
        <v>2198</v>
      </c>
      <c r="C290" s="1857">
        <v>0.15</v>
      </c>
      <c r="D290" s="1857">
        <v>0.15</v>
      </c>
      <c r="E290" s="1857">
        <v>0.15</v>
      </c>
      <c r="F290" s="1879"/>
    </row>
    <row r="291" spans="1:6" ht="14.25" thickBot="1">
      <c r="A291" s="1855" t="s">
        <v>1418</v>
      </c>
      <c r="B291" s="1859" t="s">
        <v>1078</v>
      </c>
      <c r="C291" s="1860">
        <v>0.15</v>
      </c>
      <c r="D291" s="1860">
        <v>0.15</v>
      </c>
      <c r="E291" s="1860">
        <v>0.15</v>
      </c>
      <c r="F291" s="1868"/>
    </row>
    <row r="292" spans="1:6" ht="14.25" thickBot="1">
      <c r="A292" s="1855" t="s">
        <v>1418</v>
      </c>
      <c r="B292" s="1859" t="s">
        <v>2199</v>
      </c>
      <c r="C292" s="1860">
        <v>0.15</v>
      </c>
      <c r="D292" s="1860">
        <v>0.15</v>
      </c>
      <c r="E292" s="1860">
        <v>0.15</v>
      </c>
      <c r="F292" s="1861">
        <v>0.14699999999999999</v>
      </c>
    </row>
    <row r="293" spans="1:6" ht="14.25" thickBot="1">
      <c r="A293" s="1855" t="s">
        <v>1418</v>
      </c>
      <c r="B293" s="1859" t="s">
        <v>2200</v>
      </c>
      <c r="C293" s="1869"/>
      <c r="D293" s="1869"/>
      <c r="E293" s="1869"/>
      <c r="F293" s="1861">
        <v>0.1</v>
      </c>
    </row>
    <row r="294" spans="1:6" ht="14.25" thickBot="1">
      <c r="A294" s="1855" t="s">
        <v>1418</v>
      </c>
      <c r="B294" s="1859" t="s">
        <v>2201</v>
      </c>
      <c r="C294" s="1860">
        <v>0.15</v>
      </c>
      <c r="D294" s="1860">
        <v>0.15</v>
      </c>
      <c r="E294" s="1860">
        <v>0.15</v>
      </c>
      <c r="F294" s="1861">
        <v>0.15</v>
      </c>
    </row>
    <row r="295" spans="1:6" ht="14.25" thickBot="1">
      <c r="A295" s="1855" t="s">
        <v>1418</v>
      </c>
      <c r="B295" s="1859" t="s">
        <v>1119</v>
      </c>
      <c r="C295" s="1860">
        <v>0.15</v>
      </c>
      <c r="D295" s="1860">
        <v>0.15</v>
      </c>
      <c r="E295" s="1860">
        <v>0.15</v>
      </c>
      <c r="F295" s="1861">
        <v>0.15</v>
      </c>
    </row>
    <row r="296" spans="1:6" ht="14.25" thickBot="1">
      <c r="A296" s="1855" t="s">
        <v>1418</v>
      </c>
      <c r="B296" s="1859" t="s">
        <v>2202</v>
      </c>
      <c r="C296" s="1860">
        <v>0.15</v>
      </c>
      <c r="D296" s="1860">
        <v>0.15</v>
      </c>
      <c r="E296" s="1860">
        <v>0.15</v>
      </c>
      <c r="F296" s="1861">
        <v>0.15</v>
      </c>
    </row>
    <row r="297" spans="1:6" ht="14.25" thickBot="1">
      <c r="A297" s="1855" t="s">
        <v>1418</v>
      </c>
      <c r="B297" s="1859" t="s">
        <v>2203</v>
      </c>
      <c r="C297" s="1860">
        <v>0.14799999999999999</v>
      </c>
      <c r="D297" s="1860">
        <v>0.14899999999999999</v>
      </c>
      <c r="E297" s="1860">
        <v>0.15</v>
      </c>
      <c r="F297" s="1861">
        <v>0.13700000000000001</v>
      </c>
    </row>
    <row r="298" spans="1:6" ht="14.25" thickBot="1">
      <c r="A298" s="1855" t="s">
        <v>1418</v>
      </c>
      <c r="B298" s="1859" t="s">
        <v>1152</v>
      </c>
      <c r="C298" s="1860">
        <v>0.13400000000000001</v>
      </c>
      <c r="D298" s="1860">
        <v>0.13400000000000001</v>
      </c>
      <c r="E298" s="1860">
        <v>0.14499999999999999</v>
      </c>
      <c r="F298" s="1861">
        <v>0.14799999999999999</v>
      </c>
    </row>
    <row r="299" spans="1:6" ht="14.25" thickBot="1">
      <c r="A299" s="1855" t="s">
        <v>1418</v>
      </c>
      <c r="B299" s="1859" t="s">
        <v>1164</v>
      </c>
      <c r="C299" s="1860">
        <v>0.15</v>
      </c>
      <c r="D299" s="1860">
        <v>0.15</v>
      </c>
      <c r="E299" s="1860">
        <v>0.15</v>
      </c>
      <c r="F299" s="1868"/>
    </row>
    <row r="300" spans="1:6" ht="14.25" thickBot="1">
      <c r="A300" s="1855" t="s">
        <v>1418</v>
      </c>
      <c r="B300" s="1859" t="s">
        <v>2204</v>
      </c>
      <c r="C300" s="1860">
        <v>0.15</v>
      </c>
      <c r="D300" s="1860">
        <v>0.15</v>
      </c>
      <c r="E300" s="1860">
        <v>0.15</v>
      </c>
      <c r="F300" s="1861">
        <v>0.15</v>
      </c>
    </row>
    <row r="301" spans="1:6" ht="14.25" thickBot="1">
      <c r="A301" s="1855" t="s">
        <v>1418</v>
      </c>
      <c r="B301" s="1859" t="s">
        <v>1184</v>
      </c>
      <c r="C301" s="1860">
        <v>0.15</v>
      </c>
      <c r="D301" s="1860">
        <v>0.15</v>
      </c>
      <c r="E301" s="1860">
        <v>0.15</v>
      </c>
      <c r="F301" s="1868"/>
    </row>
    <row r="302" spans="1:6" ht="14.25" thickBot="1">
      <c r="A302" s="1855" t="s">
        <v>1418</v>
      </c>
      <c r="B302" s="1859" t="s">
        <v>2205</v>
      </c>
      <c r="C302" s="1860">
        <v>0.15</v>
      </c>
      <c r="D302" s="1860">
        <v>0.15</v>
      </c>
      <c r="E302" s="1860">
        <v>0.15</v>
      </c>
      <c r="F302" s="1861">
        <v>0.15</v>
      </c>
    </row>
    <row r="303" spans="1:6" ht="14.25" thickBot="1">
      <c r="A303" s="1855" t="s">
        <v>1418</v>
      </c>
      <c r="B303" s="1859" t="s">
        <v>1204</v>
      </c>
      <c r="C303" s="1860">
        <v>0.15</v>
      </c>
      <c r="D303" s="1860">
        <v>0.15</v>
      </c>
      <c r="E303" s="1860">
        <v>0.15</v>
      </c>
      <c r="F303" s="1861">
        <v>0.15</v>
      </c>
    </row>
    <row r="304" spans="1:6" ht="14.25" thickBot="1">
      <c r="A304" s="1855" t="s">
        <v>1418</v>
      </c>
      <c r="B304" s="1859" t="s">
        <v>1214</v>
      </c>
      <c r="C304" s="1860">
        <v>0.15</v>
      </c>
      <c r="D304" s="1860">
        <v>0.15</v>
      </c>
      <c r="E304" s="1860">
        <v>0.15</v>
      </c>
      <c r="F304" s="1868"/>
    </row>
    <row r="305" spans="1:6" ht="14.25" thickBot="1">
      <c r="A305" s="1855" t="s">
        <v>1418</v>
      </c>
      <c r="B305" s="1859" t="s">
        <v>2206</v>
      </c>
      <c r="C305" s="1860">
        <v>0.15</v>
      </c>
      <c r="D305" s="1860">
        <v>0.15</v>
      </c>
      <c r="E305" s="1860">
        <v>0.15</v>
      </c>
      <c r="F305" s="1861">
        <v>0.14000000000000001</v>
      </c>
    </row>
    <row r="306" spans="1:6" ht="14.25" thickBot="1">
      <c r="A306" s="1855" t="s">
        <v>1418</v>
      </c>
      <c r="B306" s="1859" t="s">
        <v>1234</v>
      </c>
      <c r="C306" s="1860">
        <v>0.15</v>
      </c>
      <c r="D306" s="1860">
        <v>0.15</v>
      </c>
      <c r="E306" s="1860">
        <v>0.15</v>
      </c>
      <c r="F306" s="1868"/>
    </row>
    <row r="307" spans="1:6" ht="14.25" thickBot="1">
      <c r="A307" s="1855" t="s">
        <v>1418</v>
      </c>
      <c r="B307" s="1859" t="s">
        <v>2207</v>
      </c>
      <c r="C307" s="1860">
        <v>0.15</v>
      </c>
      <c r="D307" s="1860">
        <v>0.15</v>
      </c>
      <c r="E307" s="1860">
        <v>0.15</v>
      </c>
      <c r="F307" s="1861">
        <v>0.14299999999999999</v>
      </c>
    </row>
    <row r="308" spans="1:6" ht="14.25" thickBot="1">
      <c r="A308" s="1855" t="s">
        <v>1418</v>
      </c>
      <c r="B308" s="1859" t="s">
        <v>1254</v>
      </c>
      <c r="C308" s="1860">
        <v>0.15</v>
      </c>
      <c r="D308" s="1860">
        <v>0.15</v>
      </c>
      <c r="E308" s="1860">
        <v>0.15</v>
      </c>
      <c r="F308" s="1861">
        <v>0.15</v>
      </c>
    </row>
    <row r="309" spans="1:6" ht="14.25" thickBot="1">
      <c r="A309" s="1855" t="s">
        <v>1418</v>
      </c>
      <c r="B309" s="1859" t="s">
        <v>1264</v>
      </c>
      <c r="C309" s="1860">
        <v>0.15</v>
      </c>
      <c r="D309" s="1860">
        <v>0.15</v>
      </c>
      <c r="E309" s="1860">
        <v>0.15</v>
      </c>
      <c r="F309" s="1868"/>
    </row>
    <row r="310" spans="1:6" ht="14.25" thickBot="1">
      <c r="A310" s="1855" t="s">
        <v>1418</v>
      </c>
      <c r="B310" s="1859" t="s">
        <v>2208</v>
      </c>
      <c r="C310" s="1860">
        <v>0.15</v>
      </c>
      <c r="D310" s="1860">
        <v>0.15</v>
      </c>
      <c r="E310" s="1860">
        <v>0.15</v>
      </c>
      <c r="F310" s="1861">
        <v>0.13700000000000001</v>
      </c>
    </row>
    <row r="311" spans="1:6" ht="14.25" thickBot="1">
      <c r="A311" s="1855" t="s">
        <v>1418</v>
      </c>
      <c r="B311" s="1859" t="s">
        <v>2209</v>
      </c>
      <c r="C311" s="1860">
        <v>0.15</v>
      </c>
      <c r="D311" s="1860">
        <v>0.15</v>
      </c>
      <c r="E311" s="1860">
        <v>0.15</v>
      </c>
      <c r="F311" s="1861">
        <v>0.15</v>
      </c>
    </row>
    <row r="312" spans="1:6" ht="14.25" thickBot="1">
      <c r="A312" s="1855" t="s">
        <v>1418</v>
      </c>
      <c r="B312" s="1859" t="s">
        <v>1290</v>
      </c>
      <c r="C312" s="1860">
        <v>0.15</v>
      </c>
      <c r="D312" s="1860">
        <v>0.15</v>
      </c>
      <c r="E312" s="1860">
        <v>0.15</v>
      </c>
      <c r="F312" s="1861">
        <v>0.1</v>
      </c>
    </row>
    <row r="313" spans="1:6" ht="14.25" thickBot="1">
      <c r="A313" s="1855" t="s">
        <v>1418</v>
      </c>
      <c r="B313" s="1859" t="s">
        <v>2210</v>
      </c>
      <c r="C313" s="1860">
        <v>0.15</v>
      </c>
      <c r="D313" s="1860">
        <v>0.15</v>
      </c>
      <c r="E313" s="1860">
        <v>0.15</v>
      </c>
      <c r="F313" s="1861">
        <v>0.15</v>
      </c>
    </row>
    <row r="314" spans="1:6" ht="24.75" thickBot="1">
      <c r="A314" s="1855" t="s">
        <v>1418</v>
      </c>
      <c r="B314" s="1859" t="s">
        <v>2211</v>
      </c>
      <c r="C314" s="1869"/>
      <c r="D314" s="1869"/>
      <c r="E314" s="1869"/>
      <c r="F314" s="1861">
        <v>0.05</v>
      </c>
    </row>
    <row r="315" spans="1:6" ht="24.75" thickBot="1">
      <c r="A315" s="1855" t="s">
        <v>1418</v>
      </c>
      <c r="B315" s="1859" t="s">
        <v>2212</v>
      </c>
      <c r="C315" s="1869"/>
      <c r="D315" s="1869"/>
      <c r="E315" s="1869"/>
      <c r="F315" s="1861">
        <v>0.05</v>
      </c>
    </row>
    <row r="316" spans="1:6" ht="24.75" thickBot="1">
      <c r="A316" s="1863" t="s">
        <v>1418</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1106</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1175</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1195</v>
      </c>
      <c r="C328" s="1860">
        <v>0.15</v>
      </c>
      <c r="D328" s="1860">
        <v>0.15</v>
      </c>
      <c r="E328" s="1860">
        <v>0.15</v>
      </c>
      <c r="F328" s="1861">
        <v>0.14099999999999999</v>
      </c>
    </row>
    <row r="329" spans="1:6" ht="14.25" thickBot="1">
      <c r="A329" s="1855" t="s">
        <v>2214</v>
      </c>
      <c r="B329" s="1859" t="s">
        <v>1205</v>
      </c>
      <c r="C329" s="1860">
        <v>0.15</v>
      </c>
      <c r="D329" s="1860">
        <v>0.15</v>
      </c>
      <c r="E329" s="1860">
        <v>0.15</v>
      </c>
      <c r="F329" s="1861">
        <v>0.15</v>
      </c>
    </row>
    <row r="330" spans="1:6" ht="14.25" thickBot="1">
      <c r="A330" s="1855" t="s">
        <v>2214</v>
      </c>
      <c r="B330" s="1859" t="s">
        <v>1215</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1235</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1255</v>
      </c>
      <c r="C334" s="1860">
        <v>0.15</v>
      </c>
      <c r="D334" s="1860">
        <v>0.15</v>
      </c>
      <c r="E334" s="1860">
        <v>0.15</v>
      </c>
      <c r="F334" s="1861">
        <v>0.15</v>
      </c>
    </row>
    <row r="335" spans="1:6" ht="14.25" thickBot="1">
      <c r="A335" s="1855" t="s">
        <v>2214</v>
      </c>
      <c r="B335" s="1859" t="s">
        <v>1265</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1283</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2936</v>
      </c>
      <c r="B1" s="3077"/>
      <c r="C1" s="3077"/>
      <c r="D1" s="3077"/>
      <c r="E1" s="3077"/>
      <c r="F1" s="3077"/>
    </row>
    <row r="2" spans="1:6" ht="14.25">
      <c r="A2" s="3078" t="s">
        <v>2931</v>
      </c>
      <c r="B2" s="3079" t="e">
        <f ca="1">SUMIF(B7:B14,"&lt;&gt;#ref!",B7:B14)</f>
        <v>#DIV/0!</v>
      </c>
      <c r="C2" s="3078" t="s">
        <v>2932</v>
      </c>
      <c r="D2" s="3077"/>
      <c r="E2" s="3077"/>
      <c r="F2" s="3077"/>
    </row>
    <row r="3" spans="1:6" ht="14.25">
      <c r="A3" s="3078" t="s">
        <v>2964</v>
      </c>
      <c r="B3" s="3079" t="e">
        <f ca="1">ROUND(B2*10000/E3,0)</f>
        <v>#DIV/0!</v>
      </c>
      <c r="C3" s="3078" t="s">
        <v>2076</v>
      </c>
      <c r="D3" s="3078" t="s">
        <v>2933</v>
      </c>
      <c r="E3" s="3079">
        <f ca="1">SUMIF(E7:E14,"&lt;&gt;#ref!",E7:E14)</f>
        <v>0</v>
      </c>
      <c r="F3" s="3077"/>
    </row>
    <row r="4" spans="1:6" ht="14.25">
      <c r="A4" s="3078" t="s">
        <v>2940</v>
      </c>
      <c r="B4" s="3079" t="e">
        <f ca="1">ROUND(B2*10000/E4,0)</f>
        <v>#DIV/0!</v>
      </c>
      <c r="C4" s="3078" t="s">
        <v>2076</v>
      </c>
      <c r="D4" s="3078" t="s">
        <v>2941</v>
      </c>
      <c r="E4" s="3079">
        <f ca="1">SUMIF(F7:F14,"&lt;&gt;#ref!",F7:F14)</f>
        <v>0</v>
      </c>
      <c r="F4" s="3077"/>
    </row>
    <row r="5" spans="1:6" ht="14.25">
      <c r="A5" s="3080"/>
      <c r="B5" s="1881"/>
      <c r="C5" s="1881"/>
      <c r="D5" s="1881"/>
      <c r="E5" s="1881"/>
      <c r="F5" s="3077"/>
    </row>
    <row r="6" spans="1:6" ht="28.5">
      <c r="A6" s="3081" t="s">
        <v>2937</v>
      </c>
      <c r="B6" s="3078" t="s">
        <v>2934</v>
      </c>
      <c r="C6" s="3079"/>
      <c r="D6" s="1881"/>
      <c r="E6" s="3078" t="s">
        <v>2935</v>
      </c>
      <c r="F6" s="3078" t="s">
        <v>2939</v>
      </c>
    </row>
    <row r="7" spans="1:6" ht="14.25">
      <c r="A7" s="260" t="s">
        <v>2938</v>
      </c>
      <c r="B7" s="3082" t="e">
        <f ca="1">SUMIF(INDIRECT("'"&amp;A7&amp;"'"&amp;"!A:A"),"总价",INDIRECT("'"&amp;A7&amp;"'"&amp;"!B:B"))</f>
        <v>#DIV/0!</v>
      </c>
      <c r="C7" s="3078" t="s">
        <v>2932</v>
      </c>
      <c r="D7" s="1881"/>
      <c r="E7" s="3083">
        <f ca="1">SUMIF(INDIRECT("'"&amp;A7&amp;"'"&amp;"!C:C"),"建筑面积",INDIRECT("'"&amp;A7&amp;"'"&amp;"!D:D"))</f>
        <v>0</v>
      </c>
      <c r="F7" s="3083">
        <f ca="1">SUMIF(INDIRECT("'"&amp;A7&amp;"'"&amp;"!E:E"),"土地面积",INDIRECT("'"&amp;A7&amp;"'"&amp;"!F:F"))</f>
        <v>0</v>
      </c>
    </row>
    <row r="8" spans="1:6" ht="14.25">
      <c r="A8" s="260"/>
      <c r="B8" s="3082" t="e">
        <f t="shared" ref="B8:B14" ca="1" si="0">SUMIF(INDIRECT("'"&amp;A8&amp;"'"&amp;"!A:A"),"总价",INDIRECT("'"&amp;A8&amp;"'"&amp;"!B:B"))</f>
        <v>#REF!</v>
      </c>
      <c r="C8" s="3078" t="s">
        <v>2932</v>
      </c>
      <c r="D8" s="1881"/>
      <c r="E8" s="3083" t="e">
        <f t="shared" ref="E8:E14" ca="1" si="1">SUMIF(INDIRECT("'"&amp;A8&amp;"'"&amp;"!C:C"),"建筑面积",INDIRECT("'"&amp;A8&amp;"'"&amp;"!D:D"))</f>
        <v>#REF!</v>
      </c>
      <c r="F8" s="3083" t="e">
        <f t="shared" ref="F8:F14" ca="1" si="2">SUMIF(INDIRECT("'"&amp;A8&amp;"'"&amp;"!E:E"),"土地面积",INDIRECT("'"&amp;A8&amp;"'"&amp;"!F:F"))</f>
        <v>#REF!</v>
      </c>
    </row>
    <row r="9" spans="1:6" ht="14.25">
      <c r="A9" s="260"/>
      <c r="B9" s="3082" t="e">
        <f t="shared" ca="1" si="0"/>
        <v>#REF!</v>
      </c>
      <c r="C9" s="3078" t="s">
        <v>2932</v>
      </c>
      <c r="D9" s="1881"/>
      <c r="E9" s="3083" t="e">
        <f t="shared" ca="1" si="1"/>
        <v>#REF!</v>
      </c>
      <c r="F9" s="3083" t="e">
        <f t="shared" ca="1" si="2"/>
        <v>#REF!</v>
      </c>
    </row>
    <row r="10" spans="1:6" ht="14.25">
      <c r="A10" s="260"/>
      <c r="B10" s="3082" t="e">
        <f t="shared" ca="1" si="0"/>
        <v>#REF!</v>
      </c>
      <c r="C10" s="3078" t="s">
        <v>2932</v>
      </c>
      <c r="D10" s="1881"/>
      <c r="E10" s="3083" t="e">
        <f t="shared" ca="1" si="1"/>
        <v>#REF!</v>
      </c>
      <c r="F10" s="3083" t="e">
        <f t="shared" ca="1" si="2"/>
        <v>#REF!</v>
      </c>
    </row>
    <row r="11" spans="1:6" ht="14.25">
      <c r="A11" s="260"/>
      <c r="B11" s="3082" t="e">
        <f t="shared" ca="1" si="0"/>
        <v>#REF!</v>
      </c>
      <c r="C11" s="3078" t="s">
        <v>2932</v>
      </c>
      <c r="D11" s="1881"/>
      <c r="E11" s="3083" t="e">
        <f t="shared" ca="1" si="1"/>
        <v>#REF!</v>
      </c>
      <c r="F11" s="3083" t="e">
        <f t="shared" ca="1" si="2"/>
        <v>#REF!</v>
      </c>
    </row>
    <row r="12" spans="1:6" ht="14.25">
      <c r="A12" s="260"/>
      <c r="B12" s="3082" t="e">
        <f t="shared" ca="1" si="0"/>
        <v>#REF!</v>
      </c>
      <c r="C12" s="3078" t="s">
        <v>2932</v>
      </c>
      <c r="D12" s="1881"/>
      <c r="E12" s="3083" t="e">
        <f t="shared" ca="1" si="1"/>
        <v>#REF!</v>
      </c>
      <c r="F12" s="3083" t="e">
        <f t="shared" ca="1" si="2"/>
        <v>#REF!</v>
      </c>
    </row>
    <row r="13" spans="1:6" ht="14.25">
      <c r="A13" s="260"/>
      <c r="B13" s="3082" t="e">
        <f t="shared" ca="1" si="0"/>
        <v>#REF!</v>
      </c>
      <c r="C13" s="3078" t="s">
        <v>2932</v>
      </c>
      <c r="D13" s="1881"/>
      <c r="E13" s="3083" t="e">
        <f t="shared" ca="1" si="1"/>
        <v>#REF!</v>
      </c>
      <c r="F13" s="3083" t="e">
        <f t="shared" ca="1" si="2"/>
        <v>#REF!</v>
      </c>
    </row>
    <row r="14" spans="1:6" ht="14.25">
      <c r="A14" s="3076"/>
      <c r="B14" s="3082" t="e">
        <f t="shared" ca="1" si="0"/>
        <v>#REF!</v>
      </c>
      <c r="C14" s="3078" t="s">
        <v>2932</v>
      </c>
      <c r="D14" s="1881"/>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成都聚锦商务有限公司：</v>
      </c>
    </row>
    <row r="4" spans="1:4" ht="56.25">
      <c r="A4" s="1791" t="str">
        <f>"受贵公司委托，我公司对"&amp;项目基本情况!K2&amp;项目基本情况!B9&amp;"进行了预评估。"</f>
        <v>受贵公司委托，我公司对四川省成都市郫都区（原郫县）红光镇护国村一社、郫筒镇鹃城村十社2号地出让国有建设用地使用权抵押价格进行了预评估。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聚锦商务有限公司使用的、位于四川省成都市郫都区（原郫县）红光镇护国村一社、郫筒镇鹃城村十社2号地出让国有建设用地使用权。根据，估价对象（分摊）出让国有建设用地使用权面积为73464.09平方米。根据，估价对象规划建筑面积为252351.54平方米。</v>
      </c>
    </row>
    <row r="7" spans="1:4" ht="56.25">
      <c r="A7" s="1795" t="s">
        <v>2744</v>
      </c>
    </row>
    <row r="8" spans="1:4" ht="18.75">
      <c r="A8" s="1794" t="s">
        <v>1905</v>
      </c>
    </row>
    <row r="9" spans="1:4" ht="75">
      <c r="A9" s="1796" t="str">
        <f>IF(项目基本情况!B8="抵押",IF(项目基本情况!B5=项目基本情况!B6,定义!C51,定义!B51),定义!D51)</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2019年3月5日（评估专业人员勘察现场之日）</v>
      </c>
    </row>
    <row r="12" spans="1:4" ht="18.75">
      <c r="A12" s="1797" t="s">
        <v>2023</v>
      </c>
    </row>
    <row r="13" spans="1:4" ht="18.75">
      <c r="A13" s="1791" t="s">
        <v>2928</v>
      </c>
    </row>
    <row r="14" spans="1:4" ht="37.5">
      <c r="A14" s="1791" t="str">
        <f>"根据"&amp;项目基本情况!F12&amp;"，本次评估估价对象证载（地类）用途为"&amp;项目基本情况!B12&amp;"。"</f>
        <v>根据《国有土地使用证》郫国用（2016）第906号]，本次评估估价对象证载（地类）用途为住宅。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2071</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根据，估价对象（分摊）出让国有建设用地使用权面积为73464.09平方米。根据，估价对象规划建筑面积为252351.54平方米。</v>
      </c>
    </row>
    <row r="21" spans="1:1" ht="18.75">
      <c r="A21" s="1791" t="s">
        <v>2072</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郫国用（2016）第906号]证载土地终止日期为住宅2078年12月5日、商业2048年12月5日地下车库2058年12月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0" sqref="G30:G33"/>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626</v>
      </c>
      <c r="B1" s="738"/>
      <c r="C1" s="773"/>
      <c r="D1" s="2050"/>
      <c r="E1" s="2366" t="s">
        <v>2371</v>
      </c>
      <c r="F1" s="2367">
        <f ca="1">J54</f>
        <v>-2</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627</v>
      </c>
      <c r="B2" s="775">
        <f ca="1">IF(ISERROR(C45+J31),0,C45+J31)</f>
        <v>0</v>
      </c>
      <c r="C2" s="1351"/>
      <c r="D2" s="2055"/>
      <c r="E2" s="2056"/>
      <c r="F2" s="2056"/>
      <c r="G2" s="1591"/>
      <c r="H2" s="1363"/>
      <c r="I2" s="2057"/>
      <c r="J2" s="2057"/>
      <c r="K2" s="2058"/>
      <c r="L2" s="2057"/>
      <c r="M2" s="2057"/>
    </row>
    <row r="3" spans="1:25" ht="18" customHeight="1">
      <c r="A3" s="1646" t="s">
        <v>1685</v>
      </c>
      <c r="B3" s="1392">
        <f ca="1">ROUND(B2*10000/'数据-汇总表'!E3,0)</f>
        <v>0</v>
      </c>
      <c r="C3" s="1351"/>
      <c r="D3" s="2055"/>
      <c r="E3" s="2056"/>
      <c r="F3" s="2056"/>
      <c r="G3" s="1591"/>
      <c r="H3" s="776" t="s">
        <v>693</v>
      </c>
      <c r="I3" s="2057"/>
      <c r="J3" s="2057"/>
      <c r="K3" s="2058"/>
      <c r="L3" s="2057"/>
      <c r="M3" s="2057"/>
    </row>
    <row r="4" spans="1:25" ht="18" customHeight="1">
      <c r="A4" s="1647" t="s">
        <v>694</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695</v>
      </c>
      <c r="D5" s="2055"/>
      <c r="E5" s="2056"/>
      <c r="F5" s="2056"/>
      <c r="G5" s="1591"/>
      <c r="H5" s="776"/>
      <c r="I5" s="2057"/>
      <c r="J5" s="2057"/>
      <c r="K5" s="2058"/>
      <c r="L5" s="2057"/>
      <c r="M5" s="2057"/>
    </row>
    <row r="6" spans="1:25" ht="18" customHeight="1">
      <c r="A6" s="1828" t="s">
        <v>696</v>
      </c>
      <c r="B6" s="1820" t="s">
        <v>697</v>
      </c>
      <c r="C6" s="1820" t="s">
        <v>630</v>
      </c>
      <c r="D6" s="1820" t="s">
        <v>631</v>
      </c>
      <c r="E6" s="779" t="s">
        <v>632</v>
      </c>
      <c r="F6" s="780"/>
      <c r="G6" s="1593"/>
      <c r="H6" s="1828" t="s">
        <v>628</v>
      </c>
      <c r="I6" s="1820" t="s">
        <v>629</v>
      </c>
      <c r="J6" s="1820" t="s">
        <v>630</v>
      </c>
      <c r="K6" s="1820" t="s">
        <v>631</v>
      </c>
      <c r="L6" s="779" t="s">
        <v>632</v>
      </c>
      <c r="M6" s="780"/>
    </row>
    <row r="7" spans="1:25" ht="18" customHeight="1">
      <c r="A7" s="781">
        <v>1</v>
      </c>
      <c r="B7" s="782" t="s">
        <v>2455</v>
      </c>
      <c r="C7" s="53">
        <f ca="1">C8+C12+C14</f>
        <v>0</v>
      </c>
      <c r="D7" s="2475" t="s">
        <v>2458</v>
      </c>
      <c r="E7" s="2469"/>
      <c r="F7" s="2470"/>
      <c r="G7" s="1593"/>
      <c r="H7" s="781">
        <v>1</v>
      </c>
      <c r="I7" s="782" t="s">
        <v>2455</v>
      </c>
      <c r="J7" s="53">
        <f ca="1">J8+J12+J14</f>
        <v>0</v>
      </c>
      <c r="K7" s="2475" t="s">
        <v>2458</v>
      </c>
      <c r="L7" s="2469"/>
      <c r="M7" s="2470"/>
    </row>
    <row r="8" spans="1:25" ht="18" customHeight="1">
      <c r="A8" s="1830" t="s">
        <v>1823</v>
      </c>
      <c r="B8" s="3545" t="s">
        <v>2460</v>
      </c>
      <c r="C8" s="1825">
        <f ca="1">ROUND(F8*F10*F9*(1-F11)/10000,0)</f>
        <v>0</v>
      </c>
      <c r="D8" s="1822" t="s">
        <v>2531</v>
      </c>
      <c r="E8" s="61" t="s">
        <v>635</v>
      </c>
      <c r="F8" s="785">
        <f ca="1">INDIRECT("'数据-取费表'!u"&amp;$G$1)</f>
        <v>0</v>
      </c>
      <c r="G8" s="1593"/>
      <c r="H8" s="2483" t="s">
        <v>1823</v>
      </c>
      <c r="I8" s="3545" t="s">
        <v>2460</v>
      </c>
      <c r="J8" s="783">
        <f ca="1">ROUND(M8*M10*M9*(1-M11)/10000,0)</f>
        <v>0</v>
      </c>
      <c r="K8" s="341" t="s">
        <v>2531</v>
      </c>
      <c r="L8" s="784" t="s">
        <v>1737</v>
      </c>
      <c r="M8" s="785">
        <f ca="1">INDIRECT("'数据-取费表'!z"&amp;$G$1)</f>
        <v>0</v>
      </c>
    </row>
    <row r="9" spans="1:25" ht="18" customHeight="1">
      <c r="A9" s="2479"/>
      <c r="B9" s="3546"/>
      <c r="C9" s="1826"/>
      <c r="D9" s="1823"/>
      <c r="E9" s="61" t="s">
        <v>636</v>
      </c>
      <c r="F9" s="785">
        <f ca="1">IF(INDIRECT("'数据-取费表'!ah"&amp;$G$1)="",INDIRECT("'数据-取费表'!k"&amp;$G$1),INDIRECT("'数据-取费表'!ah"&amp;$G$1))</f>
        <v>0</v>
      </c>
      <c r="G9" s="1593"/>
      <c r="H9" s="2468"/>
      <c r="I9" s="3546"/>
      <c r="J9" s="788"/>
      <c r="K9" s="789"/>
      <c r="L9" s="784" t="s">
        <v>1738</v>
      </c>
      <c r="M9" s="785">
        <f ca="1">F9</f>
        <v>0</v>
      </c>
    </row>
    <row r="10" spans="1:25" ht="18" customHeight="1">
      <c r="A10" s="2472"/>
      <c r="B10" s="3547"/>
      <c r="C10" s="1826"/>
      <c r="D10" s="1823"/>
      <c r="E10" s="61" t="s">
        <v>637</v>
      </c>
      <c r="F10" s="785">
        <f ca="1">INDIRECT("'数据-取费表'!ai"&amp;$G$1)</f>
        <v>0</v>
      </c>
      <c r="G10" s="1593"/>
      <c r="H10" s="2468"/>
      <c r="I10" s="3547"/>
      <c r="J10" s="788"/>
      <c r="K10" s="789"/>
      <c r="L10" s="784" t="s">
        <v>1739</v>
      </c>
      <c r="M10" s="785">
        <f ca="1">INDIRECT("'数据-取费表'!ai"&amp;$G$1)</f>
        <v>0</v>
      </c>
    </row>
    <row r="11" spans="1:25" ht="18" customHeight="1">
      <c r="A11" s="786"/>
      <c r="B11" s="3548"/>
      <c r="C11" s="1826"/>
      <c r="D11" s="1823"/>
      <c r="E11" s="61" t="s">
        <v>638</v>
      </c>
      <c r="F11" s="794">
        <f ca="1">INDIRECT("'数据-取费表'!w"&amp;$G$1)</f>
        <v>0</v>
      </c>
      <c r="G11" s="1593"/>
      <c r="H11" s="2484"/>
      <c r="I11" s="3547"/>
      <c r="J11" s="788"/>
      <c r="K11" s="789"/>
      <c r="L11" s="795" t="s">
        <v>1740</v>
      </c>
      <c r="M11" s="796">
        <f ca="1">INDIRECT("'数据-取费表'!ab"&amp;$G$1)</f>
        <v>0</v>
      </c>
    </row>
    <row r="12" spans="1:25" ht="18" customHeight="1">
      <c r="A12" s="1830" t="s">
        <v>1824</v>
      </c>
      <c r="B12" s="2473" t="s">
        <v>2456</v>
      </c>
      <c r="C12" s="799">
        <f ca="1">ROUND(IF(F12="押一",C8/12*F13,IF(F12="押二",C8/12*2*F13,IF(F12="押三",C8/12*3*F13,C13*F13))),0)</f>
        <v>0</v>
      </c>
      <c r="D12" s="2480" t="s">
        <v>2961</v>
      </c>
      <c r="E12" s="2477" t="s">
        <v>2461</v>
      </c>
      <c r="F12" s="2600"/>
      <c r="G12" s="1593"/>
      <c r="H12" s="2540" t="s">
        <v>1824</v>
      </c>
      <c r="I12" s="2545" t="s">
        <v>2456</v>
      </c>
      <c r="J12" s="783">
        <f ca="1">ROUND(IF(M12="押一",J8/12*M13,IF(M12="押二",J8/12*2*M13,IF(M12="押三",J8/12*3*M13,J13*M13))),0)</f>
        <v>0</v>
      </c>
      <c r="K12" s="2480" t="s">
        <v>2961</v>
      </c>
      <c r="L12" s="2477" t="s">
        <v>2461</v>
      </c>
      <c r="M12" s="2600"/>
    </row>
    <row r="13" spans="1:25" ht="18" customHeight="1">
      <c r="A13" s="790"/>
      <c r="B13" s="2474" t="s">
        <v>2570</v>
      </c>
      <c r="C13" s="2478"/>
      <c r="D13" s="789"/>
      <c r="E13" s="2477" t="s">
        <v>2453</v>
      </c>
      <c r="F13" s="796">
        <f ca="1">'数据-取费表'!B39</f>
        <v>1.4999999999999999E-2</v>
      </c>
      <c r="G13" s="1593"/>
      <c r="H13" s="2541"/>
      <c r="I13" s="2474" t="s">
        <v>2570</v>
      </c>
      <c r="J13" s="2478"/>
      <c r="K13" s="2542"/>
      <c r="L13" s="2477" t="s">
        <v>2453</v>
      </c>
      <c r="M13" s="2471">
        <f ca="1">'数据-取费表'!B39</f>
        <v>1.4999999999999999E-2</v>
      </c>
    </row>
    <row r="14" spans="1:25" ht="18" customHeight="1" thickBot="1">
      <c r="A14" s="2516" t="s">
        <v>2464</v>
      </c>
      <c r="B14" s="2517" t="s">
        <v>2457</v>
      </c>
      <c r="C14" s="2518"/>
      <c r="D14" s="2519"/>
      <c r="E14" s="2520"/>
      <c r="F14" s="2521"/>
      <c r="G14" s="1593"/>
      <c r="H14" s="2530" t="s">
        <v>2464</v>
      </c>
      <c r="I14" s="2543" t="s">
        <v>2457</v>
      </c>
      <c r="J14" s="2544"/>
      <c r="K14" s="2519"/>
      <c r="L14" s="2520"/>
      <c r="M14" s="2533"/>
    </row>
    <row r="15" spans="1:25" ht="18" customHeight="1" thickTop="1">
      <c r="A15" s="1829" t="s">
        <v>1873</v>
      </c>
      <c r="B15" s="1827" t="s">
        <v>639</v>
      </c>
      <c r="C15" s="792">
        <f ca="1">ROUND(C31*F15,0)</f>
        <v>0</v>
      </c>
      <c r="D15" s="1834" t="s">
        <v>640</v>
      </c>
      <c r="E15" s="795" t="s">
        <v>641</v>
      </c>
      <c r="F15" s="800">
        <f ca="1">INDIRECT("'数据-取费表'!y"&amp;$G$1)</f>
        <v>0</v>
      </c>
      <c r="G15" s="1593"/>
      <c r="H15" s="1829" t="s">
        <v>1825</v>
      </c>
      <c r="I15" s="1827" t="s">
        <v>642</v>
      </c>
      <c r="J15" s="1819">
        <f ca="1">ROUND(J16*J17,0)</f>
        <v>0</v>
      </c>
      <c r="K15" s="1821" t="s">
        <v>640</v>
      </c>
      <c r="L15" s="801"/>
      <c r="M15" s="802"/>
    </row>
    <row r="16" spans="1:25" ht="18" customHeight="1">
      <c r="A16" s="803" t="s">
        <v>1874</v>
      </c>
      <c r="B16" s="784" t="s">
        <v>643</v>
      </c>
      <c r="C16" s="804">
        <f ca="1">INDIRECT("'数据-取费表'!m"&amp;$G$1)+INDIRECT("'数据-取费表'!t"&amp;$G$1)</f>
        <v>0</v>
      </c>
      <c r="D16" s="1979" t="s">
        <v>644</v>
      </c>
      <c r="E16" s="1980"/>
      <c r="F16" s="805"/>
      <c r="G16" s="1593"/>
      <c r="H16" s="803" t="s">
        <v>2067</v>
      </c>
      <c r="I16" s="2231" t="s">
        <v>2822</v>
      </c>
      <c r="J16" s="53">
        <f ca="1">C31</f>
        <v>0</v>
      </c>
      <c r="K16" s="26"/>
      <c r="L16" s="801"/>
      <c r="M16" s="802"/>
    </row>
    <row r="17" spans="1:25" s="2064" customFormat="1" ht="18" customHeight="1">
      <c r="A17" s="803" t="s">
        <v>1848</v>
      </c>
      <c r="B17" s="784" t="s">
        <v>645</v>
      </c>
      <c r="C17" s="53">
        <f ca="1">ROUND(C16*F17,0)</f>
        <v>0</v>
      </c>
      <c r="D17" s="806" t="s">
        <v>646</v>
      </c>
      <c r="E17" s="806" t="s">
        <v>647</v>
      </c>
      <c r="F17" s="807">
        <f>'数据-取费表'!B33</f>
        <v>0.03</v>
      </c>
      <c r="G17" s="1594"/>
      <c r="H17" s="803" t="s">
        <v>2068</v>
      </c>
      <c r="I17" s="784" t="s">
        <v>641</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982"/>
      <c r="M18" s="56"/>
    </row>
    <row r="19" spans="1:25" s="2064" customFormat="1" ht="18" customHeight="1">
      <c r="A19" s="803" t="s">
        <v>1850</v>
      </c>
      <c r="B19" s="784" t="s">
        <v>651</v>
      </c>
      <c r="C19" s="53">
        <f ca="1">ROUND(F19*(INDIRECT("'数据-取费表'!k"&amp;$G$1)+INDIRECT("'数据-取费表'!S"&amp;$G$1))/10000,0)</f>
        <v>0</v>
      </c>
      <c r="D19" s="784" t="s">
        <v>652</v>
      </c>
      <c r="E19" s="784" t="s">
        <v>653</v>
      </c>
      <c r="F19" s="56">
        <f>'数据-取费表'!B35</f>
        <v>150</v>
      </c>
      <c r="G19" s="1594"/>
      <c r="H19" s="803" t="s">
        <v>2067</v>
      </c>
      <c r="I19" s="784" t="s">
        <v>654</v>
      </c>
      <c r="J19" s="53">
        <f ca="1">ROUND(IF(项目基本情况!B11="自然人",J7*M19,J20+J21+J22),0)</f>
        <v>0</v>
      </c>
      <c r="K19" s="1979" t="s">
        <v>655</v>
      </c>
      <c r="L19" s="1977" t="s">
        <v>656</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977" t="s">
        <v>659</v>
      </c>
      <c r="L20" s="784" t="s">
        <v>647</v>
      </c>
      <c r="M20" s="809">
        <f>'数据-取费表'!B41</f>
        <v>5.5000000000000007E-2</v>
      </c>
      <c r="N20" s="2063"/>
      <c r="O20" s="2063"/>
      <c r="P20" s="2063"/>
      <c r="Q20" s="2063"/>
      <c r="R20" s="2063"/>
      <c r="S20" s="2063"/>
      <c r="T20" s="2063"/>
      <c r="U20" s="2063"/>
      <c r="V20" s="2063"/>
      <c r="W20" s="2063"/>
      <c r="X20" s="2063"/>
      <c r="Y20" s="2063"/>
    </row>
    <row r="21" spans="1:25" ht="18" customHeight="1">
      <c r="A21" s="803" t="s">
        <v>1875</v>
      </c>
      <c r="B21" s="784" t="s">
        <v>660</v>
      </c>
      <c r="C21" s="53">
        <f ca="1">SUM(C16:C20)</f>
        <v>0</v>
      </c>
      <c r="D21" s="261" t="s">
        <v>661</v>
      </c>
      <c r="E21" s="1982"/>
      <c r="F21" s="56"/>
      <c r="G21" s="1593"/>
      <c r="H21" s="1830" t="s">
        <v>1848</v>
      </c>
      <c r="I21" s="784" t="s">
        <v>662</v>
      </c>
      <c r="J21" s="53">
        <f ca="1">IF(K21="按租金收入计税",ROUND(J7*M21,1),ROUND(C31*F35*0.7,1))</f>
        <v>0</v>
      </c>
      <c r="K21" s="811" t="s">
        <v>663</v>
      </c>
      <c r="L21" s="784" t="s">
        <v>647</v>
      </c>
      <c r="M21" s="809">
        <f>IF(K21="按租金收入计税",'数据-取费表'!B51,'数据-取费表'!B50)</f>
        <v>1.2E-2</v>
      </c>
    </row>
    <row r="22" spans="1:25" s="2064" customFormat="1" ht="18" customHeight="1">
      <c r="A22" s="803" t="s">
        <v>1876</v>
      </c>
      <c r="B22" s="784" t="s">
        <v>664</v>
      </c>
      <c r="C22" s="53">
        <f ca="1">ROUND(C21*F22,0)</f>
        <v>0</v>
      </c>
      <c r="D22" s="812" t="s">
        <v>665</v>
      </c>
      <c r="E22" s="784" t="s">
        <v>647</v>
      </c>
      <c r="F22" s="809">
        <f>'数据-取费表'!B37</f>
        <v>0.02</v>
      </c>
      <c r="G22" s="1594"/>
      <c r="H22" s="1832" t="s">
        <v>1849</v>
      </c>
      <c r="I22" s="1822" t="s">
        <v>666</v>
      </c>
      <c r="J22" s="54">
        <f ca="1">ROUND(M22*M23/10000,0)</f>
        <v>0</v>
      </c>
      <c r="K22" s="814" t="s">
        <v>667</v>
      </c>
      <c r="L22" s="784" t="s">
        <v>668</v>
      </c>
      <c r="M22" s="640">
        <f>'数据-取费表'!B52</f>
        <v>8</v>
      </c>
      <c r="N22" s="2063"/>
      <c r="O22" s="2063"/>
      <c r="P22" s="2063"/>
      <c r="Q22" s="2063"/>
      <c r="R22" s="2063"/>
      <c r="S22" s="2063"/>
      <c r="T22" s="2063"/>
      <c r="U22" s="2063"/>
      <c r="V22" s="2063"/>
      <c r="W22" s="2063"/>
      <c r="X22" s="2063"/>
      <c r="Y22" s="2063"/>
    </row>
    <row r="23" spans="1:25" s="2064" customFormat="1" ht="18" customHeight="1">
      <c r="A23" s="803" t="s">
        <v>1877</v>
      </c>
      <c r="B23" s="784" t="s">
        <v>669</v>
      </c>
      <c r="C23" s="53" t="s">
        <v>1</v>
      </c>
      <c r="D23" s="812" t="s">
        <v>670</v>
      </c>
      <c r="E23" s="784" t="s">
        <v>671</v>
      </c>
      <c r="F23" s="809">
        <f>'数据-取费表'!B38</f>
        <v>0.02</v>
      </c>
      <c r="G23" s="1594"/>
      <c r="H23" s="1833"/>
      <c r="I23" s="1824"/>
      <c r="J23" s="69"/>
      <c r="K23" s="816"/>
      <c r="L23" s="784" t="s">
        <v>672</v>
      </c>
      <c r="M23" s="785">
        <f ca="1">INDIRECT("'数据-取费表'!r"&amp;$G$1)</f>
        <v>0</v>
      </c>
      <c r="N23" s="2063"/>
      <c r="O23" s="2063"/>
      <c r="P23" s="2063"/>
      <c r="Q23" s="2063"/>
      <c r="R23" s="2063"/>
      <c r="S23" s="2063"/>
      <c r="T23" s="2063"/>
      <c r="U23" s="2063"/>
      <c r="V23" s="2063"/>
      <c r="W23" s="2063"/>
      <c r="X23" s="2063"/>
      <c r="Y23" s="2063"/>
    </row>
    <row r="24" spans="1:25" ht="18" customHeight="1">
      <c r="A24" s="803" t="s">
        <v>1878</v>
      </c>
      <c r="B24" s="784" t="s">
        <v>673</v>
      </c>
      <c r="C24" s="53"/>
      <c r="D24" s="2551" t="str">
        <f>IF(F25&lt;=1,"单利计息。","复利计息。")&amp;"建造成本、管理费用、销售费用产生的利息。"</f>
        <v>复利计息。建造成本、管理费用、销售费用产生的利息。</v>
      </c>
      <c r="E24" s="1982"/>
      <c r="F24" s="56"/>
      <c r="G24" s="1593"/>
      <c r="H24" s="1831" t="s">
        <v>2068</v>
      </c>
      <c r="I24" s="784" t="s">
        <v>674</v>
      </c>
      <c r="J24" s="53">
        <f ca="1">ROUND(J16*M24,0)</f>
        <v>0</v>
      </c>
      <c r="K24" s="1977" t="s">
        <v>675</v>
      </c>
      <c r="L24" s="784" t="s">
        <v>647</v>
      </c>
      <c r="M24" s="817">
        <f ca="1">INDIRECT("'数据-取费表'!Ak"&amp;$G$1)</f>
        <v>0</v>
      </c>
    </row>
    <row r="25" spans="1:25" s="2064" customFormat="1" ht="18" customHeight="1">
      <c r="A25" s="803" t="s">
        <v>1874</v>
      </c>
      <c r="B25" s="784" t="s">
        <v>2434</v>
      </c>
      <c r="C25" s="53">
        <f ca="1">ROUND(IF('数据-取费表'!B22&lt;=1,(C21+C22)*F26*F25/2,(C21+C22)*(POWER((1+F26),F25/2)-1)),0)</f>
        <v>0</v>
      </c>
      <c r="D25" s="2550" t="str">
        <f>IF(F25&lt;=1,"(建造成本+管理费用)×利率×(建设周期÷2)","(建造成本+管理费用)×((1+利率)^(建设周期÷2)-1)")</f>
        <v>(建造成本+管理费用)×((1+利率)^(建设周期÷2)-1)</v>
      </c>
      <c r="E25" s="784" t="s">
        <v>676</v>
      </c>
      <c r="F25" s="640">
        <f>'数据-取费表'!B20</f>
        <v>2</v>
      </c>
      <c r="G25" s="1594"/>
      <c r="H25" s="803" t="s">
        <v>1877</v>
      </c>
      <c r="I25" s="784" t="s">
        <v>677</v>
      </c>
      <c r="J25" s="53">
        <f ca="1">ROUND(J15*M25,0)</f>
        <v>0</v>
      </c>
      <c r="K25" s="1977" t="s">
        <v>678</v>
      </c>
      <c r="L25" s="784" t="s">
        <v>647</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1848</v>
      </c>
      <c r="B26" s="784" t="s">
        <v>679</v>
      </c>
      <c r="C26" s="53">
        <f ca="1">ROUND(IF('数据-取费表'!B22&lt;=1,F23*F26*F25/2,F23*(POWER((1+F26),F25/2)-1)),4)</f>
        <v>1E-3</v>
      </c>
      <c r="D26" s="2550"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977" t="s">
        <v>681</v>
      </c>
      <c r="L26" s="784" t="s">
        <v>647</v>
      </c>
      <c r="M26" s="794">
        <f ca="1">INDIRECT("'数据-取费表'!Am"&amp;$G$1)</f>
        <v>0</v>
      </c>
      <c r="N26" s="2063"/>
      <c r="O26" s="2063"/>
      <c r="P26" s="2063"/>
      <c r="Q26" s="2063"/>
      <c r="R26" s="2063"/>
      <c r="S26" s="2063"/>
      <c r="T26" s="2063"/>
      <c r="U26" s="2063"/>
      <c r="V26" s="2063"/>
      <c r="W26" s="2063"/>
      <c r="X26" s="2063"/>
      <c r="Y26" s="2063"/>
    </row>
    <row r="27" spans="1:25" ht="18" customHeight="1">
      <c r="A27" s="803" t="s">
        <v>1880</v>
      </c>
      <c r="B27" s="784" t="s">
        <v>682</v>
      </c>
      <c r="C27" s="53"/>
      <c r="D27" s="261" t="s">
        <v>683</v>
      </c>
      <c r="E27" s="1982"/>
      <c r="F27" s="56"/>
      <c r="G27" s="1593"/>
      <c r="H27" s="797" t="s">
        <v>1827</v>
      </c>
      <c r="I27" s="2986" t="s">
        <v>2819</v>
      </c>
      <c r="J27" s="799">
        <f ca="1">J7-J18</f>
        <v>0</v>
      </c>
      <c r="K27" s="1979" t="s">
        <v>698</v>
      </c>
      <c r="L27" s="1981"/>
      <c r="M27" s="820"/>
    </row>
    <row r="28" spans="1:25" ht="18" customHeight="1">
      <c r="A28" s="803" t="s">
        <v>1874</v>
      </c>
      <c r="B28" s="784" t="s">
        <v>2435</v>
      </c>
      <c r="C28" s="53">
        <f ca="1">ROUND((C21+C22)*F28,0)</f>
        <v>0</v>
      </c>
      <c r="D28" s="812" t="s">
        <v>699</v>
      </c>
      <c r="E28" s="795" t="s">
        <v>700</v>
      </c>
      <c r="F28" s="794">
        <f ca="1">INDIRECT("'数据-取费表'!q"&amp;$G$1)</f>
        <v>0</v>
      </c>
      <c r="G28" s="1593"/>
      <c r="H28" s="781" t="s">
        <v>1836</v>
      </c>
      <c r="I28" s="782" t="s">
        <v>701</v>
      </c>
      <c r="J28" s="783">
        <f ca="1">IF(J7&lt;&gt;0,ROUND(J27*(1-((1+M30)/(1+M28))^M29)/(M28-M30),0),0)</f>
        <v>0</v>
      </c>
      <c r="K28" s="814" t="s">
        <v>702</v>
      </c>
      <c r="L28" s="784" t="s">
        <v>703</v>
      </c>
      <c r="M28" s="794">
        <f ca="1">INDIRECT("'数据-取费表'!I"&amp;$G$1)</f>
        <v>0</v>
      </c>
    </row>
    <row r="29" spans="1:25" ht="18" customHeight="1">
      <c r="A29" s="803" t="s">
        <v>1848</v>
      </c>
      <c r="B29" s="784" t="s">
        <v>684</v>
      </c>
      <c r="C29" s="53">
        <f ca="1">ROUND(F23*F28,4)</f>
        <v>0</v>
      </c>
      <c r="D29" s="812" t="s">
        <v>704</v>
      </c>
      <c r="E29" s="806"/>
      <c r="F29" s="807"/>
      <c r="G29" s="1593"/>
      <c r="H29" s="786"/>
      <c r="I29" s="787"/>
      <c r="J29" s="788"/>
      <c r="K29" s="821" t="s">
        <v>705</v>
      </c>
      <c r="L29" s="784" t="s">
        <v>706</v>
      </c>
      <c r="M29" s="822">
        <f ca="1">INDIRECT("'数据-取费表'!ag"&amp;$G$1)</f>
        <v>0</v>
      </c>
    </row>
    <row r="30" spans="1:25" s="2064" customFormat="1" ht="18" customHeight="1">
      <c r="A30" s="803" t="s">
        <v>1881</v>
      </c>
      <c r="B30" s="784" t="s">
        <v>685</v>
      </c>
      <c r="C30" s="53">
        <f>ROUND(F30/(1+'数据-取费表'!C42),4)</f>
        <v>5.2400000000000002E-2</v>
      </c>
      <c r="D30" s="812" t="s">
        <v>707</v>
      </c>
      <c r="E30" s="784" t="s">
        <v>647</v>
      </c>
      <c r="F30" s="809">
        <f>'数据-取费表'!B41</f>
        <v>5.5000000000000007E-2</v>
      </c>
      <c r="G30" s="1594"/>
      <c r="H30" s="790"/>
      <c r="I30" s="791"/>
      <c r="J30" s="792"/>
      <c r="K30" s="816"/>
      <c r="L30" s="784" t="s">
        <v>708</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1882</v>
      </c>
      <c r="B31" s="2520" t="s">
        <v>2820</v>
      </c>
      <c r="C31" s="2523">
        <f ca="1">ROUND((C21+C22+C25+C28)/(1-F23-C26-C29-C30),0)</f>
        <v>0</v>
      </c>
      <c r="D31" s="2524"/>
      <c r="E31" s="2525"/>
      <c r="F31" s="2526"/>
      <c r="G31" s="1594"/>
      <c r="H31" s="823" t="s">
        <v>1871</v>
      </c>
      <c r="I31" s="2987" t="s">
        <v>2821</v>
      </c>
      <c r="J31" s="825">
        <f ca="1">ROUND(J28/(1+F45)^F46,0)</f>
        <v>0</v>
      </c>
      <c r="K31" s="826" t="s">
        <v>686</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687</v>
      </c>
      <c r="C32" s="792">
        <f ca="1">ROUND(C33+C38+C39+C40,0)</f>
        <v>0</v>
      </c>
      <c r="D32" s="1821" t="s">
        <v>650</v>
      </c>
      <c r="E32" s="2466"/>
      <c r="F32" s="2470"/>
      <c r="G32" s="2062"/>
      <c r="H32" s="2065"/>
      <c r="I32" s="2066"/>
      <c r="J32" s="2067"/>
      <c r="K32" s="2068"/>
      <c r="L32" s="2069"/>
      <c r="M32" s="2070"/>
    </row>
    <row r="33" spans="1:18" ht="18" customHeight="1">
      <c r="A33" s="803" t="s">
        <v>1875</v>
      </c>
      <c r="B33" s="784" t="s">
        <v>654</v>
      </c>
      <c r="C33" s="53">
        <f ca="1">ROUND(IF(项目基本情况!B11="自然人",C7*F33,C34+C35+C36),1)</f>
        <v>0</v>
      </c>
      <c r="D33" s="1979" t="s">
        <v>655</v>
      </c>
      <c r="E33" s="1977" t="s">
        <v>688</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658</v>
      </c>
      <c r="C34" s="53">
        <f ca="1">ROUND(C7*F34/1.05,1)</f>
        <v>0</v>
      </c>
      <c r="D34" s="1977" t="s">
        <v>659</v>
      </c>
      <c r="E34" s="784" t="s">
        <v>647</v>
      </c>
      <c r="F34" s="809">
        <f>'数据-取费表'!B41</f>
        <v>5.5000000000000007E-2</v>
      </c>
      <c r="G34" s="2062"/>
      <c r="H34" s="2071"/>
      <c r="I34" s="2072"/>
      <c r="J34" s="2073"/>
      <c r="K34" s="2074"/>
      <c r="L34" s="2075"/>
      <c r="M34" s="2076"/>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2062"/>
      <c r="H35" s="2077"/>
      <c r="I35" s="2077"/>
      <c r="J35" s="2077"/>
      <c r="K35" s="2078"/>
      <c r="L35" s="2077"/>
      <c r="M35" s="2077"/>
    </row>
    <row r="36" spans="1:18" ht="18" customHeight="1">
      <c r="A36" s="813" t="s">
        <v>1879</v>
      </c>
      <c r="B36" s="341" t="s">
        <v>666</v>
      </c>
      <c r="C36" s="54">
        <f ca="1">ROUND(F36*F37/10000,1)</f>
        <v>0</v>
      </c>
      <c r="D36" s="814" t="s">
        <v>667</v>
      </c>
      <c r="E36" s="784" t="s">
        <v>668</v>
      </c>
      <c r="F36" s="640">
        <f>'数据-取费表'!B52</f>
        <v>8</v>
      </c>
      <c r="G36" s="2062"/>
      <c r="H36" s="2065"/>
      <c r="I36" s="3544"/>
      <c r="J36" s="2079"/>
      <c r="K36" s="2080"/>
      <c r="L36" s="2079"/>
      <c r="M36" s="2079"/>
    </row>
    <row r="37" spans="1:18" ht="18" customHeight="1">
      <c r="A37" s="815"/>
      <c r="B37" s="793"/>
      <c r="C37" s="69"/>
      <c r="D37" s="816"/>
      <c r="E37" s="784" t="s">
        <v>672</v>
      </c>
      <c r="F37" s="785">
        <f ca="1">INDIRECT("'数据-取费表'!r"&amp;$G$1)</f>
        <v>0</v>
      </c>
      <c r="G37" s="2062"/>
      <c r="H37" s="2065"/>
      <c r="I37" s="3544"/>
      <c r="J37" s="2077"/>
      <c r="K37" s="2078"/>
      <c r="L37" s="2077"/>
      <c r="M37" s="2077"/>
    </row>
    <row r="38" spans="1:18" ht="18" customHeight="1">
      <c r="A38" s="803" t="s">
        <v>1876</v>
      </c>
      <c r="B38" s="784" t="s">
        <v>674</v>
      </c>
      <c r="C38" s="53">
        <f ca="1">ROUND(C31*F38,1)</f>
        <v>0</v>
      </c>
      <c r="D38" s="1977" t="s">
        <v>689</v>
      </c>
      <c r="E38" s="784" t="s">
        <v>647</v>
      </c>
      <c r="F38" s="817">
        <f ca="1">INDIRECT("'数据-取费表'!Ak"&amp;$G$1)</f>
        <v>0</v>
      </c>
      <c r="G38" s="2062"/>
      <c r="H38" s="2077"/>
      <c r="I38" s="2081"/>
      <c r="J38" s="1988"/>
      <c r="K38" s="2082"/>
      <c r="L38" s="2077"/>
      <c r="M38" s="2077"/>
    </row>
    <row r="39" spans="1:18" ht="18" customHeight="1">
      <c r="A39" s="803" t="s">
        <v>1877</v>
      </c>
      <c r="B39" s="784" t="s">
        <v>677</v>
      </c>
      <c r="C39" s="53">
        <f ca="1">ROUND(C15*F39,1)</f>
        <v>0</v>
      </c>
      <c r="D39" s="1977" t="s">
        <v>678</v>
      </c>
      <c r="E39" s="784" t="s">
        <v>647</v>
      </c>
      <c r="F39" s="818">
        <f ca="1">INDIRECT("'数据-取费表'!Al"&amp;$G$1)</f>
        <v>0</v>
      </c>
      <c r="G39" s="2062"/>
      <c r="H39" s="2077"/>
      <c r="I39" s="2081"/>
      <c r="J39" s="1988"/>
      <c r="K39" s="2082"/>
      <c r="L39" s="2077"/>
      <c r="M39" s="2077"/>
    </row>
    <row r="40" spans="1:18" ht="18" customHeight="1" thickBot="1">
      <c r="A40" s="2539" t="s">
        <v>1878</v>
      </c>
      <c r="B40" s="2525" t="s">
        <v>664</v>
      </c>
      <c r="C40" s="2523">
        <f ca="1">ROUND(C7*F40,1)</f>
        <v>0</v>
      </c>
      <c r="D40" s="2524" t="s">
        <v>681</v>
      </c>
      <c r="E40" s="2525" t="s">
        <v>647</v>
      </c>
      <c r="F40" s="2521">
        <f ca="1">INDIRECT("'数据-取费表'!Am"&amp;$G$1)</f>
        <v>0</v>
      </c>
      <c r="G40" s="2062"/>
      <c r="H40" s="2077"/>
      <c r="I40" s="2081"/>
      <c r="J40" s="1988"/>
      <c r="K40" s="2083"/>
      <c r="L40" s="2077"/>
      <c r="M40" s="2077"/>
    </row>
    <row r="41" spans="1:18" ht="18" customHeight="1" thickTop="1">
      <c r="A41" s="1829">
        <v>4</v>
      </c>
      <c r="B41" s="1827" t="s">
        <v>690</v>
      </c>
      <c r="C41" s="1353"/>
      <c r="D41" s="1354"/>
      <c r="E41" s="1354"/>
      <c r="F41" s="1355"/>
      <c r="G41" s="2062"/>
      <c r="H41" s="2062"/>
      <c r="I41" s="2062"/>
      <c r="J41" s="2062"/>
      <c r="K41" s="2083"/>
      <c r="L41" s="2062"/>
      <c r="M41" s="2062"/>
    </row>
    <row r="42" spans="1:18" ht="18" customHeight="1">
      <c r="A42" s="803" t="s">
        <v>1875</v>
      </c>
      <c r="B42" s="835" t="s">
        <v>691</v>
      </c>
      <c r="C42" s="829">
        <f ca="1">C7-C32</f>
        <v>0</v>
      </c>
      <c r="D42" s="1979" t="s">
        <v>692</v>
      </c>
      <c r="E42" s="1981"/>
      <c r="F42" s="820"/>
      <c r="G42" s="2062"/>
      <c r="H42" s="2062"/>
      <c r="I42" s="2062"/>
      <c r="J42" s="2062"/>
      <c r="K42" s="2083"/>
      <c r="L42" s="2062"/>
      <c r="M42" s="2062"/>
    </row>
    <row r="43" spans="1:18" ht="18" customHeight="1">
      <c r="A43" s="803" t="s">
        <v>1876</v>
      </c>
      <c r="B43" s="835" t="s">
        <v>709</v>
      </c>
      <c r="C43" s="836">
        <f ca="1">ROUND(C15*F43,0)</f>
        <v>0</v>
      </c>
      <c r="D43" s="1356" t="s">
        <v>710</v>
      </c>
      <c r="E43" s="3094" t="s">
        <v>2949</v>
      </c>
      <c r="F43" s="3095">
        <f ca="1">INDIRECT("'数据-取费表'!j"&amp;$G$1)</f>
        <v>0</v>
      </c>
      <c r="G43" s="2062"/>
      <c r="H43" s="2062"/>
      <c r="I43" s="2062"/>
      <c r="J43" s="2062"/>
      <c r="K43" s="2083"/>
      <c r="L43" s="2062"/>
      <c r="M43" s="2062"/>
    </row>
    <row r="44" spans="1:18" ht="18" customHeight="1">
      <c r="A44" s="803" t="s">
        <v>1877</v>
      </c>
      <c r="B44" s="835" t="s">
        <v>711</v>
      </c>
      <c r="C44" s="1357">
        <f ca="1">C42-C43</f>
        <v>0</v>
      </c>
      <c r="D44" s="463" t="s">
        <v>712</v>
      </c>
      <c r="E44" s="464"/>
      <c r="F44" s="465"/>
      <c r="G44" s="2062"/>
      <c r="H44" s="2062"/>
      <c r="I44" s="2062"/>
      <c r="J44" s="2062"/>
      <c r="K44" s="2083"/>
      <c r="L44" s="2062"/>
      <c r="M44" s="2062"/>
    </row>
    <row r="45" spans="1:18" ht="18" customHeight="1">
      <c r="A45" s="803" t="s">
        <v>1878</v>
      </c>
      <c r="B45" s="1356" t="s">
        <v>713</v>
      </c>
      <c r="C45" s="3013">
        <f ca="1">ROUND(-PV(F45,F46,C44,0),0)</f>
        <v>0</v>
      </c>
      <c r="D45" s="1358" t="s">
        <v>714</v>
      </c>
      <c r="E45" s="806" t="s">
        <v>715</v>
      </c>
      <c r="F45" s="830">
        <f ca="1">INDIRECT("'数据-取费表'!h"&amp;$G$1)</f>
        <v>0</v>
      </c>
      <c r="G45" s="2062"/>
      <c r="H45" s="2062"/>
      <c r="I45" s="2062"/>
      <c r="J45" s="2062"/>
      <c r="K45" s="2083"/>
      <c r="L45" s="2062"/>
      <c r="M45" s="2062"/>
    </row>
    <row r="46" spans="1:18" ht="18" customHeight="1" thickBot="1">
      <c r="A46" s="831"/>
      <c r="B46" s="1359"/>
      <c r="C46" s="1360"/>
      <c r="D46" s="1361"/>
      <c r="E46" s="3096" t="s">
        <v>2952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2340</v>
      </c>
      <c r="J47" s="2358"/>
      <c r="K47" s="2359"/>
      <c r="L47" s="3129" t="str">
        <f ca="1">IF(M48="住宅",0,IF(L49&gt;J52,L61,J61))</f>
        <v>0</v>
      </c>
      <c r="O47" s="2373" t="s">
        <v>2407</v>
      </c>
      <c r="P47" s="1593"/>
      <c r="Q47" s="1605"/>
      <c r="R47" s="1593"/>
    </row>
    <row r="48" spans="1:18" s="2059" customFormat="1" ht="18" customHeight="1" thickBot="1">
      <c r="A48" s="2084"/>
      <c r="C48" s="2087"/>
      <c r="D48" s="2088"/>
      <c r="E48" s="2088"/>
      <c r="F48" s="2089"/>
      <c r="G48" s="2090"/>
      <c r="I48" s="3119" t="s">
        <v>2341</v>
      </c>
      <c r="J48" s="2360"/>
      <c r="K48" s="3126" t="s">
        <v>2346</v>
      </c>
      <c r="L48" s="3130">
        <f ca="1">INDIRECT("'数据-取费表'!d"&amp;$G$1)</f>
        <v>0</v>
      </c>
      <c r="M48" s="3093" t="str">
        <f>IF(ISNUMBER(FIND("住宅",C1)),"住宅","非住宅")</f>
        <v>非住宅</v>
      </c>
      <c r="O48" s="2374" t="s">
        <v>2372</v>
      </c>
      <c r="P48" s="2375" t="s">
        <v>2373</v>
      </c>
      <c r="Q48" s="2376" t="s">
        <v>2374</v>
      </c>
      <c r="R48" s="2375" t="s">
        <v>2375</v>
      </c>
    </row>
    <row r="49" spans="1:18" s="2059" customFormat="1" ht="18" customHeight="1" thickBot="1">
      <c r="A49" s="2084"/>
      <c r="D49" s="2091"/>
      <c r="E49" s="2092"/>
      <c r="F49" s="2089"/>
      <c r="G49" s="2090"/>
      <c r="H49" s="2093"/>
      <c r="I49" s="3098" t="s">
        <v>2342</v>
      </c>
      <c r="J49" s="2361"/>
      <c r="K49" s="3127" t="s">
        <v>2348</v>
      </c>
      <c r="L49" s="1908">
        <f ca="1">INDIRECT("'数据-取费表'!f"&amp;$G$1)</f>
        <v>0</v>
      </c>
      <c r="O49" s="2377" t="s">
        <v>2376</v>
      </c>
      <c r="P49" s="2378" t="s">
        <v>2402</v>
      </c>
      <c r="Q49" s="2379">
        <f ca="1">C41+J31</f>
        <v>0</v>
      </c>
      <c r="R49" s="2378" t="s">
        <v>2377</v>
      </c>
    </row>
    <row r="50" spans="1:18" s="2059" customFormat="1" ht="18" customHeight="1" thickBot="1">
      <c r="A50" s="2084"/>
      <c r="D50" s="2094"/>
      <c r="E50" s="2094"/>
      <c r="F50" s="2088"/>
      <c r="G50" s="2095"/>
      <c r="H50" s="2093"/>
      <c r="I50" s="3098" t="s">
        <v>2343</v>
      </c>
      <c r="J50" s="2362"/>
      <c r="K50" s="3128" t="s">
        <v>2349</v>
      </c>
      <c r="L50" s="2363"/>
      <c r="O50" s="2377" t="s">
        <v>2378</v>
      </c>
      <c r="P50" s="2378" t="s">
        <v>2403</v>
      </c>
      <c r="Q50" s="2379" t="str">
        <f ca="1">J61</f>
        <v>0</v>
      </c>
      <c r="R50" s="2378" t="s">
        <v>2379</v>
      </c>
    </row>
    <row r="51" spans="1:18" s="2059" customFormat="1" ht="18" customHeight="1" thickBot="1">
      <c r="A51" s="2096"/>
      <c r="D51" s="2094"/>
      <c r="E51" s="2094"/>
      <c r="F51" s="2085"/>
      <c r="H51" s="2093"/>
      <c r="I51" s="3098" t="s">
        <v>2344</v>
      </c>
      <c r="J51" s="3123">
        <f>SUMPRODUCT((I64:I66=J48)*(J63:L63=J49)*(J64:L66))</f>
        <v>0</v>
      </c>
      <c r="K51" s="3128" t="s">
        <v>2350</v>
      </c>
      <c r="L51" s="2363"/>
      <c r="O51" s="2380" t="s">
        <v>2380</v>
      </c>
      <c r="P51" s="2378" t="s">
        <v>2404</v>
      </c>
      <c r="Q51" s="2379">
        <f ca="1">C31</f>
        <v>0</v>
      </c>
      <c r="R51" s="2378" t="s">
        <v>2377</v>
      </c>
    </row>
    <row r="52" spans="1:18" s="2059" customFormat="1" ht="18" customHeight="1" thickBot="1">
      <c r="A52" s="2096"/>
      <c r="F52" s="2085"/>
      <c r="I52" s="3120" t="s">
        <v>2345</v>
      </c>
      <c r="J52" s="3124">
        <f>IF(J50="",J51,J50+J51-YEAR('数据-取费表'!B3))</f>
        <v>0</v>
      </c>
      <c r="K52" s="3098" t="s">
        <v>2351</v>
      </c>
      <c r="L52" s="3131">
        <f ca="1">ROUND(-PV(INDIRECT("'数据-取费表'!h"&amp;$G$1),L49,(C40-C14*J36),0),0)</f>
        <v>0</v>
      </c>
      <c r="O52" s="2380" t="s">
        <v>2381</v>
      </c>
      <c r="P52" s="2378" t="s">
        <v>2382</v>
      </c>
      <c r="Q52" s="2381" t="e">
        <f ca="1">J59</f>
        <v>#VALUE!</v>
      </c>
      <c r="R52" s="2382"/>
    </row>
    <row r="53" spans="1:18" s="2059" customFormat="1" ht="18" customHeight="1" thickBot="1">
      <c r="A53" s="2096"/>
      <c r="F53" s="2085"/>
      <c r="I53" s="3121" t="s">
        <v>2418</v>
      </c>
      <c r="J53" s="2364"/>
      <c r="K53" s="3121" t="s">
        <v>2417</v>
      </c>
      <c r="L53" s="2364"/>
      <c r="O53" s="2380" t="s">
        <v>2383</v>
      </c>
      <c r="P53" s="2378" t="s">
        <v>2384</v>
      </c>
      <c r="Q53" s="2381">
        <f>J53</f>
        <v>0</v>
      </c>
      <c r="R53" s="2382"/>
    </row>
    <row r="54" spans="1:18" s="2059" customFormat="1" ht="29.25" thickBot="1">
      <c r="A54" s="2096"/>
      <c r="I54" s="3122" t="s">
        <v>2965</v>
      </c>
      <c r="J54" s="3125">
        <f ca="1">IF(M48="住宅",MAX(J52,L49-'数据-取费表'!B20),MIN(J52,L49-'数据-取费表'!B20))</f>
        <v>-2</v>
      </c>
      <c r="K54" s="3549"/>
      <c r="L54" s="3550"/>
      <c r="O54" s="2380" t="s">
        <v>2385</v>
      </c>
      <c r="P54" s="2378" t="s">
        <v>2386</v>
      </c>
      <c r="Q54" s="2379">
        <f ca="1">J54</f>
        <v>-2</v>
      </c>
      <c r="R54" s="2378" t="s">
        <v>2387</v>
      </c>
    </row>
    <row r="55" spans="1:18" s="2059" customFormat="1" ht="18" customHeight="1" thickBot="1">
      <c r="A55" s="2096"/>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7" t="s">
        <v>2388</v>
      </c>
      <c r="P55" s="2378" t="s">
        <v>2405</v>
      </c>
      <c r="Q55" s="2379">
        <f ca="1">Q49+Q50</f>
        <v>0</v>
      </c>
      <c r="R55" s="2382" t="s">
        <v>2389</v>
      </c>
    </row>
    <row r="56" spans="1:18" s="2059" customFormat="1" ht="16.5" thickBot="1">
      <c r="A56" s="2096"/>
      <c r="B56" s="2097"/>
      <c r="C56" s="2097"/>
      <c r="I56" s="3134" t="s">
        <v>2352</v>
      </c>
      <c r="J56" s="3073" t="e">
        <f ca="1">ROUND(IF(J48="钢混",J58/J51,1-(1-2%)*(J51-J58)/J51),3)</f>
        <v>#VALUE!</v>
      </c>
      <c r="K56" s="3135" t="s">
        <v>2353</v>
      </c>
      <c r="L56" s="2365"/>
      <c r="O56" s="2383" t="s">
        <v>2408</v>
      </c>
      <c r="P56" s="1593"/>
      <c r="Q56" s="1605"/>
      <c r="R56" s="1593"/>
    </row>
    <row r="57" spans="1:18" s="2059" customFormat="1" ht="43.5" thickBot="1">
      <c r="A57" s="2096"/>
      <c r="B57" s="2097"/>
      <c r="C57" s="2097"/>
      <c r="I57" s="3136" t="s">
        <v>2354</v>
      </c>
      <c r="J57" s="3146" t="s">
        <v>1677</v>
      </c>
      <c r="K57" s="3098" t="s">
        <v>2359</v>
      </c>
      <c r="L57" s="1908">
        <f ca="1">IF(L49&lt;J52,"——",L49-J52)</f>
        <v>0</v>
      </c>
      <c r="O57" s="2374" t="s">
        <v>2372</v>
      </c>
      <c r="P57" s="2375" t="s">
        <v>2373</v>
      </c>
      <c r="Q57" s="2376" t="s">
        <v>2374</v>
      </c>
      <c r="R57" s="2375" t="s">
        <v>2375</v>
      </c>
    </row>
    <row r="58" spans="1:18" s="2059" customFormat="1" ht="29.25" thickBot="1">
      <c r="A58" s="2096"/>
      <c r="B58" s="2097"/>
      <c r="C58" s="2097"/>
      <c r="I58" s="3137" t="s">
        <v>2355</v>
      </c>
      <c r="J58" s="3138" t="str">
        <f ca="1">IF(OR(M48="住宅",J52&lt;L49,J57="是"),"——",J52-L49)</f>
        <v>——</v>
      </c>
      <c r="K58" s="3098" t="s">
        <v>2360</v>
      </c>
      <c r="L58" s="1908">
        <f ca="1">IF(L49&lt;J52,"——",IF(L56="比较法",L50,IF(L56="基准地价",L51,L52)))</f>
        <v>0</v>
      </c>
      <c r="O58" s="2377" t="s">
        <v>2376</v>
      </c>
      <c r="P58" s="2378" t="s">
        <v>2402</v>
      </c>
      <c r="Q58" s="2379">
        <f ca="1">C41+J31</f>
        <v>0</v>
      </c>
      <c r="R58" s="2378" t="s">
        <v>2377</v>
      </c>
    </row>
    <row r="59" spans="1:18" s="2059" customFormat="1" ht="29.25" thickBot="1">
      <c r="A59" s="2096"/>
      <c r="B59" s="2097"/>
      <c r="C59" s="2097"/>
      <c r="I59" s="3137" t="s">
        <v>2356</v>
      </c>
      <c r="J59" s="3074" t="e">
        <f ca="1">IF(J56&lt;0.4,0.4,J56)</f>
        <v>#VALUE!</v>
      </c>
      <c r="K59" s="3098" t="s">
        <v>2361</v>
      </c>
      <c r="L59" s="1908">
        <f ca="1">IF(ISERROR(POWER(1+L53,L48-L49)*(POWER(1+L53,L49)-1)/(POWER(1+L53,L48)-1)),0,POWER(1+L53,L48-L49)*(POWER(1+L53,L49)-1)/(POWER(1+L53,L48)-1))</f>
        <v>0</v>
      </c>
      <c r="O59" s="2377" t="s">
        <v>2378</v>
      </c>
      <c r="P59" s="2378" t="s">
        <v>2409</v>
      </c>
      <c r="Q59" s="2379" t="e">
        <f ca="1">L61</f>
        <v>#DIV/0!</v>
      </c>
      <c r="R59" s="2382" t="s">
        <v>2411</v>
      </c>
    </row>
    <row r="60" spans="1:18" s="2059" customFormat="1" ht="29.25" thickBot="1">
      <c r="A60" s="2096"/>
      <c r="B60" s="2097"/>
      <c r="C60" s="2097"/>
      <c r="I60" s="3137" t="s">
        <v>2357</v>
      </c>
      <c r="J60" s="3138" t="str">
        <f ca="1">IF(OR(M48="住宅",J52&lt;L49,J57="是"),"——",ROUND(C30*J59,0))</f>
        <v>——</v>
      </c>
      <c r="K60" s="3098" t="s">
        <v>2362</v>
      </c>
      <c r="L60" s="1908">
        <f ca="1">IF(ISERROR(POWER(1+L53,L48-J52)*(POWER(1+L53,J52)-1)/(POWER(1+L53,L48)-1)),0,POWER(1+L53,L48-J52)*(POWER(1+L53,J52)-1)/(POWER(1+L53,L48)-1))</f>
        <v>0</v>
      </c>
      <c r="O60" s="2380" t="s">
        <v>2380</v>
      </c>
      <c r="P60" s="2378" t="s">
        <v>2410</v>
      </c>
      <c r="Q60" s="2379">
        <f>IF(L56="比较法",L50,IF(L56="基准地价",L51,0))</f>
        <v>0</v>
      </c>
      <c r="R60" s="2378" t="s">
        <v>2377</v>
      </c>
    </row>
    <row r="61" spans="1:18" s="2059" customFormat="1" ht="15.75" thickBot="1">
      <c r="A61" s="2096"/>
      <c r="B61" s="2097"/>
      <c r="C61" s="2097"/>
      <c r="I61" s="3139" t="s">
        <v>2358</v>
      </c>
      <c r="J61" s="3140" t="str">
        <f ca="1">IF(OR(M48="住宅",J52&lt;L49,J57="是"),"0",ROUND(J60/(1+J53)^J54,0))</f>
        <v>0</v>
      </c>
      <c r="K61" s="3141" t="s">
        <v>2363</v>
      </c>
      <c r="L61" s="3140" t="e">
        <f ca="1">IF(OR(M48="住宅",L49&lt;J52),0,ROUND(L58*(L59/L60-1),0))</f>
        <v>#DIV/0!</v>
      </c>
      <c r="O61" s="2380" t="s">
        <v>2381</v>
      </c>
      <c r="P61" s="2378" t="s">
        <v>2390</v>
      </c>
      <c r="Q61" s="2381">
        <f>L53</f>
        <v>0</v>
      </c>
      <c r="R61" s="2382"/>
    </row>
    <row r="62" spans="1:18" s="2059" customFormat="1" ht="20.25" thickBot="1">
      <c r="A62" s="2096"/>
      <c r="B62" s="2097"/>
      <c r="C62" s="2097"/>
      <c r="K62" s="2086"/>
      <c r="O62" s="2380" t="s">
        <v>2383</v>
      </c>
      <c r="P62" s="2378" t="s">
        <v>2391</v>
      </c>
      <c r="Q62" s="2379">
        <f ca="1">L59</f>
        <v>0</v>
      </c>
      <c r="R62" s="2382" t="s">
        <v>2392</v>
      </c>
    </row>
    <row r="63" spans="1:18" s="2059" customFormat="1" ht="20.25" thickBot="1">
      <c r="A63" s="2096"/>
      <c r="B63" s="2097"/>
      <c r="C63" s="2097"/>
      <c r="I63" s="3142" t="s">
        <v>2364</v>
      </c>
      <c r="J63" s="3143" t="s">
        <v>2365</v>
      </c>
      <c r="K63" s="3143" t="s">
        <v>2366</v>
      </c>
      <c r="L63" s="3143" t="s">
        <v>2347</v>
      </c>
      <c r="M63" s="3144" t="s">
        <v>2929</v>
      </c>
      <c r="O63" s="2380" t="s">
        <v>2385</v>
      </c>
      <c r="P63" s="2378" t="s">
        <v>2393</v>
      </c>
      <c r="Q63" s="2379">
        <f ca="1">L60</f>
        <v>0</v>
      </c>
      <c r="R63" s="2382" t="s">
        <v>2394</v>
      </c>
    </row>
    <row r="64" spans="1:18" s="2059" customFormat="1" ht="15.75" thickBot="1">
      <c r="A64" s="2096"/>
      <c r="B64" s="2097"/>
      <c r="C64" s="2097"/>
      <c r="I64" s="3142" t="s">
        <v>2367</v>
      </c>
      <c r="J64" s="3143">
        <v>70</v>
      </c>
      <c r="K64" s="3143">
        <v>50</v>
      </c>
      <c r="L64" s="3143">
        <v>80</v>
      </c>
      <c r="M64" s="3145">
        <v>0.02</v>
      </c>
      <c r="O64" s="2377" t="s">
        <v>2388</v>
      </c>
      <c r="P64" s="2378" t="s">
        <v>2405</v>
      </c>
      <c r="Q64" s="2379" t="e">
        <f ca="1">Q58+Q59</f>
        <v>#DIV/0!</v>
      </c>
      <c r="R64" s="2382" t="s">
        <v>2389</v>
      </c>
    </row>
    <row r="65" spans="1:18" s="2059" customFormat="1" ht="16.5" thickBot="1">
      <c r="A65" s="2096"/>
      <c r="B65" s="2097"/>
      <c r="C65" s="2097"/>
      <c r="I65" s="3142" t="s">
        <v>2368</v>
      </c>
      <c r="J65" s="3143">
        <v>50</v>
      </c>
      <c r="K65" s="3143">
        <v>35</v>
      </c>
      <c r="L65" s="3143">
        <v>60</v>
      </c>
      <c r="M65" s="846">
        <v>0</v>
      </c>
      <c r="O65" s="2383" t="s">
        <v>2412</v>
      </c>
      <c r="P65" s="1593"/>
      <c r="Q65" s="1605"/>
      <c r="R65" s="1593"/>
    </row>
    <row r="66" spans="1:18" s="2059" customFormat="1" ht="15.75" thickBot="1">
      <c r="A66" s="2096"/>
      <c r="B66" s="2097"/>
      <c r="C66" s="2097"/>
      <c r="I66" s="3142" t="s">
        <v>2369</v>
      </c>
      <c r="J66" s="3143">
        <v>40</v>
      </c>
      <c r="K66" s="3143">
        <v>30</v>
      </c>
      <c r="L66" s="3143">
        <v>50</v>
      </c>
      <c r="M66" s="3145">
        <v>0.02</v>
      </c>
      <c r="O66" s="2374" t="s">
        <v>2372</v>
      </c>
      <c r="P66" s="2375" t="s">
        <v>2373</v>
      </c>
      <c r="Q66" s="2376" t="s">
        <v>2374</v>
      </c>
      <c r="R66" s="2375" t="s">
        <v>2375</v>
      </c>
    </row>
    <row r="67" spans="1:18" s="2059" customFormat="1" ht="15.75" thickBot="1">
      <c r="A67" s="2096"/>
      <c r="B67" s="2097"/>
      <c r="C67" s="2097"/>
      <c r="K67" s="2086"/>
      <c r="O67" s="2377" t="s">
        <v>2376</v>
      </c>
      <c r="P67" s="2378" t="s">
        <v>2402</v>
      </c>
      <c r="Q67" s="2379">
        <f ca="1">C41+J31</f>
        <v>0</v>
      </c>
      <c r="R67" s="2378" t="s">
        <v>2377</v>
      </c>
    </row>
    <row r="68" spans="1:18" s="2059" customFormat="1" ht="20.25" thickBot="1">
      <c r="A68" s="2096"/>
      <c r="B68" s="2097"/>
      <c r="C68" s="2097"/>
      <c r="K68" s="2086"/>
      <c r="O68" s="2377" t="s">
        <v>2378</v>
      </c>
      <c r="P68" s="2378" t="s">
        <v>2409</v>
      </c>
      <c r="Q68" s="2379" t="e">
        <f ca="1">L61</f>
        <v>#DIV/0!</v>
      </c>
      <c r="R68" s="2382" t="s">
        <v>2411</v>
      </c>
    </row>
    <row r="69" spans="1:18" s="2059" customFormat="1" ht="21.75" thickBot="1">
      <c r="A69" s="2096"/>
      <c r="B69" s="2097"/>
      <c r="C69" s="2097"/>
      <c r="K69" s="2086"/>
      <c r="O69" s="2380" t="s">
        <v>2380</v>
      </c>
      <c r="P69" s="2378" t="s">
        <v>2410</v>
      </c>
      <c r="Q69" s="2384">
        <f ca="1">L52</f>
        <v>0</v>
      </c>
      <c r="R69" s="2385" t="s">
        <v>2413</v>
      </c>
    </row>
    <row r="70" spans="1:18" s="2059" customFormat="1" ht="20.25" thickBot="1">
      <c r="A70" s="2096"/>
      <c r="B70" s="2097"/>
      <c r="C70" s="2097"/>
      <c r="K70" s="2086"/>
      <c r="O70" s="2380" t="s">
        <v>2381</v>
      </c>
      <c r="P70" s="2386" t="s">
        <v>2395</v>
      </c>
      <c r="Q70" s="2379">
        <f ca="1">ROUND(Q71-Q72*Q73,0)</f>
        <v>0</v>
      </c>
      <c r="R70" s="2382"/>
    </row>
    <row r="71" spans="1:18" s="2059" customFormat="1" ht="15.75" thickBot="1">
      <c r="A71" s="2096"/>
      <c r="B71" s="2097"/>
      <c r="C71" s="2097"/>
      <c r="K71" s="2086"/>
      <c r="O71" s="2380" t="s">
        <v>2396</v>
      </c>
      <c r="P71" s="2386" t="s">
        <v>2397</v>
      </c>
      <c r="Q71" s="2379">
        <f ca="1">C42</f>
        <v>0</v>
      </c>
      <c r="R71" s="2378" t="s">
        <v>2377</v>
      </c>
    </row>
    <row r="72" spans="1:18" s="2059" customFormat="1" ht="15.75" thickBot="1">
      <c r="A72" s="2096"/>
      <c r="B72" s="2097"/>
      <c r="C72" s="2097"/>
      <c r="K72" s="2086"/>
      <c r="O72" s="2380" t="s">
        <v>2398</v>
      </c>
      <c r="P72" s="2386" t="s">
        <v>2399</v>
      </c>
      <c r="Q72" s="2379">
        <f ca="1">C15</f>
        <v>0</v>
      </c>
      <c r="R72" s="2378" t="s">
        <v>2377</v>
      </c>
    </row>
    <row r="73" spans="1:18" s="2059" customFormat="1" ht="15.75" thickBot="1">
      <c r="A73" s="2096"/>
      <c r="B73" s="2097"/>
      <c r="C73" s="2097"/>
      <c r="K73" s="2086"/>
      <c r="O73" s="2380" t="s">
        <v>2400</v>
      </c>
      <c r="P73" s="2386" t="s">
        <v>2401</v>
      </c>
      <c r="Q73" s="2381">
        <f ca="1">F43</f>
        <v>0</v>
      </c>
      <c r="R73" s="2382"/>
    </row>
    <row r="74" spans="1:18" s="2059" customFormat="1" ht="15.75" thickBot="1">
      <c r="A74" s="2096"/>
      <c r="B74" s="2097"/>
      <c r="C74" s="2097"/>
      <c r="K74" s="2086"/>
      <c r="O74" s="2380" t="s">
        <v>2383</v>
      </c>
      <c r="P74" s="2378" t="s">
        <v>2390</v>
      </c>
      <c r="Q74" s="2381">
        <f>L53</f>
        <v>0</v>
      </c>
      <c r="R74" s="2382"/>
    </row>
    <row r="75" spans="1:18" s="2059" customFormat="1" ht="20.25" thickBot="1">
      <c r="A75" s="2096"/>
      <c r="B75" s="2097"/>
      <c r="C75" s="2097"/>
      <c r="K75" s="2086"/>
      <c r="O75" s="2380" t="s">
        <v>2385</v>
      </c>
      <c r="P75" s="2378" t="s">
        <v>2391</v>
      </c>
      <c r="Q75" s="2379">
        <f ca="1">L59</f>
        <v>0</v>
      </c>
      <c r="R75" s="2382" t="s">
        <v>2392</v>
      </c>
    </row>
    <row r="76" spans="1:18" s="2059" customFormat="1" ht="20.25" thickBot="1">
      <c r="A76" s="2096"/>
      <c r="B76" s="2097"/>
      <c r="C76" s="2097"/>
      <c r="K76" s="2086"/>
      <c r="O76" s="2380" t="s">
        <v>2414</v>
      </c>
      <c r="P76" s="2378" t="s">
        <v>2393</v>
      </c>
      <c r="Q76" s="2379">
        <f ca="1">L60</f>
        <v>0</v>
      </c>
      <c r="R76" s="2382" t="s">
        <v>2394</v>
      </c>
    </row>
    <row r="77" spans="1:18" s="2059" customFormat="1" ht="15.75" thickBot="1">
      <c r="A77" s="2096"/>
      <c r="B77" s="2097"/>
      <c r="C77" s="2097"/>
      <c r="K77" s="2086"/>
      <c r="O77" s="2377" t="s">
        <v>2388</v>
      </c>
      <c r="P77" s="2378" t="s">
        <v>2405</v>
      </c>
      <c r="Q77" s="2379" t="e">
        <f ca="1">Q67+Q68</f>
        <v>#DIV/0!</v>
      </c>
      <c r="R77" s="2382" t="s">
        <v>2389</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558" t="s">
        <v>2573</v>
      </c>
      <c r="C1" s="3558"/>
      <c r="D1" s="3558"/>
      <c r="E1" s="3558"/>
      <c r="F1" s="3558"/>
      <c r="G1" s="3557" t="s">
        <v>2574</v>
      </c>
      <c r="H1" s="3557"/>
      <c r="I1" s="3557"/>
      <c r="J1" s="3557"/>
      <c r="K1" s="3557"/>
      <c r="L1" s="3557"/>
      <c r="N1" s="3557" t="s">
        <v>2575</v>
      </c>
      <c r="O1" s="3557"/>
      <c r="P1" s="3557"/>
      <c r="Q1" s="3557"/>
      <c r="R1" s="2633"/>
      <c r="S1" s="3557" t="s">
        <v>2576</v>
      </c>
      <c r="T1" s="3557"/>
      <c r="U1" s="3557"/>
      <c r="V1" s="3557"/>
      <c r="X1" s="3556" t="s">
        <v>2636</v>
      </c>
      <c r="Y1" s="3557"/>
      <c r="Z1" s="3557"/>
      <c r="AA1" s="3557"/>
      <c r="AB1" s="3557"/>
      <c r="AD1" s="3556" t="s">
        <v>2640</v>
      </c>
      <c r="AE1" s="3557"/>
      <c r="AF1" s="3557"/>
      <c r="AG1" s="3557"/>
      <c r="AH1" s="3557"/>
    </row>
    <row r="2" spans="1:34" s="2734" customFormat="1" ht="14.25" thickBot="1">
      <c r="B2" s="2742" t="s">
        <v>2577</v>
      </c>
      <c r="C2" s="2742" t="s">
        <v>2638</v>
      </c>
      <c r="D2" s="2735" t="s">
        <v>1643</v>
      </c>
      <c r="E2" s="2735" t="s">
        <v>1948</v>
      </c>
      <c r="F2" s="2742" t="s">
        <v>2639</v>
      </c>
      <c r="G2" s="2738"/>
      <c r="H2" s="2737"/>
      <c r="I2" s="2742" t="s">
        <v>2943</v>
      </c>
      <c r="J2" s="2735" t="s">
        <v>2945</v>
      </c>
      <c r="K2" s="2735" t="s">
        <v>2946</v>
      </c>
      <c r="L2" s="2742" t="s">
        <v>2947</v>
      </c>
      <c r="N2" s="2742" t="s">
        <v>2577</v>
      </c>
      <c r="O2" s="2735" t="s">
        <v>2944</v>
      </c>
      <c r="P2" s="2735" t="s">
        <v>1948</v>
      </c>
      <c r="Q2" s="2742" t="s">
        <v>2639</v>
      </c>
      <c r="R2" s="2736"/>
      <c r="S2" s="2742" t="s">
        <v>2577</v>
      </c>
      <c r="T2" s="2735" t="s">
        <v>2944</v>
      </c>
      <c r="U2" s="2735" t="s">
        <v>1948</v>
      </c>
      <c r="V2" s="2742" t="s">
        <v>2639</v>
      </c>
      <c r="X2" s="2742" t="s">
        <v>2577</v>
      </c>
      <c r="Y2" s="2742" t="s">
        <v>2638</v>
      </c>
      <c r="Z2" s="2735" t="s">
        <v>1643</v>
      </c>
      <c r="AA2" s="2735" t="s">
        <v>1948</v>
      </c>
      <c r="AB2" s="2742" t="s">
        <v>2639</v>
      </c>
      <c r="AD2" s="2742" t="s">
        <v>2577</v>
      </c>
      <c r="AE2" s="2742" t="s">
        <v>2638</v>
      </c>
      <c r="AF2" s="2735" t="s">
        <v>1643</v>
      </c>
      <c r="AG2" s="2735" t="s">
        <v>1948</v>
      </c>
      <c r="AH2" s="2742" t="s">
        <v>2639</v>
      </c>
    </row>
    <row r="3" spans="1:34" s="3103" customFormat="1" ht="14.25">
      <c r="A3" s="3115" t="s">
        <v>2956</v>
      </c>
      <c r="B3" s="3104"/>
      <c r="C3" s="3104"/>
      <c r="D3" s="3105"/>
      <c r="E3" s="3105"/>
      <c r="F3" s="3104"/>
      <c r="G3" s="3106"/>
      <c r="H3" s="3107"/>
      <c r="I3" s="3114">
        <f>ROUND(AVERAGE($I4:$I25),2)</f>
        <v>2.13</v>
      </c>
      <c r="J3" s="3114">
        <f>ROUND(AVERAGE($J4:$J25),2)</f>
        <v>1.51</v>
      </c>
      <c r="K3" s="3114">
        <f>ROUND(AVERAGE($K4:$K25),2)</f>
        <v>2.34</v>
      </c>
      <c r="L3" s="3114">
        <f>ROUND(AVERAGE($L4:$L25),2)</f>
        <v>1.42</v>
      </c>
      <c r="N3" s="3106"/>
      <c r="O3" s="3108"/>
      <c r="P3" s="3108"/>
      <c r="Q3" s="3108"/>
      <c r="R3" s="3108"/>
      <c r="S3" s="3106"/>
      <c r="T3" s="3108"/>
      <c r="U3" s="3108"/>
      <c r="V3" s="3108"/>
      <c r="W3" s="3111"/>
      <c r="X3" s="3109">
        <f>ROUND(SUMPRODUCT(PRODUCT(1+N3:N$24)),4)</f>
        <v>1.5099</v>
      </c>
      <c r="Y3" s="3109">
        <f>ROUND(SUMPRODUCT(PRODUCT(1+O3:O$24)),4)</f>
        <v>1.3372999999999999</v>
      </c>
      <c r="Z3" s="3109">
        <f t="shared" ref="Z3:Z22" si="0">Y3</f>
        <v>1.3372999999999999</v>
      </c>
      <c r="AA3" s="3109">
        <f>ROUND(SUMPRODUCT(PRODUCT(1+P3:P$24)),4)</f>
        <v>1.5683</v>
      </c>
      <c r="AB3" s="3109">
        <f>ROUND(SUMPRODUCT(PRODUCT(1+Q3:Q$24)),4)</f>
        <v>1.3255999999999999</v>
      </c>
      <c r="AD3" s="3110">
        <f>ROUND(AVERAGE(I3:I$25)/100,4)</f>
        <v>2.1299999999999999E-2</v>
      </c>
      <c r="AE3" s="3110">
        <f>ROUND(AVERAGE(J3:J$25)/100,4)</f>
        <v>1.5100000000000001E-2</v>
      </c>
      <c r="AF3" s="3110">
        <f t="shared" ref="AF3:AF23" si="1">AE3</f>
        <v>1.5100000000000001E-2</v>
      </c>
      <c r="AG3" s="3110">
        <f>ROUND(AVERAGE(K3:K$25)/100,4)</f>
        <v>2.3400000000000001E-2</v>
      </c>
      <c r="AH3" s="3110">
        <f>ROUND(AVERAGE(L3:L$25)/100,4)</f>
        <v>1.4200000000000001E-2</v>
      </c>
    </row>
    <row r="4" spans="1:34" s="2727" customFormat="1" ht="14.25">
      <c r="B4" s="2728"/>
      <c r="C4" s="2728"/>
      <c r="D4" s="2729"/>
      <c r="E4" s="2729"/>
      <c r="F4" s="2728"/>
      <c r="G4" s="2733"/>
      <c r="H4" s="2730"/>
      <c r="I4" s="3099"/>
      <c r="J4" s="3099"/>
      <c r="K4" s="3099"/>
      <c r="L4" s="3099"/>
      <c r="N4" s="2733"/>
      <c r="O4" s="2731"/>
      <c r="P4" s="2731"/>
      <c r="Q4" s="2731"/>
      <c r="R4" s="2731"/>
      <c r="S4" s="2733"/>
      <c r="T4" s="2731"/>
      <c r="U4" s="2731"/>
      <c r="V4" s="2731"/>
      <c r="W4" s="3112"/>
      <c r="X4" s="2732"/>
      <c r="Y4" s="2732"/>
      <c r="Z4" s="2732"/>
      <c r="AA4" s="2732"/>
      <c r="AB4" s="2732"/>
      <c r="AD4" s="2652"/>
      <c r="AE4" s="2652"/>
      <c r="AF4" s="2652"/>
      <c r="AG4" s="2652"/>
      <c r="AH4" s="2652"/>
    </row>
    <row r="5" spans="1:34" s="3087" customFormat="1" ht="13.5" thickBot="1">
      <c r="A5" s="3085" t="s">
        <v>2976</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6">
        <v>1</v>
      </c>
      <c r="I5" s="3100">
        <v>0</v>
      </c>
      <c r="J5" s="3100">
        <v>0</v>
      </c>
      <c r="K5" s="3100">
        <v>0</v>
      </c>
      <c r="L5" s="3100">
        <v>0</v>
      </c>
      <c r="N5" s="2740">
        <f t="shared" ref="N5" si="6">I5/100</f>
        <v>0</v>
      </c>
      <c r="O5" s="2740">
        <f t="shared" ref="O5" si="7">J5/100</f>
        <v>0</v>
      </c>
      <c r="P5" s="2740">
        <f t="shared" ref="P5" si="8">K5/100</f>
        <v>0</v>
      </c>
      <c r="Q5" s="2740">
        <f t="shared" ref="Q5" si="9">L5/100</f>
        <v>0</v>
      </c>
      <c r="R5" s="3088"/>
      <c r="S5" s="3089"/>
      <c r="T5" s="3088"/>
      <c r="U5" s="3088"/>
      <c r="V5" s="3088"/>
      <c r="W5" s="3113" t="s">
        <v>2957</v>
      </c>
      <c r="X5" s="3090">
        <f>ROUND(IF(项目基本情况!B8="出让",SUMPRODUCT(PRODUCT(1+N5:N$25)),SUMPRODUCT(PRODUCT(1+N5:N$24))),4)</f>
        <v>1.5099</v>
      </c>
      <c r="Y5" s="3090">
        <f>ROUND(IF(项目基本情况!B8="出让",SUMPRODUCT(PRODUCT(1+O5:O$25)),SUMPRODUCT(PRODUCT(1+O5:O$24))),4)</f>
        <v>1.3372999999999999</v>
      </c>
      <c r="Z5" s="3090">
        <f t="shared" ref="Z5" si="10">Y5</f>
        <v>1.3372999999999999</v>
      </c>
      <c r="AA5" s="3090">
        <f>ROUND(IF(项目基本情况!B8="出让",SUMPRODUCT(PRODUCT(1+P5:P$25)),SUMPRODUCT(PRODUCT(1+P5:P$24))),4)</f>
        <v>1.5683</v>
      </c>
      <c r="AB5" s="3090">
        <f>ROUND(IF(项目基本情况!B8="出让",SUMPRODUCT(PRODUCT(1+Q5:Q$25)),SUMPRODUCT(PRODUCT(1+Q5:Q$24))),4)</f>
        <v>1.3255999999999999</v>
      </c>
      <c r="AD5" s="3091">
        <f>ROUND(AVERAGE(I5:I$25)/100,4)</f>
        <v>2.1299999999999999E-2</v>
      </c>
      <c r="AE5" s="3091">
        <f>ROUND(AVERAGE(J5:J$25)/100,4)</f>
        <v>1.5100000000000001E-2</v>
      </c>
      <c r="AF5" s="3091">
        <f t="shared" ref="AF5" si="11">AE5</f>
        <v>1.5100000000000001E-2</v>
      </c>
      <c r="AG5" s="3091">
        <f>ROUND(AVERAGE(K5:K$25)/100,4)</f>
        <v>2.3400000000000001E-2</v>
      </c>
      <c r="AH5" s="3091">
        <f>ROUND(AVERAGE(L5:L$25)/100,4)</f>
        <v>1.4200000000000001E-2</v>
      </c>
    </row>
    <row r="6" spans="1:34" s="2739" customFormat="1">
      <c r="A6" s="2634" t="s">
        <v>2977</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552">
        <v>2018</v>
      </c>
      <c r="H6" s="2637">
        <v>4</v>
      </c>
      <c r="I6" s="3171">
        <v>0.96</v>
      </c>
      <c r="J6" s="3171">
        <v>1.03</v>
      </c>
      <c r="K6" s="3171">
        <v>0.92</v>
      </c>
      <c r="L6" s="3172">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2966</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552"/>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2967</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552"/>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2963</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553"/>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2954</v>
      </c>
      <c r="B10" s="3117">
        <v>439</v>
      </c>
      <c r="C10" s="3117">
        <v>327</v>
      </c>
      <c r="D10" s="3117">
        <f t="shared" si="43"/>
        <v>327</v>
      </c>
      <c r="E10" s="3117">
        <v>627</v>
      </c>
      <c r="F10" s="3118">
        <v>283</v>
      </c>
      <c r="G10" s="3551">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2958</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552"/>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2578</v>
      </c>
      <c r="B12" s="2647">
        <f t="shared" si="55"/>
        <v>419.31181600000002</v>
      </c>
      <c r="C12" s="2647">
        <f t="shared" si="55"/>
        <v>313.95436800000004</v>
      </c>
      <c r="D12" s="2647">
        <f t="shared" si="43"/>
        <v>313.95436800000004</v>
      </c>
      <c r="E12" s="2647">
        <f t="shared" si="56"/>
        <v>596.63028431999999</v>
      </c>
      <c r="F12" s="2647">
        <f t="shared" si="56"/>
        <v>274.74220703999998</v>
      </c>
      <c r="G12" s="3552"/>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2579</v>
      </c>
      <c r="B13" s="2647">
        <f t="shared" si="55"/>
        <v>405.524</v>
      </c>
      <c r="C13" s="2647">
        <f t="shared" si="55"/>
        <v>307.79840000000002</v>
      </c>
      <c r="D13" s="2647">
        <f t="shared" si="43"/>
        <v>307.79840000000002</v>
      </c>
      <c r="E13" s="2647">
        <f t="shared" si="56"/>
        <v>574.67759999999998</v>
      </c>
      <c r="F13" s="2647">
        <f t="shared" si="56"/>
        <v>270.20280000000002</v>
      </c>
      <c r="G13" s="3553"/>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969</v>
      </c>
      <c r="B14" s="2639">
        <v>392</v>
      </c>
      <c r="C14" s="2639">
        <v>302</v>
      </c>
      <c r="D14" s="2639">
        <f t="shared" si="43"/>
        <v>302</v>
      </c>
      <c r="E14" s="2639">
        <v>553</v>
      </c>
      <c r="F14" s="2640">
        <v>266</v>
      </c>
      <c r="G14" s="3551">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968</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552"/>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958</v>
      </c>
      <c r="B16" s="2647">
        <f t="shared" si="64"/>
        <v>360.06949782209392</v>
      </c>
      <c r="C16" s="2647">
        <f t="shared" si="64"/>
        <v>289.84672674747821</v>
      </c>
      <c r="D16" s="2647">
        <f t="shared" si="65"/>
        <v>289.84672674747821</v>
      </c>
      <c r="E16" s="2647">
        <f t="shared" si="66"/>
        <v>501.06543001181495</v>
      </c>
      <c r="F16" s="2647">
        <f t="shared" si="66"/>
        <v>256.82882500744967</v>
      </c>
      <c r="G16" s="3552"/>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967</v>
      </c>
      <c r="B17" s="2647">
        <f t="shared" si="64"/>
        <v>346.720748986128</v>
      </c>
      <c r="C17" s="2647">
        <f t="shared" si="64"/>
        <v>284.30282172386285</v>
      </c>
      <c r="D17" s="2647">
        <f t="shared" si="65"/>
        <v>284.30282172386285</v>
      </c>
      <c r="E17" s="2647">
        <f t="shared" si="66"/>
        <v>479.58023546306947</v>
      </c>
      <c r="F17" s="2647">
        <f t="shared" si="66"/>
        <v>253.25788877571213</v>
      </c>
      <c r="G17" s="3555"/>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966</v>
      </c>
      <c r="B18" s="2639">
        <v>333</v>
      </c>
      <c r="C18" s="2639">
        <v>277</v>
      </c>
      <c r="D18" s="2639">
        <f t="shared" si="65"/>
        <v>277</v>
      </c>
      <c r="E18" s="2639">
        <v>459</v>
      </c>
      <c r="F18" s="2640">
        <v>249</v>
      </c>
      <c r="G18" s="3554">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965</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552"/>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964</v>
      </c>
      <c r="B20" s="2647">
        <f t="shared" si="68"/>
        <v>322.34053690220776</v>
      </c>
      <c r="C20" s="2647">
        <f t="shared" si="68"/>
        <v>271.46160770422546</v>
      </c>
      <c r="D20" s="2647">
        <f t="shared" si="65"/>
        <v>271.46160770422546</v>
      </c>
      <c r="E20" s="2647">
        <f t="shared" si="69"/>
        <v>442.69434542172456</v>
      </c>
      <c r="F20" s="2647">
        <f t="shared" si="69"/>
        <v>241.34030753190925</v>
      </c>
      <c r="G20" s="3552"/>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963</v>
      </c>
      <c r="B21" s="2647">
        <f t="shared" si="68"/>
        <v>319.87748030386797</v>
      </c>
      <c r="C21" s="2647">
        <f t="shared" si="68"/>
        <v>269.60135833173649</v>
      </c>
      <c r="D21" s="2647">
        <f t="shared" si="65"/>
        <v>269.60135833173649</v>
      </c>
      <c r="E21" s="2647">
        <f t="shared" si="69"/>
        <v>439.18089823583784</v>
      </c>
      <c r="F21" s="2647">
        <f t="shared" si="69"/>
        <v>239.23503918706311</v>
      </c>
      <c r="G21" s="3555"/>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962</v>
      </c>
      <c r="B22" s="2661">
        <v>318</v>
      </c>
      <c r="C22" s="2661">
        <v>268</v>
      </c>
      <c r="D22" s="2661">
        <f t="shared" si="65"/>
        <v>268</v>
      </c>
      <c r="E22" s="2661">
        <v>437</v>
      </c>
      <c r="F22" s="2662">
        <v>237</v>
      </c>
      <c r="G22" s="3554">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961</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552"/>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960</v>
      </c>
      <c r="B24" s="2647">
        <f t="shared" si="70"/>
        <v>314.72141172386546</v>
      </c>
      <c r="C24" s="2647">
        <f t="shared" si="70"/>
        <v>263.03901319069001</v>
      </c>
      <c r="D24" s="2647">
        <f t="shared" si="65"/>
        <v>263.03901319069001</v>
      </c>
      <c r="E24" s="2647">
        <f t="shared" si="71"/>
        <v>433.65745506782821</v>
      </c>
      <c r="F24" s="2647">
        <f t="shared" si="71"/>
        <v>233.23005080045735</v>
      </c>
      <c r="G24" s="3552"/>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959</v>
      </c>
      <c r="B25" s="2666">
        <f t="shared" si="70"/>
        <v>307.34512863658733</v>
      </c>
      <c r="C25" s="2666">
        <f t="shared" si="70"/>
        <v>257.80556031626975</v>
      </c>
      <c r="D25" s="2666">
        <f t="shared" si="65"/>
        <v>257.80556031626975</v>
      </c>
      <c r="E25" s="2666">
        <f t="shared" si="71"/>
        <v>422.70928459677179</v>
      </c>
      <c r="F25" s="2666">
        <f t="shared" si="71"/>
        <v>229.73803270336617</v>
      </c>
      <c r="G25" s="3555"/>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2637</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2580</v>
      </c>
      <c r="B26" s="2639">
        <v>299</v>
      </c>
      <c r="C26" s="2639">
        <v>252</v>
      </c>
      <c r="D26" s="2639">
        <f t="shared" si="65"/>
        <v>252</v>
      </c>
      <c r="E26" s="2639">
        <v>409</v>
      </c>
      <c r="F26" s="2640">
        <v>227</v>
      </c>
      <c r="G26" s="3559">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2581</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560"/>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2582</v>
      </c>
      <c r="B28" s="2647">
        <f t="shared" si="74"/>
        <v>288.2649053828776</v>
      </c>
      <c r="C28" s="2647">
        <f t="shared" si="74"/>
        <v>243.64564425013293</v>
      </c>
      <c r="D28" s="2647">
        <f t="shared" si="65"/>
        <v>243.64564425013293</v>
      </c>
      <c r="E28" s="2647">
        <f t="shared" si="75"/>
        <v>393.31080825986544</v>
      </c>
      <c r="F28" s="2647">
        <f t="shared" si="75"/>
        <v>223.07903790551154</v>
      </c>
      <c r="G28" s="3560"/>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2583</v>
      </c>
      <c r="B29" s="2647">
        <f t="shared" si="74"/>
        <v>282.50186729015837</v>
      </c>
      <c r="C29" s="2647">
        <f t="shared" si="74"/>
        <v>238.09796174155468</v>
      </c>
      <c r="D29" s="2647">
        <f t="shared" si="65"/>
        <v>238.09796174155468</v>
      </c>
      <c r="E29" s="2647">
        <f t="shared" si="75"/>
        <v>385.33438646014054</v>
      </c>
      <c r="F29" s="2647">
        <f t="shared" si="75"/>
        <v>221.55034055567739</v>
      </c>
      <c r="G29" s="3561"/>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2584</v>
      </c>
      <c r="B30" s="2677">
        <v>278</v>
      </c>
      <c r="C30" s="2677">
        <v>234</v>
      </c>
      <c r="D30" s="2677">
        <f t="shared" si="65"/>
        <v>234</v>
      </c>
      <c r="E30" s="2677">
        <v>379</v>
      </c>
      <c r="F30" s="2678">
        <v>220</v>
      </c>
      <c r="G30" s="3554">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2585</v>
      </c>
      <c r="B31" s="2647">
        <f>B30/(1+N30)</f>
        <v>275.49301357645425</v>
      </c>
      <c r="C31" s="2647">
        <f>C30/(1+O30)</f>
        <v>232.41954707985698</v>
      </c>
      <c r="D31" s="2647">
        <f t="shared" si="65"/>
        <v>232.41954707985698</v>
      </c>
      <c r="E31" s="2647">
        <f t="shared" ref="E31:F33" si="76">E30/(1+P30)</f>
        <v>375.32184591008121</v>
      </c>
      <c r="F31" s="2647">
        <f t="shared" si="76"/>
        <v>218.03766105054513</v>
      </c>
      <c r="G31" s="3552"/>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2586</v>
      </c>
      <c r="B32" s="2647">
        <f>B31/(1+N31)</f>
        <v>275.24529281292263</v>
      </c>
      <c r="C32" s="2647">
        <f>C31/(1+O31)</f>
        <v>231.74747938962707</v>
      </c>
      <c r="D32" s="2647">
        <f t="shared" si="65"/>
        <v>231.74747938962707</v>
      </c>
      <c r="E32" s="2647">
        <f t="shared" si="76"/>
        <v>375.35938184826603</v>
      </c>
      <c r="F32" s="2647">
        <f t="shared" si="76"/>
        <v>216.78033510692495</v>
      </c>
      <c r="G32" s="3552"/>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2587</v>
      </c>
      <c r="B33" s="2647">
        <f>B32/(1+N32)</f>
        <v>275.19025476197027</v>
      </c>
      <c r="C33" s="2679">
        <v>232</v>
      </c>
      <c r="D33" s="2679">
        <f t="shared" si="65"/>
        <v>232</v>
      </c>
      <c r="E33" s="2647">
        <f t="shared" si="76"/>
        <v>375.65990977608692</v>
      </c>
      <c r="F33" s="2647">
        <f t="shared" si="76"/>
        <v>214.12518283971252</v>
      </c>
      <c r="G33" s="3555"/>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2588</v>
      </c>
      <c r="B34" s="2639">
        <v>275</v>
      </c>
      <c r="C34" s="2639">
        <v>232</v>
      </c>
      <c r="D34" s="2639">
        <f t="shared" si="65"/>
        <v>232</v>
      </c>
      <c r="E34" s="2639">
        <v>376</v>
      </c>
      <c r="F34" s="2640">
        <v>213</v>
      </c>
      <c r="G34" s="3554">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2589</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552">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2590</v>
      </c>
      <c r="B36" s="2647">
        <f t="shared" si="77"/>
        <v>275.19335084830601</v>
      </c>
      <c r="C36" s="2647">
        <f t="shared" si="77"/>
        <v>230.18088050139744</v>
      </c>
      <c r="D36" s="2647">
        <f t="shared" si="65"/>
        <v>230.18088050139744</v>
      </c>
      <c r="E36" s="2647">
        <f t="shared" si="78"/>
        <v>377.58482925212331</v>
      </c>
      <c r="F36" s="2647">
        <f t="shared" si="78"/>
        <v>210.90687997847917</v>
      </c>
      <c r="G36" s="3552">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2591</v>
      </c>
      <c r="B37" s="2647">
        <f t="shared" si="77"/>
        <v>276.29854502841971</v>
      </c>
      <c r="C37" s="2647">
        <f t="shared" si="77"/>
        <v>229.79023709833027</v>
      </c>
      <c r="D37" s="2647">
        <f t="shared" si="65"/>
        <v>229.79023709833027</v>
      </c>
      <c r="E37" s="2647">
        <f t="shared" si="78"/>
        <v>379.78759731655936</v>
      </c>
      <c r="F37" s="2647">
        <f t="shared" si="78"/>
        <v>211.32953905659235</v>
      </c>
      <c r="G37" s="3555">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2592</v>
      </c>
      <c r="B38" s="2639">
        <v>269</v>
      </c>
      <c r="C38" s="2639">
        <v>221</v>
      </c>
      <c r="D38" s="2639">
        <f t="shared" si="65"/>
        <v>221</v>
      </c>
      <c r="E38" s="2639">
        <v>373</v>
      </c>
      <c r="F38" s="2640">
        <v>196</v>
      </c>
      <c r="G38" s="3554">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2593</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552">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2594</v>
      </c>
      <c r="B40" s="2647">
        <f t="shared" si="79"/>
        <v>242.95398227588385</v>
      </c>
      <c r="C40" s="2647">
        <f t="shared" si="79"/>
        <v>199.59137053614126</v>
      </c>
      <c r="D40" s="2647">
        <f t="shared" si="65"/>
        <v>199.59137053614126</v>
      </c>
      <c r="E40" s="2647">
        <f t="shared" si="80"/>
        <v>335.92189522342125</v>
      </c>
      <c r="F40" s="2647">
        <f t="shared" si="80"/>
        <v>183.10139991109489</v>
      </c>
      <c r="G40" s="3552">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2595</v>
      </c>
      <c r="B41" s="2647">
        <f t="shared" si="79"/>
        <v>232.06990378821649</v>
      </c>
      <c r="C41" s="2647">
        <f t="shared" si="79"/>
        <v>192.74878854286936</v>
      </c>
      <c r="D41" s="2647">
        <f t="shared" si="65"/>
        <v>192.74878854286936</v>
      </c>
      <c r="E41" s="2647">
        <f t="shared" si="80"/>
        <v>319.71247284992984</v>
      </c>
      <c r="F41" s="2647">
        <f t="shared" si="80"/>
        <v>175.67053622862409</v>
      </c>
      <c r="G41" s="3555">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2596</v>
      </c>
      <c r="B42" s="2639">
        <v>220</v>
      </c>
      <c r="C42" s="2639">
        <v>187</v>
      </c>
      <c r="D42" s="2639">
        <f t="shared" si="65"/>
        <v>187</v>
      </c>
      <c r="E42" s="2639">
        <v>301</v>
      </c>
      <c r="F42" s="2640">
        <v>168</v>
      </c>
      <c r="G42" s="3554">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2597</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552">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2598</v>
      </c>
      <c r="B44" s="2647">
        <f t="shared" si="81"/>
        <v>210.630522469011</v>
      </c>
      <c r="C44" s="2647">
        <f t="shared" si="81"/>
        <v>181.69567812247232</v>
      </c>
      <c r="D44" s="2647">
        <f t="shared" si="65"/>
        <v>181.69567812247232</v>
      </c>
      <c r="E44" s="2647">
        <f t="shared" si="82"/>
        <v>286.13517466736738</v>
      </c>
      <c r="F44" s="2647">
        <f t="shared" si="82"/>
        <v>165.47535084591149</v>
      </c>
      <c r="G44" s="3552">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2599</v>
      </c>
      <c r="B45" s="2647">
        <f t="shared" si="81"/>
        <v>208.83454537875372</v>
      </c>
      <c r="C45" s="2647">
        <f t="shared" si="81"/>
        <v>183.77230517090351</v>
      </c>
      <c r="D45" s="2647">
        <f t="shared" si="65"/>
        <v>183.77230517090351</v>
      </c>
      <c r="E45" s="2647">
        <f t="shared" si="82"/>
        <v>281.10342338870947</v>
      </c>
      <c r="F45" s="2647">
        <f t="shared" si="82"/>
        <v>168.97309388942256</v>
      </c>
      <c r="G45" s="3555">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2600</v>
      </c>
      <c r="B46" s="2677">
        <v>214</v>
      </c>
      <c r="C46" s="2677">
        <v>188</v>
      </c>
      <c r="D46" s="2677">
        <f t="shared" si="65"/>
        <v>188</v>
      </c>
      <c r="E46" s="2677">
        <v>289</v>
      </c>
      <c r="F46" s="2678">
        <v>166</v>
      </c>
      <c r="G46" s="3554">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2601</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552">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2602</v>
      </c>
      <c r="B48" s="2647">
        <f t="shared" si="83"/>
        <v>206.31694671589116</v>
      </c>
      <c r="C48" s="2647">
        <f t="shared" si="83"/>
        <v>183.61041121036101</v>
      </c>
      <c r="D48" s="2647">
        <f t="shared" si="65"/>
        <v>183.61041121036101</v>
      </c>
      <c r="E48" s="2647">
        <f t="shared" si="84"/>
        <v>276.66850301795557</v>
      </c>
      <c r="F48" s="2647">
        <f t="shared" si="84"/>
        <v>165.1360938278614</v>
      </c>
      <c r="G48" s="3552">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2603</v>
      </c>
      <c r="B49" s="2680">
        <f t="shared" si="83"/>
        <v>196.62341248059772</v>
      </c>
      <c r="C49" s="2680">
        <f t="shared" si="83"/>
        <v>170.99125648199012</v>
      </c>
      <c r="D49" s="2680">
        <f t="shared" si="65"/>
        <v>170.99125648199012</v>
      </c>
      <c r="E49" s="2680">
        <f t="shared" si="84"/>
        <v>266.07857570490052</v>
      </c>
      <c r="F49" s="2680">
        <f t="shared" si="84"/>
        <v>154.53499328828505</v>
      </c>
      <c r="G49" s="3555">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2604</v>
      </c>
      <c r="B50" s="2639">
        <v>188</v>
      </c>
      <c r="C50" s="2639">
        <v>165</v>
      </c>
      <c r="D50" s="2639">
        <f t="shared" si="65"/>
        <v>165</v>
      </c>
      <c r="E50" s="2639">
        <v>254</v>
      </c>
      <c r="F50" s="2640">
        <v>148</v>
      </c>
      <c r="G50" s="3554">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2605</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552">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2606</v>
      </c>
      <c r="B52" s="2647">
        <f t="shared" si="87"/>
        <v>168.82017748715555</v>
      </c>
      <c r="C52" s="2647">
        <f t="shared" si="87"/>
        <v>148.06267029972753</v>
      </c>
      <c r="D52" s="2647">
        <f t="shared" si="65"/>
        <v>148.06267029972753</v>
      </c>
      <c r="E52" s="2647">
        <f t="shared" si="88"/>
        <v>216.46288379323747</v>
      </c>
      <c r="F52" s="2647">
        <f t="shared" si="88"/>
        <v>134.23529411764704</v>
      </c>
      <c r="G52" s="3552">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2607</v>
      </c>
      <c r="B53" s="2647">
        <f t="shared" si="87"/>
        <v>163.84913591779542</v>
      </c>
      <c r="C53" s="2647">
        <f t="shared" si="87"/>
        <v>145.0283378746594</v>
      </c>
      <c r="D53" s="2647">
        <f t="shared" si="65"/>
        <v>145.0283378746594</v>
      </c>
      <c r="E53" s="2647">
        <f t="shared" si="88"/>
        <v>204.95180722891567</v>
      </c>
      <c r="F53" s="2647">
        <f t="shared" si="88"/>
        <v>125.95920303605313</v>
      </c>
      <c r="G53" s="3555">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2608</v>
      </c>
      <c r="B54" s="2661">
        <v>159</v>
      </c>
      <c r="C54" s="2661">
        <v>141</v>
      </c>
      <c r="D54" s="2661">
        <f t="shared" si="65"/>
        <v>141</v>
      </c>
      <c r="E54" s="2661">
        <v>195</v>
      </c>
      <c r="F54" s="2662">
        <v>122</v>
      </c>
      <c r="G54" s="3554">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2609</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552">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2610</v>
      </c>
      <c r="B56" s="2647">
        <f t="shared" si="91"/>
        <v>146.57412060301507</v>
      </c>
      <c r="C56" s="2647">
        <f t="shared" si="91"/>
        <v>136.46831955922866</v>
      </c>
      <c r="D56" s="2647">
        <f t="shared" si="65"/>
        <v>136.46831955922866</v>
      </c>
      <c r="E56" s="2647">
        <f t="shared" si="92"/>
        <v>166.73864894795128</v>
      </c>
      <c r="F56" s="2647">
        <f t="shared" si="92"/>
        <v>115.05882352941177</v>
      </c>
      <c r="G56" s="3552">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2611</v>
      </c>
      <c r="B57" s="2647">
        <f t="shared" si="91"/>
        <v>144.04145728643215</v>
      </c>
      <c r="C57" s="2647">
        <f t="shared" si="91"/>
        <v>136.12396694214877</v>
      </c>
      <c r="D57" s="2647">
        <f t="shared" si="65"/>
        <v>136.12396694214877</v>
      </c>
      <c r="E57" s="2647">
        <f t="shared" si="92"/>
        <v>158.32225913621264</v>
      </c>
      <c r="F57" s="2647">
        <f t="shared" si="92"/>
        <v>114.04278074866311</v>
      </c>
      <c r="G57" s="3555">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2612</v>
      </c>
      <c r="B58" s="2661">
        <v>138</v>
      </c>
      <c r="C58" s="2661">
        <v>131</v>
      </c>
      <c r="D58" s="2661">
        <f t="shared" si="65"/>
        <v>131</v>
      </c>
      <c r="E58" s="2661">
        <v>155</v>
      </c>
      <c r="F58" s="2662">
        <v>114</v>
      </c>
      <c r="G58" s="3554">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2613</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552">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2614</v>
      </c>
      <c r="B60" s="2647">
        <f t="shared" si="95"/>
        <v>124.29032258064517</v>
      </c>
      <c r="C60" s="2647">
        <f t="shared" si="95"/>
        <v>123.8968609865471</v>
      </c>
      <c r="D60" s="2647">
        <f t="shared" si="65"/>
        <v>123.8968609865471</v>
      </c>
      <c r="E60" s="2647">
        <f t="shared" si="96"/>
        <v>138.00507614213197</v>
      </c>
      <c r="F60" s="2647">
        <f t="shared" si="96"/>
        <v>107.96106557377048</v>
      </c>
      <c r="G60" s="3552">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2615</v>
      </c>
      <c r="B61" s="2647">
        <f t="shared" si="95"/>
        <v>122.57204301075269</v>
      </c>
      <c r="C61" s="2647">
        <f t="shared" si="95"/>
        <v>123.4932735426009</v>
      </c>
      <c r="D61" s="2647">
        <f t="shared" si="65"/>
        <v>123.4932735426009</v>
      </c>
      <c r="E61" s="2647">
        <f t="shared" si="96"/>
        <v>129.82233502538071</v>
      </c>
      <c r="F61" s="2647">
        <f t="shared" si="96"/>
        <v>107.39446721311475</v>
      </c>
      <c r="G61" s="3555">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2616</v>
      </c>
      <c r="B62" s="2677">
        <v>121</v>
      </c>
      <c r="C62" s="2677">
        <v>122</v>
      </c>
      <c r="D62" s="2677">
        <f t="shared" si="65"/>
        <v>122</v>
      </c>
      <c r="E62" s="2677">
        <v>124</v>
      </c>
      <c r="F62" s="2678">
        <v>107</v>
      </c>
      <c r="G62" s="3554">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2617</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552">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2618</v>
      </c>
      <c r="B64" s="2647">
        <f t="shared" si="99"/>
        <v>116.99099099099099</v>
      </c>
      <c r="C64" s="2647">
        <f t="shared" si="99"/>
        <v>118.84848484848486</v>
      </c>
      <c r="D64" s="2647">
        <f t="shared" si="65"/>
        <v>118.84848484848486</v>
      </c>
      <c r="E64" s="2647">
        <f t="shared" si="100"/>
        <v>117.60960960960961</v>
      </c>
      <c r="F64" s="2647">
        <f t="shared" si="100"/>
        <v>104</v>
      </c>
      <c r="G64" s="3552">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2619</v>
      </c>
      <c r="B65" s="2680">
        <f t="shared" si="99"/>
        <v>112.48648648648648</v>
      </c>
      <c r="C65" s="2680">
        <f t="shared" si="99"/>
        <v>115.21212121212122</v>
      </c>
      <c r="D65" s="2680">
        <f t="shared" si="65"/>
        <v>115.21212121212122</v>
      </c>
      <c r="E65" s="2680">
        <f t="shared" si="100"/>
        <v>110.4024024024024</v>
      </c>
      <c r="F65" s="2680">
        <f t="shared" si="100"/>
        <v>104</v>
      </c>
      <c r="G65" s="3555">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2620</v>
      </c>
      <c r="B66" s="2698">
        <v>111</v>
      </c>
      <c r="C66" s="2698">
        <v>114</v>
      </c>
      <c r="D66" s="2698">
        <f t="shared" si="65"/>
        <v>114</v>
      </c>
      <c r="E66" s="2698">
        <v>108</v>
      </c>
      <c r="F66" s="2699">
        <v>104</v>
      </c>
      <c r="G66" s="3554">
        <v>2003</v>
      </c>
      <c r="H66" s="2688">
        <v>4</v>
      </c>
      <c r="I66" s="2700"/>
      <c r="J66" s="2700"/>
      <c r="K66" s="2700"/>
      <c r="L66" s="2700"/>
      <c r="N66" s="2701"/>
      <c r="O66" s="2700"/>
      <c r="P66" s="2700"/>
      <c r="Q66" s="2700"/>
      <c r="S66" s="2701"/>
      <c r="T66" s="2700"/>
      <c r="U66" s="2700"/>
      <c r="V66" s="2700"/>
      <c r="X66" s="2692"/>
      <c r="Y66" s="2692"/>
      <c r="Z66" s="2692"/>
    </row>
    <row r="67" spans="1:26">
      <c r="A67" s="2634" t="s">
        <v>2621</v>
      </c>
      <c r="B67" s="2702">
        <f t="shared" ref="B67:C69" si="101">B68+(B$66-B$70)/4</f>
        <v>109.75</v>
      </c>
      <c r="C67" s="2702">
        <f t="shared" si="101"/>
        <v>112.25</v>
      </c>
      <c r="D67" s="2702">
        <f t="shared" si="65"/>
        <v>112.25</v>
      </c>
      <c r="E67" s="2702">
        <f t="shared" ref="E67:F69" si="102">E68+(E$66-E$70)/4</f>
        <v>107.25</v>
      </c>
      <c r="F67" s="2702">
        <f t="shared" si="102"/>
        <v>103.5</v>
      </c>
      <c r="G67" s="3552">
        <v>2003</v>
      </c>
      <c r="H67" s="2658">
        <v>3</v>
      </c>
      <c r="I67" s="2700"/>
      <c r="J67" s="2700"/>
      <c r="K67" s="2700"/>
      <c r="L67" s="2700"/>
      <c r="X67" s="2692"/>
      <c r="Y67" s="2692"/>
      <c r="Z67" s="2692"/>
    </row>
    <row r="68" spans="1:26">
      <c r="A68" s="2634" t="s">
        <v>2622</v>
      </c>
      <c r="B68" s="2702">
        <f t="shared" si="101"/>
        <v>108.5</v>
      </c>
      <c r="C68" s="2702">
        <f t="shared" si="101"/>
        <v>110.5</v>
      </c>
      <c r="D68" s="2702">
        <f t="shared" si="65"/>
        <v>110.5</v>
      </c>
      <c r="E68" s="2702">
        <f t="shared" si="102"/>
        <v>106.5</v>
      </c>
      <c r="F68" s="2702">
        <f t="shared" si="102"/>
        <v>103</v>
      </c>
      <c r="G68" s="3552">
        <v>2003</v>
      </c>
      <c r="H68" s="2638">
        <v>2</v>
      </c>
      <c r="I68" s="2700"/>
      <c r="J68" s="2700"/>
      <c r="K68" s="2700"/>
      <c r="L68" s="2700"/>
      <c r="X68" s="2692"/>
      <c r="Y68" s="2692"/>
      <c r="Z68" s="2692"/>
    </row>
    <row r="69" spans="1:26" ht="13.5" thickBot="1">
      <c r="A69" s="2634" t="s">
        <v>2623</v>
      </c>
      <c r="B69" s="2702">
        <f t="shared" si="101"/>
        <v>107.25</v>
      </c>
      <c r="C69" s="2702">
        <f t="shared" si="101"/>
        <v>108.75</v>
      </c>
      <c r="D69" s="2702">
        <f t="shared" si="65"/>
        <v>108.75</v>
      </c>
      <c r="E69" s="2702">
        <f t="shared" si="102"/>
        <v>105.75</v>
      </c>
      <c r="F69" s="2702">
        <f t="shared" si="102"/>
        <v>102.5</v>
      </c>
      <c r="G69" s="3555">
        <v>2003</v>
      </c>
      <c r="H69" s="2703">
        <v>1</v>
      </c>
      <c r="I69" s="2700"/>
      <c r="J69" s="2700"/>
      <c r="K69" s="2700"/>
      <c r="L69" s="2700"/>
      <c r="S69" s="2642"/>
      <c r="T69" s="2643"/>
      <c r="U69" s="2643"/>
      <c r="X69" s="2692"/>
      <c r="Y69" s="2692"/>
      <c r="Z69" s="2692"/>
    </row>
    <row r="70" spans="1:26" ht="13.5" thickBot="1">
      <c r="A70" s="2634" t="s">
        <v>2624</v>
      </c>
      <c r="B70" s="2704">
        <v>106</v>
      </c>
      <c r="C70" s="2704">
        <v>107</v>
      </c>
      <c r="D70" s="2704">
        <f t="shared" si="65"/>
        <v>107</v>
      </c>
      <c r="E70" s="2704">
        <v>105</v>
      </c>
      <c r="F70" s="2705">
        <v>102</v>
      </c>
      <c r="G70" s="3554">
        <v>2002</v>
      </c>
      <c r="H70" s="2653">
        <v>4</v>
      </c>
      <c r="I70" s="2700"/>
      <c r="J70" s="2700"/>
      <c r="K70" s="2700"/>
      <c r="L70" s="2700"/>
      <c r="N70" s="2701"/>
      <c r="O70" s="2700"/>
      <c r="P70" s="2700"/>
      <c r="Q70" s="2700"/>
      <c r="S70" s="2701"/>
      <c r="T70" s="2700"/>
      <c r="U70" s="2700"/>
      <c r="V70" s="2700"/>
      <c r="X70" s="2692"/>
      <c r="Y70" s="2692"/>
      <c r="Z70" s="2692"/>
    </row>
    <row r="71" spans="1:26">
      <c r="A71" s="2634" t="s">
        <v>2625</v>
      </c>
      <c r="B71" s="2702">
        <f t="shared" ref="B71:C73" si="103">B72+(B$70-B$74)/4</f>
        <v>105</v>
      </c>
      <c r="C71" s="2702">
        <f t="shared" si="103"/>
        <v>106</v>
      </c>
      <c r="D71" s="2702">
        <f t="shared" si="65"/>
        <v>106</v>
      </c>
      <c r="E71" s="2702">
        <f t="shared" ref="E71:F73" si="104">E72+(E$70-E$74)/4</f>
        <v>104.5</v>
      </c>
      <c r="F71" s="2702">
        <f t="shared" si="104"/>
        <v>101.5</v>
      </c>
      <c r="G71" s="3552">
        <v>2002</v>
      </c>
      <c r="H71" s="2658">
        <v>3</v>
      </c>
      <c r="I71" s="2700"/>
      <c r="J71" s="2700"/>
      <c r="K71" s="2700"/>
      <c r="L71" s="2700"/>
      <c r="X71" s="2692"/>
      <c r="Y71" s="2692"/>
      <c r="Z71" s="2692"/>
    </row>
    <row r="72" spans="1:26">
      <c r="A72" s="2634" t="s">
        <v>2626</v>
      </c>
      <c r="B72" s="2702">
        <f t="shared" si="103"/>
        <v>104</v>
      </c>
      <c r="C72" s="2702">
        <f t="shared" si="103"/>
        <v>105</v>
      </c>
      <c r="D72" s="2702">
        <f t="shared" si="65"/>
        <v>105</v>
      </c>
      <c r="E72" s="2702">
        <f t="shared" si="104"/>
        <v>104</v>
      </c>
      <c r="F72" s="2702">
        <f t="shared" si="104"/>
        <v>101</v>
      </c>
      <c r="G72" s="3552">
        <v>2002</v>
      </c>
      <c r="H72" s="2638">
        <v>2</v>
      </c>
      <c r="I72" s="2700"/>
      <c r="J72" s="2700"/>
      <c r="K72" s="2700"/>
      <c r="L72" s="2700"/>
      <c r="X72" s="2692"/>
      <c r="Y72" s="2692"/>
      <c r="Z72" s="2692"/>
    </row>
    <row r="73" spans="1:26" s="2669" customFormat="1" ht="13.5" thickBot="1">
      <c r="A73" s="2665" t="s">
        <v>2627</v>
      </c>
      <c r="B73" s="2706">
        <f t="shared" si="103"/>
        <v>103</v>
      </c>
      <c r="C73" s="2706">
        <f t="shared" si="103"/>
        <v>104</v>
      </c>
      <c r="D73" s="2706">
        <f t="shared" si="65"/>
        <v>104</v>
      </c>
      <c r="E73" s="2706">
        <f t="shared" si="104"/>
        <v>103.5</v>
      </c>
      <c r="F73" s="2706">
        <f t="shared" si="104"/>
        <v>100.5</v>
      </c>
      <c r="G73" s="3555">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2628</v>
      </c>
      <c r="G76" s="2716"/>
      <c r="N76" s="2716"/>
      <c r="S76" s="2716"/>
    </row>
    <row r="77" spans="1:26" s="2715" customFormat="1">
      <c r="A77" s="2715" t="s">
        <v>2629</v>
      </c>
      <c r="G77" s="2716"/>
      <c r="N77" s="2716"/>
      <c r="S77" s="2716"/>
    </row>
    <row r="78" spans="1:26" s="2715" customFormat="1">
      <c r="A78" s="2715" t="s">
        <v>2630</v>
      </c>
      <c r="G78" s="2716"/>
      <c r="I78" s="2717"/>
      <c r="J78" s="2717"/>
      <c r="K78" s="2717"/>
      <c r="L78" s="2717"/>
      <c r="N78" s="2718"/>
      <c r="O78" s="2717"/>
      <c r="P78" s="2717"/>
      <c r="Q78" s="2717"/>
      <c r="S78" s="2718"/>
      <c r="T78" s="2717"/>
      <c r="U78" s="2717"/>
      <c r="V78" s="2717"/>
    </row>
    <row r="79" spans="1:26" s="2715" customFormat="1">
      <c r="A79" s="2715" t="s">
        <v>2631</v>
      </c>
      <c r="G79" s="2716"/>
      <c r="N79" s="2716"/>
      <c r="S79" s="2716"/>
    </row>
    <row r="86" spans="7:22" ht="13.5" thickBot="1"/>
    <row r="87" spans="7:22">
      <c r="G87" s="2641"/>
      <c r="S87" s="2719" t="s">
        <v>2632</v>
      </c>
      <c r="T87" s="2720" t="s">
        <v>2633</v>
      </c>
      <c r="U87" s="2720" t="s">
        <v>2634</v>
      </c>
      <c r="V87" s="2720" t="s">
        <v>2635</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2" t="s">
        <v>2468</v>
      </c>
      <c r="B1" s="3563"/>
      <c r="C1" s="3564"/>
      <c r="D1" s="3565">
        <f>SUM(I10,I15,I20,I21,I23)</f>
        <v>0</v>
      </c>
      <c r="E1" s="3565"/>
      <c r="F1" s="3565"/>
      <c r="G1" s="3565"/>
      <c r="H1" s="3565"/>
      <c r="I1" s="3566"/>
    </row>
    <row r="2" spans="1:9">
      <c r="A2" s="3567" t="s">
        <v>2469</v>
      </c>
      <c r="B2" s="3568" t="s">
        <v>2470</v>
      </c>
      <c r="C2" s="3568"/>
      <c r="D2" s="2486" t="s">
        <v>2471</v>
      </c>
      <c r="E2" s="2486" t="s">
        <v>2472</v>
      </c>
      <c r="F2" s="2486" t="s">
        <v>2473</v>
      </c>
      <c r="G2" s="2486" t="s">
        <v>2474</v>
      </c>
      <c r="H2" s="2486" t="s">
        <v>2475</v>
      </c>
      <c r="I2" s="2487" t="s">
        <v>2476</v>
      </c>
    </row>
    <row r="3" spans="1:9">
      <c r="A3" s="3567"/>
      <c r="B3" s="3568" t="s">
        <v>2477</v>
      </c>
      <c r="C3" s="3568"/>
      <c r="D3" s="2488"/>
      <c r="E3" s="2486"/>
      <c r="F3" s="2489"/>
      <c r="G3" s="2489"/>
      <c r="H3" s="2490"/>
      <c r="I3" s="2491">
        <f>ROUND(D3*E3*F3*G3*H3/10000,0)</f>
        <v>0</v>
      </c>
    </row>
    <row r="4" spans="1:9">
      <c r="A4" s="3567"/>
      <c r="B4" s="3568" t="s">
        <v>2478</v>
      </c>
      <c r="C4" s="3568"/>
      <c r="D4" s="2488"/>
      <c r="E4" s="2486"/>
      <c r="F4" s="2489"/>
      <c r="G4" s="2489"/>
      <c r="H4" s="2490"/>
      <c r="I4" s="2491">
        <f t="shared" ref="I4:I9" si="0">ROUND(D4*E4*F4*G4*H4/10000,0)</f>
        <v>0</v>
      </c>
    </row>
    <row r="5" spans="1:9">
      <c r="A5" s="3567"/>
      <c r="B5" s="3568" t="s">
        <v>2479</v>
      </c>
      <c r="C5" s="3568"/>
      <c r="D5" s="2488"/>
      <c r="E5" s="2486"/>
      <c r="F5" s="2489"/>
      <c r="G5" s="2489"/>
      <c r="H5" s="2490"/>
      <c r="I5" s="2491">
        <f t="shared" si="0"/>
        <v>0</v>
      </c>
    </row>
    <row r="6" spans="1:9">
      <c r="A6" s="3567"/>
      <c r="B6" s="3568" t="s">
        <v>2480</v>
      </c>
      <c r="C6" s="3568"/>
      <c r="D6" s="2488"/>
      <c r="E6" s="2486"/>
      <c r="F6" s="2489"/>
      <c r="G6" s="2489"/>
      <c r="H6" s="2490"/>
      <c r="I6" s="2491">
        <f t="shared" si="0"/>
        <v>0</v>
      </c>
    </row>
    <row r="7" spans="1:9">
      <c r="A7" s="3567"/>
      <c r="B7" s="3568" t="s">
        <v>2481</v>
      </c>
      <c r="C7" s="3568"/>
      <c r="D7" s="2488"/>
      <c r="E7" s="2486"/>
      <c r="F7" s="2489"/>
      <c r="G7" s="2489"/>
      <c r="H7" s="2490"/>
      <c r="I7" s="2491">
        <f t="shared" si="0"/>
        <v>0</v>
      </c>
    </row>
    <row r="8" spans="1:9">
      <c r="A8" s="3567"/>
      <c r="B8" s="3568" t="s">
        <v>2482</v>
      </c>
      <c r="C8" s="3568"/>
      <c r="D8" s="2488"/>
      <c r="E8" s="2486"/>
      <c r="F8" s="2489"/>
      <c r="G8" s="2489"/>
      <c r="H8" s="2490"/>
      <c r="I8" s="2491">
        <f t="shared" si="0"/>
        <v>0</v>
      </c>
    </row>
    <row r="9" spans="1:9">
      <c r="A9" s="3567"/>
      <c r="B9" s="3568" t="s">
        <v>2483</v>
      </c>
      <c r="C9" s="3568"/>
      <c r="D9" s="2488"/>
      <c r="E9" s="2486"/>
      <c r="F9" s="2489"/>
      <c r="G9" s="2489"/>
      <c r="H9" s="2490"/>
      <c r="I9" s="2491">
        <f t="shared" si="0"/>
        <v>0</v>
      </c>
    </row>
    <row r="10" spans="1:9">
      <c r="A10" s="3567"/>
      <c r="B10" s="3569" t="s">
        <v>2484</v>
      </c>
      <c r="C10" s="3569"/>
      <c r="D10" s="2492">
        <v>527</v>
      </c>
      <c r="E10" s="2492" t="e">
        <f>ROUND(D1*10000/D10/H9,0)</f>
        <v>#DIV/0!</v>
      </c>
      <c r="F10" s="2493"/>
      <c r="G10" s="2493"/>
      <c r="H10" s="2494"/>
      <c r="I10" s="2495">
        <f>SUM(I3:I9)</f>
        <v>0</v>
      </c>
    </row>
    <row r="11" spans="1:9" ht="14.25">
      <c r="A11" s="3567" t="s">
        <v>2485</v>
      </c>
      <c r="B11" s="3568" t="s">
        <v>2486</v>
      </c>
      <c r="C11" s="3568"/>
      <c r="D11" s="2488" t="s">
        <v>2487</v>
      </c>
      <c r="E11" s="2488" t="s">
        <v>2488</v>
      </c>
      <c r="F11" s="2489" t="s">
        <v>2489</v>
      </c>
      <c r="G11" s="2489" t="s">
        <v>2490</v>
      </c>
      <c r="H11" s="2496" t="s">
        <v>2491</v>
      </c>
      <c r="I11" s="2487" t="s">
        <v>2492</v>
      </c>
    </row>
    <row r="12" spans="1:9">
      <c r="A12" s="3567"/>
      <c r="B12" s="3568" t="s">
        <v>2493</v>
      </c>
      <c r="C12" s="3568"/>
      <c r="D12" s="2488"/>
      <c r="E12" s="2488"/>
      <c r="F12" s="2489"/>
      <c r="G12" s="2490"/>
      <c r="H12" s="2497"/>
      <c r="I12" s="2487">
        <f>ROUND(D12*E12*F12*G12/10000,0)</f>
        <v>0</v>
      </c>
    </row>
    <row r="13" spans="1:9">
      <c r="A13" s="3567"/>
      <c r="B13" s="3568" t="s">
        <v>2494</v>
      </c>
      <c r="C13" s="3568"/>
      <c r="D13" s="2488"/>
      <c r="E13" s="2488"/>
      <c r="F13" s="2489"/>
      <c r="G13" s="2490"/>
      <c r="H13" s="2497"/>
      <c r="I13" s="2487">
        <f>ROUND(D13*E13*F13*G13/10000,0)</f>
        <v>0</v>
      </c>
    </row>
    <row r="14" spans="1:9">
      <c r="A14" s="3567"/>
      <c r="B14" s="3568" t="s">
        <v>2495</v>
      </c>
      <c r="C14" s="3568"/>
      <c r="D14" s="2488"/>
      <c r="E14" s="2488"/>
      <c r="F14" s="2489"/>
      <c r="G14" s="2490"/>
      <c r="H14" s="2497"/>
      <c r="I14" s="2487">
        <f>ROUND(D14*E14*F14*G14/10000,0)</f>
        <v>0</v>
      </c>
    </row>
    <row r="15" spans="1:9">
      <c r="A15" s="3567"/>
      <c r="B15" s="3569" t="s">
        <v>2484</v>
      </c>
      <c r="C15" s="3569"/>
      <c r="D15" s="2492"/>
      <c r="E15" s="2492">
        <f>SUM(E12:E14)</f>
        <v>0</v>
      </c>
      <c r="F15" s="2493"/>
      <c r="G15" s="2490"/>
      <c r="H15" s="2497"/>
      <c r="I15" s="2498">
        <f>SUM(I12:I14)</f>
        <v>0</v>
      </c>
    </row>
    <row r="16" spans="1:9" ht="24">
      <c r="A16" s="3567" t="s">
        <v>2496</v>
      </c>
      <c r="B16" s="3568" t="s">
        <v>2497</v>
      </c>
      <c r="C16" s="3568"/>
      <c r="D16" s="2488" t="s">
        <v>2498</v>
      </c>
      <c r="E16" s="2499" t="s">
        <v>2499</v>
      </c>
      <c r="F16" s="2489" t="s">
        <v>2500</v>
      </c>
      <c r="G16" s="2490" t="s">
        <v>2490</v>
      </c>
      <c r="H16" s="2496" t="s">
        <v>2491</v>
      </c>
      <c r="I16" s="2487" t="s">
        <v>2492</v>
      </c>
    </row>
    <row r="17" spans="1:9" ht="14.25">
      <c r="A17" s="3567"/>
      <c r="B17" s="3568" t="s">
        <v>2501</v>
      </c>
      <c r="C17" s="3568"/>
      <c r="D17" s="2488"/>
      <c r="E17" s="2488"/>
      <c r="F17" s="2489"/>
      <c r="G17" s="2490"/>
      <c r="H17" s="2500"/>
      <c r="I17" s="2501">
        <f>ROUND(D17*E17*F17*G17/10000,0)</f>
        <v>0</v>
      </c>
    </row>
    <row r="18" spans="1:9" ht="14.25">
      <c r="A18" s="3567"/>
      <c r="B18" s="3568" t="s">
        <v>2502</v>
      </c>
      <c r="C18" s="3568"/>
      <c r="D18" s="2488"/>
      <c r="E18" s="2488"/>
      <c r="F18" s="2489"/>
      <c r="G18" s="2490"/>
      <c r="H18" s="2500"/>
      <c r="I18" s="2501">
        <f>ROUND(D18*E18*F18*G18/10000,0)</f>
        <v>0</v>
      </c>
    </row>
    <row r="19" spans="1:9" ht="14.25">
      <c r="A19" s="3567"/>
      <c r="B19" s="3568" t="s">
        <v>2503</v>
      </c>
      <c r="C19" s="3568"/>
      <c r="D19" s="2488"/>
      <c r="E19" s="2488"/>
      <c r="F19" s="2489"/>
      <c r="G19" s="2490"/>
      <c r="H19" s="2500"/>
      <c r="I19" s="2501">
        <f>ROUND(D19*E19*F19*G19/10000,0)</f>
        <v>0</v>
      </c>
    </row>
    <row r="20" spans="1:9">
      <c r="A20" s="3567"/>
      <c r="B20" s="3569" t="s">
        <v>2484</v>
      </c>
      <c r="C20" s="3569"/>
      <c r="D20" s="2492">
        <f>SUM(D17:D19)</f>
        <v>0</v>
      </c>
      <c r="E20" s="2492"/>
      <c r="F20" s="2493"/>
      <c r="G20" s="2490"/>
      <c r="H20" s="2497"/>
      <c r="I20" s="2498">
        <f>SUM(I17:I19)</f>
        <v>0</v>
      </c>
    </row>
    <row r="21" spans="1:9">
      <c r="A21" s="3567" t="s">
        <v>2504</v>
      </c>
      <c r="B21" s="3571"/>
      <c r="C21" s="3571"/>
      <c r="D21" s="3571"/>
      <c r="E21" s="3571"/>
      <c r="F21" s="3571"/>
      <c r="G21" s="3571"/>
      <c r="H21" s="2502">
        <v>0.1</v>
      </c>
      <c r="I21" s="2495">
        <f>ROUND(I10*H21,0)</f>
        <v>0</v>
      </c>
    </row>
    <row r="22" spans="1:9" ht="14.25">
      <c r="A22" s="3572" t="s">
        <v>2505</v>
      </c>
      <c r="B22" s="3573"/>
      <c r="C22" s="3574"/>
      <c r="D22" s="2503" t="s">
        <v>2506</v>
      </c>
      <c r="E22" s="2503" t="s">
        <v>2507</v>
      </c>
      <c r="F22" s="2504" t="s">
        <v>2508</v>
      </c>
      <c r="G22" s="2504" t="s">
        <v>2509</v>
      </c>
      <c r="H22" s="2496" t="s">
        <v>2510</v>
      </c>
      <c r="I22" s="2487" t="s">
        <v>2511</v>
      </c>
    </row>
    <row r="23" spans="1:9" ht="14.25" thickBot="1">
      <c r="A23" s="3575"/>
      <c r="B23" s="3576"/>
      <c r="C23" s="3577"/>
      <c r="D23" s="2505"/>
      <c r="E23" s="2505"/>
      <c r="F23" s="2505"/>
      <c r="G23" s="2506"/>
      <c r="H23" s="2507"/>
      <c r="I23" s="2508">
        <f>ROUND(E23*D23*F23*(1-G23)/10000,0)</f>
        <v>0</v>
      </c>
    </row>
    <row r="26" spans="1:9">
      <c r="A26" s="2509" t="s">
        <v>2512</v>
      </c>
      <c r="B26" s="2509"/>
      <c r="C26" s="2509"/>
      <c r="D26" s="2509"/>
      <c r="E26" s="3578">
        <f>C27-C30-C31-C32</f>
        <v>0</v>
      </c>
      <c r="F26" s="3578"/>
      <c r="G26" s="3578"/>
      <c r="H26" s="3019" t="s">
        <v>2840</v>
      </c>
    </row>
    <row r="27" spans="1:9">
      <c r="A27" s="2510">
        <v>1</v>
      </c>
      <c r="B27" s="2511" t="s">
        <v>2513</v>
      </c>
      <c r="C27" s="2511"/>
      <c r="D27" s="2511"/>
      <c r="E27" s="3579"/>
      <c r="F27" s="3579"/>
      <c r="G27" s="3579"/>
    </row>
    <row r="28" spans="1:9">
      <c r="A28" s="2512" t="s">
        <v>2514</v>
      </c>
      <c r="B28" s="2511" t="s">
        <v>2515</v>
      </c>
      <c r="C28" s="2511"/>
      <c r="D28" s="2511"/>
      <c r="E28" s="3579"/>
      <c r="F28" s="3579"/>
      <c r="G28" s="3579"/>
    </row>
    <row r="29" spans="1:9">
      <c r="A29" s="2512" t="s">
        <v>2516</v>
      </c>
      <c r="B29" s="2511" t="s">
        <v>2457</v>
      </c>
      <c r="C29" s="2511"/>
      <c r="D29" s="2511"/>
      <c r="E29" s="2511" t="s">
        <v>2517</v>
      </c>
      <c r="F29" s="2511"/>
      <c r="G29" s="2511"/>
    </row>
    <row r="30" spans="1:9">
      <c r="A30" s="2510">
        <v>2</v>
      </c>
      <c r="B30" s="2511" t="s">
        <v>2518</v>
      </c>
      <c r="C30" s="2511">
        <f>C27*D30</f>
        <v>0</v>
      </c>
      <c r="D30" s="2513">
        <v>0.2</v>
      </c>
      <c r="E30" s="2511" t="s">
        <v>2519</v>
      </c>
      <c r="F30" s="2511"/>
      <c r="G30" s="2511"/>
    </row>
    <row r="31" spans="1:9">
      <c r="A31" s="2510">
        <v>3</v>
      </c>
      <c r="B31" s="2511" t="s">
        <v>2520</v>
      </c>
      <c r="C31" s="2511">
        <f>C25*D31</f>
        <v>0</v>
      </c>
      <c r="D31" s="2513">
        <v>0.15</v>
      </c>
      <c r="E31" s="2511" t="s">
        <v>2521</v>
      </c>
      <c r="F31" s="2511"/>
      <c r="G31" s="2511"/>
    </row>
    <row r="32" spans="1:9">
      <c r="A32" s="2510">
        <v>4</v>
      </c>
      <c r="B32" s="2511" t="s">
        <v>2522</v>
      </c>
      <c r="C32" s="2511">
        <f>C27*D32</f>
        <v>0</v>
      </c>
      <c r="D32" s="2513">
        <v>0.05</v>
      </c>
      <c r="E32" s="3570"/>
      <c r="F32" s="3570"/>
      <c r="G32" s="3570"/>
    </row>
    <row r="33" spans="1:7" hidden="1">
      <c r="A33" s="3580" t="s">
        <v>2523</v>
      </c>
      <c r="B33" s="3581"/>
      <c r="C33" s="3581"/>
      <c r="D33" s="3582"/>
      <c r="E33" s="3578"/>
      <c r="F33" s="3578"/>
      <c r="G33" s="3578"/>
    </row>
    <row r="34" spans="1:7" hidden="1">
      <c r="A34" s="2514">
        <v>1</v>
      </c>
      <c r="B34" s="2511" t="s">
        <v>2524</v>
      </c>
      <c r="C34" s="2511"/>
      <c r="D34" s="2511"/>
      <c r="E34" s="3579"/>
      <c r="F34" s="3579"/>
      <c r="G34" s="3579"/>
    </row>
    <row r="35" spans="1:7" hidden="1">
      <c r="A35" s="2514">
        <v>2</v>
      </c>
      <c r="B35" s="2511" t="s">
        <v>2525</v>
      </c>
      <c r="C35" s="2511"/>
      <c r="D35" s="2511"/>
      <c r="E35" s="3579"/>
      <c r="F35" s="3579"/>
      <c r="G35" s="3579"/>
    </row>
    <row r="36" spans="1:7" hidden="1">
      <c r="A36" s="2514">
        <v>3</v>
      </c>
      <c r="B36" s="2511" t="s">
        <v>2526</v>
      </c>
      <c r="C36" s="2511"/>
      <c r="D36" s="2511"/>
      <c r="E36" s="3579"/>
      <c r="F36" s="3579"/>
      <c r="G36" s="3579"/>
    </row>
    <row r="37" spans="1:7" hidden="1">
      <c r="A37" s="2514">
        <v>4</v>
      </c>
      <c r="B37" s="2511" t="s">
        <v>2527</v>
      </c>
      <c r="C37" s="2511"/>
      <c r="D37" s="2511"/>
      <c r="E37" s="3579"/>
      <c r="F37" s="3579"/>
      <c r="G37" s="3579"/>
    </row>
    <row r="38" spans="1:7" hidden="1">
      <c r="A38" s="3580" t="s">
        <v>2528</v>
      </c>
      <c r="B38" s="3581"/>
      <c r="C38" s="3581"/>
      <c r="D38" s="3582"/>
      <c r="E38" s="3578"/>
      <c r="F38" s="3578"/>
      <c r="G38" s="35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601</v>
      </c>
      <c r="B1" s="742"/>
      <c r="C1" s="2182"/>
      <c r="D1" s="2182"/>
      <c r="E1" s="2182"/>
      <c r="F1" s="2182"/>
      <c r="G1" s="2108"/>
    </row>
    <row r="2" spans="1:25" s="2059" customFormat="1" ht="18" customHeight="1">
      <c r="A2" s="423" t="s">
        <v>465</v>
      </c>
      <c r="B2" s="425">
        <f ca="1">C23</f>
        <v>0</v>
      </c>
      <c r="C2" s="2108"/>
      <c r="D2" s="2108"/>
      <c r="E2" s="2108"/>
      <c r="F2" s="2108"/>
      <c r="G2" s="2108"/>
    </row>
    <row r="3" spans="1:25" s="2059" customFormat="1" ht="18" customHeight="1">
      <c r="A3" s="1380" t="s">
        <v>1684</v>
      </c>
      <c r="B3" s="425">
        <f ca="1">ROUND(B2*10000/'数据-汇总表'!E3,0)</f>
        <v>0</v>
      </c>
      <c r="C3" s="2108"/>
      <c r="D3" s="2108"/>
      <c r="E3" s="2108"/>
      <c r="F3" s="2108"/>
      <c r="G3" s="2108"/>
    </row>
    <row r="4" spans="1:25" s="2059" customFormat="1" ht="18" customHeight="1">
      <c r="A4" s="426" t="s">
        <v>466</v>
      </c>
      <c r="B4" s="427">
        <f ca="1">ROUND(B2*10000/'数据-汇总表'!D3,0)</f>
        <v>0</v>
      </c>
      <c r="C4" s="2061"/>
      <c r="D4" s="2108"/>
      <c r="E4" s="2108"/>
      <c r="F4" s="2108"/>
      <c r="G4" s="2108"/>
    </row>
    <row r="5" spans="1:25" s="2059" customFormat="1" ht="18" customHeight="1" thickBot="1">
      <c r="A5" s="429"/>
      <c r="B5" s="430">
        <f ca="1">ROUND(B2/('数据-汇总表'!D3/666.67),0)</f>
        <v>0</v>
      </c>
      <c r="C5" s="431" t="s">
        <v>467</v>
      </c>
      <c r="D5" s="2108"/>
      <c r="E5" s="2108"/>
      <c r="F5" s="2108"/>
      <c r="G5" s="2108"/>
    </row>
    <row r="6" spans="1:25" s="2183" customFormat="1" ht="13.5" customHeight="1">
      <c r="A6" s="743"/>
      <c r="B6" s="744" t="s">
        <v>602</v>
      </c>
      <c r="C6" s="745" t="s">
        <v>603</v>
      </c>
      <c r="D6" s="745" t="s">
        <v>604</v>
      </c>
      <c r="E6" s="746" t="s">
        <v>605</v>
      </c>
      <c r="F6" s="746" t="s">
        <v>606</v>
      </c>
      <c r="G6" s="747"/>
    </row>
    <row r="7" spans="1:25" s="2183" customFormat="1" ht="13.5" customHeight="1">
      <c r="A7" s="2448">
        <v>1</v>
      </c>
      <c r="B7" s="748" t="s">
        <v>607</v>
      </c>
      <c r="C7" s="749">
        <f>C8+C9</f>
        <v>0</v>
      </c>
      <c r="D7" s="749"/>
      <c r="E7" s="750"/>
      <c r="F7" s="750"/>
      <c r="G7" s="2458"/>
    </row>
    <row r="8" spans="1:25" s="2183" customFormat="1" ht="13.5" customHeight="1">
      <c r="A8" s="2448" t="s">
        <v>2437</v>
      </c>
      <c r="B8" s="2451" t="s">
        <v>2439</v>
      </c>
      <c r="C8" s="2452"/>
      <c r="D8" s="749"/>
      <c r="E8" s="750"/>
      <c r="F8" s="750"/>
      <c r="G8" s="751"/>
    </row>
    <row r="9" spans="1:25" s="2183" customFormat="1" ht="13.5" customHeight="1">
      <c r="A9" s="2448" t="s">
        <v>2438</v>
      </c>
      <c r="B9" s="2451" t="s">
        <v>2440</v>
      </c>
      <c r="C9" s="2452"/>
      <c r="D9" s="749"/>
      <c r="E9" s="750"/>
      <c r="F9" s="750"/>
      <c r="G9" s="751"/>
    </row>
    <row r="10" spans="1:25" s="2183" customFormat="1" ht="36">
      <c r="A10" s="2448">
        <v>2</v>
      </c>
      <c r="B10" s="748" t="s">
        <v>611</v>
      </c>
      <c r="C10" s="749">
        <f>C11+C14+C15</f>
        <v>0</v>
      </c>
      <c r="D10" s="760">
        <f>'数据-汇总表'!E3</f>
        <v>252351.54</v>
      </c>
      <c r="E10" s="749">
        <f>'数据-取费表'!B31</f>
        <v>80</v>
      </c>
      <c r="F10" s="761"/>
      <c r="G10" s="759" t="s">
        <v>612</v>
      </c>
    </row>
    <row r="11" spans="1:25" s="2183" customFormat="1" ht="13.5" customHeight="1">
      <c r="A11" s="2448" t="s">
        <v>2437</v>
      </c>
      <c r="B11" s="752" t="s">
        <v>608</v>
      </c>
      <c r="C11" s="753">
        <f>'数据-取费表'!B29</f>
        <v>0</v>
      </c>
      <c r="D11" s="754"/>
      <c r="E11" s="753"/>
      <c r="F11" s="755"/>
      <c r="G11" s="2457" t="s">
        <v>2448</v>
      </c>
    </row>
    <row r="12" spans="1:25" s="2183" customFormat="1" ht="13.5" customHeight="1">
      <c r="A12" s="2455" t="s">
        <v>2445</v>
      </c>
      <c r="B12" s="756" t="s">
        <v>609</v>
      </c>
      <c r="C12" s="757">
        <f>ROUND(D12*E12/10000,0)</f>
        <v>2108</v>
      </c>
      <c r="D12" s="758">
        <f>'数据-汇总表'!E5</f>
        <v>175693.26</v>
      </c>
      <c r="E12" s="757">
        <f>'数据-取费表'!B27</f>
        <v>120</v>
      </c>
      <c r="F12" s="755"/>
      <c r="G12" s="759"/>
    </row>
    <row r="13" spans="1:25" s="2183" customFormat="1" ht="13.5" customHeight="1">
      <c r="A13" s="2455" t="s">
        <v>2444</v>
      </c>
      <c r="B13" s="756" t="s">
        <v>610</v>
      </c>
      <c r="C13" s="757">
        <f>ROUND(D13*E13/10000,0)</f>
        <v>920</v>
      </c>
      <c r="D13" s="758">
        <f>'数据-汇总表'!E6</f>
        <v>76658.28</v>
      </c>
      <c r="E13" s="757">
        <f>'数据-取费表'!B28</f>
        <v>120</v>
      </c>
      <c r="F13" s="755"/>
      <c r="G13" s="759"/>
    </row>
    <row r="14" spans="1:25" s="2183" customFormat="1" ht="13.5" customHeight="1">
      <c r="A14" s="2448" t="s">
        <v>2438</v>
      </c>
      <c r="B14" s="2454" t="s">
        <v>2441</v>
      </c>
      <c r="C14" s="2452"/>
      <c r="D14" s="758"/>
      <c r="E14" s="757"/>
      <c r="F14" s="2453"/>
      <c r="G14" s="2456" t="s">
        <v>2446</v>
      </c>
    </row>
    <row r="15" spans="1:25" s="2183" customFormat="1" ht="13.5" customHeight="1">
      <c r="A15" s="2448" t="s">
        <v>2443</v>
      </c>
      <c r="B15" s="2454" t="s">
        <v>2442</v>
      </c>
      <c r="C15" s="2452"/>
      <c r="D15" s="758"/>
      <c r="E15" s="757"/>
      <c r="F15" s="2453"/>
      <c r="G15" s="2456" t="s">
        <v>2447</v>
      </c>
    </row>
    <row r="16" spans="1:25" s="2184" customFormat="1" ht="48">
      <c r="A16" s="2448">
        <v>3</v>
      </c>
      <c r="B16" s="748" t="s">
        <v>613</v>
      </c>
      <c r="C16" s="2452"/>
      <c r="D16" s="760"/>
      <c r="E16" s="749"/>
      <c r="F16" s="761"/>
      <c r="G16" s="759" t="s">
        <v>2449</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614</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615</v>
      </c>
      <c r="C18" s="749">
        <f>ROUND((C7+C10+C16)*F18,0)</f>
        <v>0</v>
      </c>
      <c r="D18" s="762"/>
      <c r="E18" s="763"/>
      <c r="F18" s="761">
        <f>'数据-取费表'!Q16</f>
        <v>0.12</v>
      </c>
      <c r="G18" s="765" t="s">
        <v>616</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617</v>
      </c>
      <c r="C19" s="749">
        <f ca="1">C7+C10+C16+C17+C18</f>
        <v>0</v>
      </c>
      <c r="D19" s="760"/>
      <c r="E19" s="749"/>
      <c r="F19" s="761"/>
      <c r="G19" s="765" t="s">
        <v>618</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619</v>
      </c>
      <c r="C20" s="749">
        <f ca="1">ROUND(C19*F20,0)</f>
        <v>0</v>
      </c>
      <c r="D20" s="760"/>
      <c r="E20" s="749"/>
      <c r="F20" s="1349"/>
      <c r="G20" s="765" t="s">
        <v>620</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621</v>
      </c>
      <c r="C21" s="749">
        <f ca="1">C19+C20</f>
        <v>0</v>
      </c>
      <c r="D21" s="760"/>
      <c r="E21" s="749"/>
      <c r="F21" s="761"/>
      <c r="G21" s="765" t="s">
        <v>622</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623</v>
      </c>
      <c r="C22" s="749">
        <f ca="1">ROUND(C21*F22,0)</f>
        <v>0</v>
      </c>
      <c r="D22" s="760"/>
      <c r="E22" s="749"/>
      <c r="F22" s="766">
        <f>'数据-取费表'!AP16</f>
        <v>0.88900000000000001</v>
      </c>
      <c r="G22" s="765" t="s">
        <v>624</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625</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9" sqref="E2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464</v>
      </c>
      <c r="B1" s="2787"/>
      <c r="C1" s="2104"/>
      <c r="D1" s="2104"/>
      <c r="E1" s="2104"/>
      <c r="F1" s="2104"/>
      <c r="G1" s="2104"/>
      <c r="H1" s="2104"/>
      <c r="I1" s="2104"/>
      <c r="J1" s="2104"/>
      <c r="K1" s="422">
        <f>MATCH(B1,'数据-取费表'!A6:A16,0)+5</f>
        <v>9</v>
      </c>
    </row>
    <row r="2" spans="1:31" s="2041" customFormat="1" ht="18" customHeight="1">
      <c r="A2" s="2101" t="s">
        <v>465</v>
      </c>
      <c r="B2" s="2105">
        <f ca="1">C36</f>
        <v>86852</v>
      </c>
      <c r="C2" s="2104"/>
      <c r="D2" s="2104"/>
      <c r="E2" s="2104"/>
      <c r="F2" s="2104"/>
      <c r="G2" s="2104"/>
      <c r="H2" s="2104"/>
      <c r="I2" s="2104"/>
      <c r="J2" s="2104"/>
      <c r="K2" s="2104"/>
    </row>
    <row r="3" spans="1:31" s="2041" customFormat="1" ht="18" customHeight="1">
      <c r="A3" s="2106" t="s">
        <v>1683</v>
      </c>
      <c r="B3" s="2107">
        <f ca="1">ROUND(B2*10000/IF(B1="",'数据-汇总表'!E3,INDIRECT("'数据-取费表'!K"&amp;$K$1)),0)</f>
        <v>3442</v>
      </c>
      <c r="C3" s="2104"/>
      <c r="D3" s="2104"/>
      <c r="E3" s="2104"/>
      <c r="F3" s="2104"/>
      <c r="G3" s="2104"/>
      <c r="H3" s="2104"/>
      <c r="I3" s="2104"/>
      <c r="J3" s="2104"/>
      <c r="K3" s="2104"/>
    </row>
    <row r="4" spans="1:31" s="2041" customFormat="1" ht="18" customHeight="1">
      <c r="A4" s="426" t="s">
        <v>466</v>
      </c>
      <c r="B4" s="427">
        <f ca="1">ROUND(B2*10000/IF(B1="",'数据-汇总表'!D3,INDIRECT("'数据-取费表'!R"&amp;$K$1)),0)</f>
        <v>11822</v>
      </c>
      <c r="C4" s="428"/>
      <c r="D4" s="422"/>
      <c r="E4" s="422"/>
      <c r="F4" s="422"/>
      <c r="G4" s="422"/>
      <c r="H4" s="422"/>
      <c r="I4" s="422"/>
      <c r="J4" s="422"/>
      <c r="K4" s="422"/>
    </row>
    <row r="5" spans="1:31" s="2041" customFormat="1" ht="18" customHeight="1" thickBot="1">
      <c r="A5" s="429"/>
      <c r="B5" s="430">
        <f ca="1">ROUND(B2/(IF(B1="",'数据-汇总表'!D3,INDIRECT("'数据-取费表'!R"&amp;$K$1))/666.67),0)</f>
        <v>788</v>
      </c>
      <c r="C5" s="431" t="s">
        <v>467</v>
      </c>
      <c r="D5" s="422"/>
      <c r="E5" s="422"/>
      <c r="F5" s="422"/>
      <c r="G5" s="422"/>
      <c r="H5" s="422"/>
      <c r="I5" s="422"/>
      <c r="J5" s="422"/>
      <c r="K5" s="422"/>
    </row>
    <row r="6" spans="1:31" s="2111" customFormat="1" ht="16.5" customHeight="1">
      <c r="A6" s="2806" t="s">
        <v>1841</v>
      </c>
      <c r="B6" s="2807"/>
      <c r="C6" s="2808">
        <f ca="1">SUM(C10:K10)</f>
        <v>207978</v>
      </c>
      <c r="D6" s="2807"/>
      <c r="E6" s="2807"/>
      <c r="F6" s="2807"/>
      <c r="G6" s="2807"/>
      <c r="H6" s="2807"/>
      <c r="I6" s="2807"/>
      <c r="J6" s="2807"/>
      <c r="K6" s="2809"/>
    </row>
    <row r="7" spans="1:31" s="2113" customFormat="1" ht="15">
      <c r="A7" s="2810" t="s">
        <v>468</v>
      </c>
      <c r="B7" s="2811" t="s">
        <v>469</v>
      </c>
      <c r="C7" s="436" t="s">
        <v>3336</v>
      </c>
      <c r="D7" s="436" t="s">
        <v>3337</v>
      </c>
      <c r="E7" s="436" t="s">
        <v>35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470</v>
      </c>
      <c r="C8" s="2812">
        <f>'不动产比较法-住宅'!B3</f>
        <v>10055</v>
      </c>
      <c r="D8" s="2812">
        <f>ROUND(C8*('不动产比较法-住宅'!K32+100)/100,0)</f>
        <v>11563</v>
      </c>
      <c r="E8" s="2812">
        <f ca="1">不动产收益法!B3</f>
        <v>2810</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471</v>
      </c>
      <c r="C9" s="441">
        <f>SUMIF('数据-汇总表'!$C19:$C33,'剩余法-待开发'!C7,'数据-汇总表'!$E19:$E33)</f>
        <v>96961.26</v>
      </c>
      <c r="D9" s="441">
        <f>SUMIF('数据-汇总表'!$C19:$C33,'剩余法-待开发'!D7,'数据-汇总表'!$E19:$E33)</f>
        <v>78732</v>
      </c>
      <c r="E9" s="441">
        <f>SUMIF('数据-汇总表'!$C19:$C33,'剩余法-待开发'!E7,'数据-汇总表'!$E19:$E33)</f>
        <v>69191.13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1846</v>
      </c>
      <c r="B10" s="2800" t="s">
        <v>472</v>
      </c>
      <c r="C10" s="3004">
        <f>'不动产比较法-住宅'!B2</f>
        <v>97495</v>
      </c>
      <c r="D10" s="3004">
        <f>ROUND(D8*D9/10000,0)</f>
        <v>91038</v>
      </c>
      <c r="E10" s="3004">
        <f ca="1">不动产收益法!B2</f>
        <v>19445</v>
      </c>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1842</v>
      </c>
      <c r="B11" s="2807"/>
      <c r="C11" s="2807"/>
      <c r="D11" s="2807"/>
      <c r="E11" s="2807"/>
      <c r="F11" s="2807"/>
      <c r="G11" s="2807"/>
      <c r="H11" s="2807"/>
      <c r="I11" s="2807"/>
      <c r="J11" s="2807"/>
      <c r="K11" s="2809"/>
    </row>
    <row r="12" spans="1:31" s="2085" customFormat="1" ht="13.5" customHeight="1">
      <c r="A12" s="2818" t="s">
        <v>468</v>
      </c>
      <c r="B12" s="2790" t="s">
        <v>469</v>
      </c>
      <c r="C12" s="2819" t="s">
        <v>473</v>
      </c>
      <c r="D12" s="2786" t="s">
        <v>474</v>
      </c>
      <c r="E12" s="2786" t="s">
        <v>475</v>
      </c>
      <c r="F12" s="2786" t="s">
        <v>476</v>
      </c>
      <c r="G12" s="2790"/>
      <c r="H12" s="2791"/>
      <c r="I12" s="2791"/>
      <c r="J12" s="2791"/>
      <c r="K12" s="2792"/>
    </row>
    <row r="13" spans="1:31" s="2116" customFormat="1" ht="13.5" customHeight="1">
      <c r="A13" s="2820" t="s">
        <v>1847</v>
      </c>
      <c r="B13" s="2821" t="s">
        <v>477</v>
      </c>
      <c r="C13" s="450">
        <f ca="1">IF(B1="",'数据-取费表'!P16,INDIRECT("'数据-取费表'!p"&amp;$K$1)+INDIRECT("'数据-取费表'!t"&amp;$K$1))</f>
        <v>57577</v>
      </c>
      <c r="D13" s="2822"/>
      <c r="E13" s="2823"/>
      <c r="F13" s="2824"/>
      <c r="G13" s="2790"/>
      <c r="H13" s="2791"/>
      <c r="I13" s="2791"/>
      <c r="J13" s="2791"/>
      <c r="K13" s="2792"/>
    </row>
    <row r="14" spans="1:31" s="2116" customFormat="1" ht="13.5" customHeight="1">
      <c r="A14" s="2820" t="s">
        <v>1848</v>
      </c>
      <c r="B14" s="2821" t="s">
        <v>478</v>
      </c>
      <c r="C14" s="53">
        <f ca="1">ROUND(C13*F14,0)</f>
        <v>1727</v>
      </c>
      <c r="D14" s="2822"/>
      <c r="E14" s="2823"/>
      <c r="F14" s="2825">
        <f>'数据-取费表'!B33</f>
        <v>0.03</v>
      </c>
      <c r="G14" s="2790" t="s">
        <v>479</v>
      </c>
      <c r="H14" s="2791"/>
      <c r="I14" s="2791"/>
      <c r="J14" s="2791"/>
      <c r="K14" s="2792"/>
    </row>
    <row r="15" spans="1:31" s="2116" customFormat="1" ht="13.5" customHeight="1">
      <c r="A15" s="2820" t="s">
        <v>1849</v>
      </c>
      <c r="B15" s="2821" t="s">
        <v>480</v>
      </c>
      <c r="C15" s="53">
        <f ca="1">ROUND(IF(B1="",SUMIF('数据-取费表'!C:C,"住宅",'数据-取费表'!P:P)*F15,IF(INDIRECT("'数据-取费表'!c"&amp;$K$1)="住宅",INDIRECT("'数据-取费表'!P"&amp;$K$1)*F15,0)),0)</f>
        <v>1318</v>
      </c>
      <c r="D15" s="2822"/>
      <c r="E15" s="2823"/>
      <c r="F15" s="2825">
        <f>'数据-取费表'!B34</f>
        <v>0.03</v>
      </c>
      <c r="G15" s="2790" t="s">
        <v>481</v>
      </c>
      <c r="H15" s="2791"/>
      <c r="I15" s="2791"/>
      <c r="J15" s="2791"/>
      <c r="K15" s="2792"/>
    </row>
    <row r="16" spans="1:31" s="2117" customFormat="1" ht="13.5" customHeight="1">
      <c r="A16" s="2820" t="s">
        <v>1850</v>
      </c>
      <c r="B16" s="2821" t="s">
        <v>482</v>
      </c>
      <c r="C16" s="53">
        <f ca="1">ROUND(D16*E16/10000,0)</f>
        <v>3785</v>
      </c>
      <c r="D16" s="2822">
        <f ca="1">IF(B1="",'数据-汇总表'!E3,INDIRECT("'数据-取费表'!K"&amp;$K$1)+INDIRECT("'数据-取费表'!S"&amp;$K$1))</f>
        <v>252351.54</v>
      </c>
      <c r="E16" s="53">
        <f>'数据-取费表'!B35</f>
        <v>150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1851</v>
      </c>
      <c r="B17" s="2821" t="s">
        <v>483</v>
      </c>
      <c r="C17" s="2826">
        <f ca="1">ROUND(C13*F17,0)</f>
        <v>864</v>
      </c>
      <c r="D17" s="475"/>
      <c r="E17" s="2826"/>
      <c r="F17" s="2827">
        <f>'数据-取费表'!B36</f>
        <v>1.4999999999999999E-2</v>
      </c>
      <c r="G17" s="261" t="s">
        <v>484</v>
      </c>
      <c r="H17" s="2793"/>
      <c r="I17" s="2793"/>
      <c r="J17" s="2793"/>
      <c r="K17" s="279"/>
    </row>
    <row r="18" spans="1:14" s="2116" customFormat="1" ht="13.5" customHeight="1">
      <c r="A18" s="2828" t="s">
        <v>1852</v>
      </c>
      <c r="B18" s="2829" t="s">
        <v>485</v>
      </c>
      <c r="C18" s="2830">
        <f ca="1">SUM(C13:C17)</f>
        <v>65271</v>
      </c>
      <c r="D18" s="2831"/>
      <c r="E18" s="468"/>
      <c r="F18" s="468"/>
      <c r="G18" s="2794" t="s">
        <v>2427</v>
      </c>
      <c r="H18" s="2795"/>
      <c r="I18" s="2795"/>
      <c r="J18" s="2795"/>
      <c r="K18" s="2796"/>
    </row>
    <row r="19" spans="1:14" s="2116" customFormat="1" ht="13.5" customHeight="1">
      <c r="A19" s="2828" t="s">
        <v>1853</v>
      </c>
      <c r="B19" s="2829" t="s">
        <v>486</v>
      </c>
      <c r="C19" s="2786">
        <f ca="1">ROUND(D19*E19/10000,0)</f>
        <v>1766</v>
      </c>
      <c r="D19" s="2832">
        <f ca="1">D16</f>
        <v>252351.54</v>
      </c>
      <c r="E19" s="2786">
        <f>'数据-取费表'!B32</f>
        <v>70</v>
      </c>
      <c r="F19" s="468"/>
      <c r="G19" s="2790" t="s">
        <v>487</v>
      </c>
      <c r="H19" s="2791"/>
      <c r="I19" s="2795"/>
      <c r="J19" s="2795"/>
      <c r="K19" s="2796"/>
    </row>
    <row r="20" spans="1:14" s="2116" customFormat="1" ht="13.5" customHeight="1">
      <c r="A20" s="2828" t="s">
        <v>1854</v>
      </c>
      <c r="B20" s="2829" t="s">
        <v>488</v>
      </c>
      <c r="C20" s="2786">
        <f ca="1">C21+C22-IF(B1="",'数据-取费表'!B29,IF(G20="已全部缴纳",C21+C22,H20))</f>
        <v>3028</v>
      </c>
      <c r="D20" s="2832"/>
      <c r="E20" s="2786"/>
      <c r="F20" s="2833"/>
      <c r="G20" s="3060"/>
      <c r="H20" s="2788"/>
      <c r="I20" s="2789" t="s">
        <v>2648</v>
      </c>
      <c r="J20" s="2795"/>
      <c r="K20" s="2796"/>
    </row>
    <row r="21" spans="1:14" s="2116" customFormat="1" ht="13.5" customHeight="1">
      <c r="A21" s="2820" t="s">
        <v>1855</v>
      </c>
      <c r="B21" s="2821" t="s">
        <v>489</v>
      </c>
      <c r="C21" s="53">
        <f ca="1">ROUND(D21*E21/10000,0)</f>
        <v>2108</v>
      </c>
      <c r="D21" s="2822">
        <f ca="1">IF(B1="",'数据-汇总表'!E5,IF(INDIRECT("'数据-取费表'!c"&amp;$K$1)="住宅",INDIRECT("'数据-取费表'!k"&amp;$K$1),0))</f>
        <v>175693.26</v>
      </c>
      <c r="E21" s="53">
        <f>'数据-取费表'!B27</f>
        <v>120</v>
      </c>
      <c r="F21" s="2825"/>
      <c r="G21" s="26"/>
      <c r="H21" s="51"/>
      <c r="I21" s="51"/>
      <c r="J21" s="51"/>
      <c r="K21" s="2797"/>
    </row>
    <row r="22" spans="1:14" s="2116" customFormat="1" ht="13.5" customHeight="1">
      <c r="A22" s="2820" t="s">
        <v>1856</v>
      </c>
      <c r="B22" s="2821" t="s">
        <v>490</v>
      </c>
      <c r="C22" s="53">
        <f ca="1">ROUND(D22*E22/10000,0)</f>
        <v>920</v>
      </c>
      <c r="D22" s="2822">
        <f ca="1">IF(B1="",'数据-汇总表'!E6,IF(INDIRECT("'数据-取费表'!c"&amp;$K$1)="住宅",INDIRECT("'数据-取费表'!s"&amp;$K$1),INDIRECT("'数据-取费表'!k"&amp;$K$1)+INDIRECT("'数据-取费表'!s"&amp;$K$1)))</f>
        <v>76658.28</v>
      </c>
      <c r="E22" s="53">
        <f>'数据-取费表'!B28</f>
        <v>120</v>
      </c>
      <c r="F22" s="2825"/>
      <c r="G22" s="26"/>
      <c r="H22" s="51"/>
      <c r="I22" s="51"/>
      <c r="J22" s="51"/>
      <c r="K22" s="2797"/>
    </row>
    <row r="23" spans="1:14" s="2116" customFormat="1" ht="13.5" customHeight="1">
      <c r="A23" s="2828" t="s">
        <v>1857</v>
      </c>
      <c r="B23" s="3010" t="s">
        <v>2831</v>
      </c>
      <c r="C23" s="2830">
        <f ca="1">ROUND((C18+C19+C20)*F23,0)</f>
        <v>1401</v>
      </c>
      <c r="D23" s="468"/>
      <c r="E23" s="468"/>
      <c r="F23" s="2834">
        <f>'数据-取费表'!B37</f>
        <v>0.02</v>
      </c>
      <c r="G23" s="2790" t="s">
        <v>2428</v>
      </c>
      <c r="H23" s="2791"/>
      <c r="I23" s="2791"/>
      <c r="J23" s="2791"/>
      <c r="K23" s="2792"/>
      <c r="L23" s="2118"/>
      <c r="M23" s="2118"/>
      <c r="N23" s="2118"/>
    </row>
    <row r="24" spans="1:14" s="2116" customFormat="1" ht="13.5" customHeight="1">
      <c r="A24" s="2828" t="s">
        <v>1858</v>
      </c>
      <c r="B24" s="3010" t="s">
        <v>2834</v>
      </c>
      <c r="C24" s="2830">
        <f ca="1">ROUND(C6*F24,0)</f>
        <v>4160</v>
      </c>
      <c r="D24" s="475"/>
      <c r="E24" s="473"/>
      <c r="F24" s="2834">
        <f>'数据-取费表'!B38</f>
        <v>0.02</v>
      </c>
      <c r="G24" s="2799" t="s">
        <v>497</v>
      </c>
      <c r="H24" s="2793"/>
      <c r="I24" s="2793"/>
      <c r="J24" s="2793"/>
      <c r="K24" s="279"/>
      <c r="L24" s="2118"/>
      <c r="M24" s="2118"/>
      <c r="N24" s="2118"/>
    </row>
    <row r="25" spans="1:14" s="2119" customFormat="1" ht="13.5" customHeight="1">
      <c r="A25" s="2828" t="s">
        <v>1859</v>
      </c>
      <c r="B25" s="3010" t="s">
        <v>2832</v>
      </c>
      <c r="C25" s="467">
        <f>ROUND(F25/(1+'数据-取费表'!C42),4)</f>
        <v>2.9000000000000001E-2</v>
      </c>
      <c r="D25" s="462" t="s">
        <v>2826</v>
      </c>
      <c r="E25" s="469"/>
      <c r="F25" s="2834">
        <f>'数据-取费表'!B48+'数据-取费表'!B49</f>
        <v>3.0499999999999999E-2</v>
      </c>
      <c r="G25" s="2798" t="s">
        <v>2287</v>
      </c>
      <c r="H25" s="2791"/>
      <c r="I25" s="2791"/>
      <c r="J25" s="2791"/>
      <c r="K25" s="2792"/>
    </row>
    <row r="26" spans="1:14" s="2118" customFormat="1" ht="13.5" customHeight="1">
      <c r="A26" s="2828" t="s">
        <v>1860</v>
      </c>
      <c r="B26" s="3011" t="s">
        <v>2833</v>
      </c>
      <c r="C26" s="2835">
        <f ca="1">C28</f>
        <v>3592</v>
      </c>
      <c r="D26" s="467">
        <f ca="1">C27</f>
        <v>0.10009999999999999</v>
      </c>
      <c r="E26" s="469" t="s">
        <v>493</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1855</v>
      </c>
      <c r="B27" s="2836" t="s">
        <v>494</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1856</v>
      </c>
      <c r="B28" s="2836" t="s">
        <v>2835</v>
      </c>
      <c r="C28" s="2838">
        <f ca="1">ROUND(IF('数据-取费表'!B22&lt;=1,(C18+C19+C20+C23+C24)*F26*'数据-取费表'!B24/2,(C18+C19+C20+C23+C24)*(POWER((1+F26),'数据-取费表'!B24/2)-1)),0)</f>
        <v>3592</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1861</v>
      </c>
      <c r="B29" s="2829" t="s">
        <v>495</v>
      </c>
      <c r="C29" s="2830">
        <f ca="1">ROUND(C6*F29/(1+'数据-取费表'!C42),0)</f>
        <v>10894</v>
      </c>
      <c r="D29" s="468"/>
      <c r="E29" s="468"/>
      <c r="F29" s="3012">
        <f>'数据-取费表'!B41</f>
        <v>5.5000000000000007E-2</v>
      </c>
      <c r="G29" s="2799" t="s">
        <v>496</v>
      </c>
      <c r="H29" s="2791"/>
      <c r="I29" s="2791"/>
      <c r="J29" s="2791"/>
      <c r="K29" s="2792"/>
    </row>
    <row r="30" spans="1:14" s="2121" customFormat="1" ht="13.5" customHeight="1">
      <c r="A30" s="1636" t="s">
        <v>1862</v>
      </c>
      <c r="B30" s="2840" t="s">
        <v>498</v>
      </c>
      <c r="C30" s="2835">
        <f ca="1">C31</f>
        <v>90112</v>
      </c>
      <c r="D30" s="477">
        <f ca="1">C32</f>
        <v>0.12909999999999999</v>
      </c>
      <c r="E30" s="469" t="s">
        <v>493</v>
      </c>
      <c r="F30" s="471"/>
      <c r="G30" s="2798" t="s">
        <v>2959</v>
      </c>
      <c r="H30" s="2791"/>
      <c r="I30" s="2791"/>
      <c r="J30" s="2791"/>
      <c r="K30" s="2792"/>
    </row>
    <row r="31" spans="1:14" s="2120" customFormat="1" ht="13.5" customHeight="1">
      <c r="A31" s="803" t="s">
        <v>1855</v>
      </c>
      <c r="B31" s="2836"/>
      <c r="C31" s="450">
        <f ca="1">C18+C19+C20+C23+C24+C26+C29</f>
        <v>90112</v>
      </c>
      <c r="D31" s="472"/>
      <c r="E31" s="473"/>
      <c r="F31" s="474"/>
      <c r="G31" s="261"/>
      <c r="H31" s="2793"/>
      <c r="I31" s="2793"/>
      <c r="J31" s="2793"/>
      <c r="K31" s="279"/>
    </row>
    <row r="32" spans="1:14" s="2120" customFormat="1" ht="13.5" customHeight="1">
      <c r="A32" s="803" t="s">
        <v>1856</v>
      </c>
      <c r="B32" s="2836"/>
      <c r="C32" s="53">
        <f ca="1">ROUND(C25+D26,4)</f>
        <v>0.12909999999999999</v>
      </c>
      <c r="D32" s="472"/>
      <c r="E32" s="473"/>
      <c r="F32" s="474"/>
      <c r="G32" s="261"/>
      <c r="H32" s="2793"/>
      <c r="I32" s="2793"/>
      <c r="J32" s="2793"/>
      <c r="K32" s="279"/>
    </row>
    <row r="33" spans="1:11" s="2122" customFormat="1" ht="13.5" customHeight="1">
      <c r="A33" s="3009" t="s">
        <v>2830</v>
      </c>
      <c r="B33" s="3007" t="s">
        <v>2828</v>
      </c>
      <c r="C33" s="478">
        <f ca="1">C35</f>
        <v>9075</v>
      </c>
      <c r="D33" s="467">
        <f ca="1">C34</f>
        <v>0.1235</v>
      </c>
      <c r="E33" s="469" t="s">
        <v>493</v>
      </c>
      <c r="F33" s="479">
        <f ca="1">IF(B1="",'数据-取费表'!Q16,INDIRECT("'数据-取费表'!q"&amp;$K$1))</f>
        <v>0.12</v>
      </c>
      <c r="G33" s="2794"/>
      <c r="H33" s="2795"/>
      <c r="I33" s="2795"/>
      <c r="J33" s="2795"/>
      <c r="K33" s="2796"/>
    </row>
    <row r="34" spans="1:11" s="2123" customFormat="1" ht="13.5" customHeight="1">
      <c r="A34" s="375" t="s">
        <v>1855</v>
      </c>
      <c r="B34" s="2841" t="s">
        <v>499</v>
      </c>
      <c r="C34" s="472">
        <f ca="1">ROUND((1+C25)*F33,4)</f>
        <v>0.1235</v>
      </c>
      <c r="D34" s="472"/>
      <c r="E34" s="473"/>
      <c r="F34" s="480"/>
      <c r="G34" s="261" t="s">
        <v>2288</v>
      </c>
      <c r="H34" s="2793"/>
      <c r="I34" s="2793"/>
      <c r="J34" s="2793"/>
      <c r="K34" s="279"/>
    </row>
    <row r="35" spans="1:11" s="2123" customFormat="1" ht="13.5" customHeight="1" thickBot="1">
      <c r="A35" s="1637" t="s">
        <v>1856</v>
      </c>
      <c r="B35" s="3008" t="s">
        <v>2836</v>
      </c>
      <c r="C35" s="1629">
        <f ca="1">ROUND((C18+C19+C20+C23+C24)*F33,0)</f>
        <v>9075</v>
      </c>
      <c r="D35" s="1630"/>
      <c r="E35" s="2842"/>
      <c r="F35" s="1631"/>
      <c r="G35" s="2800"/>
      <c r="H35" s="2801"/>
      <c r="I35" s="2801"/>
      <c r="J35" s="2801"/>
      <c r="K35" s="2802"/>
    </row>
    <row r="36" spans="1:11" s="2085" customFormat="1" ht="13.5" customHeight="1" thickBot="1">
      <c r="A36" s="284" t="s">
        <v>1843</v>
      </c>
      <c r="B36" s="2804"/>
      <c r="C36" s="2843">
        <f ca="1">ROUND((C6-C30-C33)/(1+D30+D33),0)</f>
        <v>86852</v>
      </c>
      <c r="D36" s="2804"/>
      <c r="E36" s="2804"/>
      <c r="F36" s="2804"/>
      <c r="G36" s="2803" t="s">
        <v>2837</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F49" sqref="F4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02" t="s">
        <v>717</v>
      </c>
      <c r="C1" s="2603" t="s">
        <v>718</v>
      </c>
      <c r="D1" s="2604" t="s">
        <v>3336</v>
      </c>
      <c r="E1" s="2605"/>
      <c r="F1" s="2785" t="s">
        <v>3345</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01">
        <f>ROUND(B3*D3/10000,0)</f>
        <v>97495</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10055</v>
      </c>
      <c r="C3" s="852" t="s">
        <v>720</v>
      </c>
      <c r="D3" s="851">
        <f>SUMIF('数据-汇总表'!$C19:$C33,D1,'数据-汇总表'!$E19:$E33)</f>
        <v>96961.26</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519</v>
      </c>
      <c r="B4" s="513"/>
      <c r="C4" s="3473" t="s">
        <v>520</v>
      </c>
      <c r="D4" s="3474"/>
      <c r="E4" s="3512" t="s">
        <v>521</v>
      </c>
      <c r="F4" s="3513"/>
      <c r="G4" s="3473" t="s">
        <v>522</v>
      </c>
      <c r="H4" s="3474"/>
      <c r="I4" s="3473" t="s">
        <v>523</v>
      </c>
      <c r="J4" s="3474"/>
      <c r="K4" s="853" t="s">
        <v>524</v>
      </c>
      <c r="L4" s="2133"/>
      <c r="M4" s="2134"/>
      <c r="N4" s="2134"/>
      <c r="O4" s="2134"/>
      <c r="P4" s="3475" t="s">
        <v>525</v>
      </c>
      <c r="Q4" s="3476"/>
      <c r="R4" s="3481" t="s">
        <v>521</v>
      </c>
      <c r="S4" s="3482"/>
      <c r="T4" s="3481" t="s">
        <v>522</v>
      </c>
      <c r="U4" s="3482"/>
      <c r="V4" s="3468" t="s">
        <v>523</v>
      </c>
      <c r="W4" s="3468"/>
      <c r="X4" s="1568"/>
      <c r="Y4" s="3481" t="s">
        <v>525</v>
      </c>
      <c r="Z4" s="3482"/>
      <c r="AA4" s="3470" t="s">
        <v>521</v>
      </c>
      <c r="AB4" s="3470" t="s">
        <v>522</v>
      </c>
      <c r="AC4" s="3470" t="s">
        <v>523</v>
      </c>
    </row>
    <row r="5" spans="1:29" ht="15">
      <c r="A5" s="515"/>
      <c r="B5" s="516"/>
      <c r="C5" s="3491" t="s">
        <v>3385</v>
      </c>
      <c r="D5" s="3490"/>
      <c r="E5" s="3588" t="s">
        <v>3346</v>
      </c>
      <c r="F5" s="3589"/>
      <c r="G5" s="3491" t="s">
        <v>3378</v>
      </c>
      <c r="H5" s="3490"/>
      <c r="I5" s="3491" t="s">
        <v>3379</v>
      </c>
      <c r="J5" s="3490"/>
      <c r="K5" s="854"/>
      <c r="L5" s="2133"/>
      <c r="M5" s="2134"/>
      <c r="N5" s="2134"/>
      <c r="O5" s="2134"/>
      <c r="P5" s="3477"/>
      <c r="Q5" s="3478"/>
      <c r="R5" s="3483"/>
      <c r="S5" s="3484"/>
      <c r="T5" s="3483"/>
      <c r="U5" s="3484"/>
      <c r="V5" s="3468"/>
      <c r="W5" s="3468"/>
      <c r="X5" s="1568"/>
      <c r="Y5" s="3483"/>
      <c r="Z5" s="3484"/>
      <c r="AA5" s="3471"/>
      <c r="AB5" s="3471"/>
      <c r="AC5" s="3471"/>
    </row>
    <row r="6" spans="1:29" ht="15.75" thickBot="1">
      <c r="A6" s="517"/>
      <c r="B6" s="518"/>
      <c r="C6" s="3487" t="s">
        <v>3300</v>
      </c>
      <c r="D6" s="3488"/>
      <c r="E6" s="3586" t="s">
        <v>3300</v>
      </c>
      <c r="F6" s="3587"/>
      <c r="G6" s="3487" t="s">
        <v>3300</v>
      </c>
      <c r="H6" s="3488"/>
      <c r="I6" s="3487" t="s">
        <v>3347</v>
      </c>
      <c r="J6" s="3488"/>
      <c r="K6" s="854" t="s">
        <v>526</v>
      </c>
      <c r="L6" s="2133"/>
      <c r="M6" s="2134"/>
      <c r="N6" s="2134"/>
      <c r="O6" s="2134"/>
      <c r="P6" s="3479"/>
      <c r="Q6" s="3480"/>
      <c r="R6" s="3483"/>
      <c r="S6" s="3484"/>
      <c r="T6" s="3485"/>
      <c r="U6" s="3486"/>
      <c r="V6" s="3468"/>
      <c r="W6" s="3468"/>
      <c r="X6" s="1568"/>
      <c r="Y6" s="3485"/>
      <c r="Z6" s="3486"/>
      <c r="AA6" s="3472"/>
      <c r="AB6" s="3472"/>
      <c r="AC6" s="3472"/>
    </row>
    <row r="7" spans="1:29" s="1220" customFormat="1" ht="15.75" thickBot="1">
      <c r="A7" s="2890"/>
      <c r="B7" s="2897" t="s">
        <v>527</v>
      </c>
      <c r="C7" s="519">
        <f>'数据-取费表'!B2</f>
        <v>43529</v>
      </c>
      <c r="D7" s="520">
        <v>100</v>
      </c>
      <c r="E7" s="521">
        <v>43435</v>
      </c>
      <c r="F7" s="522">
        <f>SUMIF(58:58,YEAR(E7)&amp;"-"&amp;MONTH(E7),59:59)</f>
        <v>94</v>
      </c>
      <c r="G7" s="523">
        <f>E7</f>
        <v>43435</v>
      </c>
      <c r="H7" s="520">
        <f>SUMIF(58:58,YEAR(G7)&amp;"-"&amp;MONTH(G7),59:59)</f>
        <v>94</v>
      </c>
      <c r="I7" s="523">
        <v>43435</v>
      </c>
      <c r="J7" s="520">
        <f>SUMIF(58:58,YEAR(I7)&amp;"-"&amp;MONTH(I7),59:59)</f>
        <v>94</v>
      </c>
      <c r="K7" s="855"/>
      <c r="L7" s="2135"/>
      <c r="M7" s="2136"/>
      <c r="N7" s="2136"/>
      <c r="O7" s="2136"/>
      <c r="P7" s="3499" t="s">
        <v>528</v>
      </c>
      <c r="Q7" s="3501"/>
      <c r="R7" s="1569" t="s">
        <v>13</v>
      </c>
      <c r="S7" s="1570">
        <f t="shared" ref="S7:S15" si="0">F7</f>
        <v>94</v>
      </c>
      <c r="T7" s="1569" t="s">
        <v>13</v>
      </c>
      <c r="U7" s="1570">
        <f t="shared" ref="U7:U15" si="1">H7</f>
        <v>94</v>
      </c>
      <c r="V7" s="1569" t="s">
        <v>13</v>
      </c>
      <c r="W7" s="1570">
        <f t="shared" ref="W7:W15" si="2">J7</f>
        <v>94</v>
      </c>
      <c r="X7" s="1571"/>
      <c r="Y7" s="3499" t="s">
        <v>528</v>
      </c>
      <c r="Z7" s="3500"/>
      <c r="AA7" s="1572">
        <f>D7/F7</f>
        <v>1.0638297872340425</v>
      </c>
      <c r="AB7" s="1572">
        <f>D7/H7</f>
        <v>1.0638297872340425</v>
      </c>
      <c r="AC7" s="1572">
        <f>D7/J7</f>
        <v>1.0638297872340425</v>
      </c>
    </row>
    <row r="8" spans="1:29" s="1220" customFormat="1" ht="15.75" thickBot="1">
      <c r="A8" s="2891"/>
      <c r="B8" s="2898" t="s">
        <v>529</v>
      </c>
      <c r="C8" s="525" t="s">
        <v>574</v>
      </c>
      <c r="D8" s="520">
        <v>100</v>
      </c>
      <c r="E8" s="856" t="s">
        <v>3301</v>
      </c>
      <c r="F8" s="522">
        <f>SUMIF(61:61,E8,62:62)-SUMIF(61:61,C8,62:62)+100</f>
        <v>100</v>
      </c>
      <c r="G8" s="525" t="s">
        <v>3301</v>
      </c>
      <c r="H8" s="520">
        <f>SUMIF(61:61,G8,62:62)-SUMIF(61:61,C8,62:62)+100</f>
        <v>100</v>
      </c>
      <c r="I8" s="856" t="s">
        <v>3301</v>
      </c>
      <c r="J8" s="520">
        <f>SUMIF(61:61,I8,62:62)-SUMIF(61:61,C8,62:62)+100</f>
        <v>100</v>
      </c>
      <c r="K8" s="855"/>
      <c r="L8" s="2135"/>
      <c r="M8" s="2136"/>
      <c r="N8" s="2136"/>
      <c r="O8" s="2136"/>
      <c r="P8" s="3499" t="s">
        <v>531</v>
      </c>
      <c r="Q8" s="3500"/>
      <c r="R8" s="1569" t="s">
        <v>13</v>
      </c>
      <c r="S8" s="1570">
        <f t="shared" si="0"/>
        <v>100</v>
      </c>
      <c r="T8" s="1569" t="s">
        <v>13</v>
      </c>
      <c r="U8" s="1570">
        <f t="shared" si="1"/>
        <v>100</v>
      </c>
      <c r="V8" s="1569" t="s">
        <v>13</v>
      </c>
      <c r="W8" s="1570">
        <f t="shared" si="2"/>
        <v>100</v>
      </c>
      <c r="X8" s="1571"/>
      <c r="Y8" s="3499" t="s">
        <v>531</v>
      </c>
      <c r="Z8" s="3500"/>
      <c r="AA8" s="1572">
        <f t="shared" ref="AA8:AA46" si="3">D8/F8</f>
        <v>1</v>
      </c>
      <c r="AB8" s="1572">
        <f t="shared" ref="AB8:AB46" si="4">D8/H8</f>
        <v>1</v>
      </c>
      <c r="AC8" s="1572">
        <f t="shared" ref="AC8:AC46" si="5">D8/J8</f>
        <v>1</v>
      </c>
    </row>
    <row r="9" spans="1:29" s="1220" customFormat="1" ht="15">
      <c r="A9" s="2892"/>
      <c r="B9" s="2899" t="s">
        <v>2753</v>
      </c>
      <c r="C9" s="3239" t="s">
        <v>3348</v>
      </c>
      <c r="D9" s="254">
        <v>100</v>
      </c>
      <c r="E9" s="858" t="s">
        <v>921</v>
      </c>
      <c r="F9" s="859">
        <f>SUMIF(63:63,E9,64:64)-SUMIF(63:63,C9,64:64)+100</f>
        <v>100</v>
      </c>
      <c r="G9" s="858" t="s">
        <v>921</v>
      </c>
      <c r="H9" s="254">
        <f>SUMIF(63:63,G9,64:64)-SUMIF(63:63,C9,64:64)+100</f>
        <v>100</v>
      </c>
      <c r="I9" s="858" t="s">
        <v>921</v>
      </c>
      <c r="J9" s="254">
        <f>SUMIF(63:63,I9,64:64)-SUMIF(63:63,C9,64:64)+100</f>
        <v>100</v>
      </c>
      <c r="K9" s="855"/>
      <c r="L9" s="2135"/>
      <c r="M9" s="2136"/>
      <c r="N9" s="2136"/>
      <c r="O9" s="2137"/>
      <c r="P9" s="3467" t="s">
        <v>533</v>
      </c>
      <c r="Q9" s="1151" t="str">
        <f t="shared" ref="Q9:Q15" si="6">B9</f>
        <v>用途</v>
      </c>
      <c r="R9" s="1569" t="s">
        <v>8</v>
      </c>
      <c r="S9" s="1570">
        <f t="shared" si="0"/>
        <v>100</v>
      </c>
      <c r="T9" s="1569" t="s">
        <v>8</v>
      </c>
      <c r="U9" s="1570">
        <f t="shared" si="1"/>
        <v>100</v>
      </c>
      <c r="V9" s="1569" t="s">
        <v>8</v>
      </c>
      <c r="W9" s="1570">
        <f t="shared" si="2"/>
        <v>100</v>
      </c>
      <c r="X9" s="1571"/>
      <c r="Y9" s="3374" t="s">
        <v>534</v>
      </c>
      <c r="Z9" s="1150" t="str">
        <f t="shared" ref="Z9:Z15" si="7">Q9</f>
        <v>用途</v>
      </c>
      <c r="AA9" s="1572">
        <f t="shared" si="3"/>
        <v>1</v>
      </c>
      <c r="AB9" s="1572">
        <f t="shared" si="4"/>
        <v>1</v>
      </c>
      <c r="AC9" s="1572">
        <f t="shared" si="5"/>
        <v>1</v>
      </c>
    </row>
    <row r="10" spans="1:29" s="1338" customFormat="1" ht="27">
      <c r="A10" s="2893"/>
      <c r="B10" s="2898" t="s">
        <v>2754</v>
      </c>
      <c r="C10" s="861" t="s">
        <v>3349</v>
      </c>
      <c r="D10" s="255">
        <v>100</v>
      </c>
      <c r="E10" s="862" t="s">
        <v>3350</v>
      </c>
      <c r="F10" s="863">
        <f>SUMIF(65:65,E10,66:66)-SUMIF(65:65,C10,66:66)+100</f>
        <v>102</v>
      </c>
      <c r="G10" s="861" t="s">
        <v>3350</v>
      </c>
      <c r="H10" s="255">
        <f>SUMIF(65:65,G10,66:66)-SUMIF(65:65,C10,66:66)+100</f>
        <v>102</v>
      </c>
      <c r="I10" s="861" t="s">
        <v>3350</v>
      </c>
      <c r="J10" s="255">
        <f>SUMIF(65:65,I10,66:66)-SUMIF(65:65,C10,66:66)+100</f>
        <v>102</v>
      </c>
      <c r="K10" s="864">
        <v>2</v>
      </c>
      <c r="L10" s="2138"/>
      <c r="M10" s="2178"/>
      <c r="N10" s="2178"/>
      <c r="O10" s="2139"/>
      <c r="P10" s="3467"/>
      <c r="Q10" s="1151" t="str">
        <f t="shared" si="6"/>
        <v>土地使用年限（年）</v>
      </c>
      <c r="R10" s="1569" t="s">
        <v>8</v>
      </c>
      <c r="S10" s="1570">
        <f t="shared" si="0"/>
        <v>102</v>
      </c>
      <c r="T10" s="1569" t="s">
        <v>8</v>
      </c>
      <c r="U10" s="1570">
        <f t="shared" si="1"/>
        <v>102</v>
      </c>
      <c r="V10" s="1569" t="s">
        <v>8</v>
      </c>
      <c r="W10" s="1570">
        <f t="shared" si="2"/>
        <v>102</v>
      </c>
      <c r="X10" s="1571"/>
      <c r="Y10" s="3374"/>
      <c r="Z10" s="1150" t="str">
        <f t="shared" si="7"/>
        <v>土地使用年限（年）</v>
      </c>
      <c r="AA10" s="1572">
        <f t="shared" si="3"/>
        <v>0.98039215686274506</v>
      </c>
      <c r="AB10" s="1572">
        <f t="shared" si="4"/>
        <v>0.98039215686274506</v>
      </c>
      <c r="AC10" s="1572">
        <f t="shared" si="5"/>
        <v>0.98039215686274506</v>
      </c>
    </row>
    <row r="11" spans="1:29" ht="15.75" thickBot="1">
      <c r="A11" s="2894"/>
      <c r="B11" s="2898" t="s">
        <v>2755</v>
      </c>
      <c r="C11" s="533">
        <f>'数据-汇总表'!I6</f>
        <v>2.4</v>
      </c>
      <c r="D11" s="255">
        <v>100</v>
      </c>
      <c r="E11" s="534">
        <v>2.5</v>
      </c>
      <c r="F11" s="863">
        <f>LOOKUP(E11,68:68,69:69)-LOOKUP(C11,68:68,69:69)+100</f>
        <v>100</v>
      </c>
      <c r="G11" s="533">
        <v>4</v>
      </c>
      <c r="H11" s="255">
        <f>LOOKUP(G11,68:68,69:69)-LOOKUP(C11,68:68,69:69)+100</f>
        <v>94</v>
      </c>
      <c r="I11" s="533">
        <v>2.5</v>
      </c>
      <c r="J11" s="255">
        <f>LOOKUP(I11,68:68,69:69)-LOOKUP(C11,68:68,69:69)+100</f>
        <v>100</v>
      </c>
      <c r="K11" s="864">
        <v>3</v>
      </c>
      <c r="L11" s="2140"/>
      <c r="M11" s="2134"/>
      <c r="N11" s="2134"/>
      <c r="O11" s="2141"/>
      <c r="P11" s="3467"/>
      <c r="Q11" s="1151" t="str">
        <f t="shared" si="6"/>
        <v>容积率</v>
      </c>
      <c r="R11" s="1569" t="s">
        <v>11</v>
      </c>
      <c r="S11" s="1570">
        <f t="shared" si="0"/>
        <v>100</v>
      </c>
      <c r="T11" s="1569" t="s">
        <v>11</v>
      </c>
      <c r="U11" s="1570">
        <f t="shared" si="1"/>
        <v>94</v>
      </c>
      <c r="V11" s="1569" t="s">
        <v>11</v>
      </c>
      <c r="W11" s="1570">
        <f t="shared" si="2"/>
        <v>100</v>
      </c>
      <c r="X11" s="1571"/>
      <c r="Y11" s="3374"/>
      <c r="Z11" s="1150" t="str">
        <f t="shared" si="7"/>
        <v>容积率</v>
      </c>
      <c r="AA11" s="1572">
        <f t="shared" si="3"/>
        <v>1</v>
      </c>
      <c r="AB11" s="1572">
        <f t="shared" si="4"/>
        <v>1.0638297872340425</v>
      </c>
      <c r="AC11" s="1572">
        <f t="shared" si="5"/>
        <v>1</v>
      </c>
    </row>
    <row r="12" spans="1:29" s="1220"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67"/>
      <c r="Q12" s="1151">
        <f t="shared" si="6"/>
        <v>111</v>
      </c>
      <c r="R12" s="1569" t="s">
        <v>11</v>
      </c>
      <c r="S12" s="1570">
        <f t="shared" si="0"/>
        <v>100</v>
      </c>
      <c r="T12" s="1569" t="s">
        <v>11</v>
      </c>
      <c r="U12" s="1570">
        <f t="shared" si="1"/>
        <v>100</v>
      </c>
      <c r="V12" s="1569" t="s">
        <v>11</v>
      </c>
      <c r="W12" s="1570">
        <f t="shared" si="2"/>
        <v>100</v>
      </c>
      <c r="X12" s="1571"/>
      <c r="Y12" s="3374"/>
      <c r="Z12" s="1150">
        <f t="shared" si="7"/>
        <v>111</v>
      </c>
      <c r="AA12" s="1572">
        <f>D12/F12</f>
        <v>1</v>
      </c>
      <c r="AB12" s="1572">
        <f>D12/H12</f>
        <v>1</v>
      </c>
      <c r="AC12" s="1572">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67"/>
      <c r="Q13" s="1151">
        <f t="shared" si="6"/>
        <v>111</v>
      </c>
      <c r="R13" s="1569" t="s">
        <v>11</v>
      </c>
      <c r="S13" s="1570">
        <f t="shared" si="0"/>
        <v>100</v>
      </c>
      <c r="T13" s="1569" t="s">
        <v>11</v>
      </c>
      <c r="U13" s="1570">
        <f t="shared" si="1"/>
        <v>100</v>
      </c>
      <c r="V13" s="1569" t="s">
        <v>11</v>
      </c>
      <c r="W13" s="1570">
        <f t="shared" si="2"/>
        <v>100</v>
      </c>
      <c r="X13" s="1571"/>
      <c r="Y13" s="3374"/>
      <c r="Z13" s="1150">
        <f t="shared" si="7"/>
        <v>111</v>
      </c>
      <c r="AA13" s="1572">
        <f t="shared" si="3"/>
        <v>1</v>
      </c>
      <c r="AB13" s="1572">
        <f t="shared" si="4"/>
        <v>1</v>
      </c>
      <c r="AC13" s="1572">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67"/>
      <c r="Q14" s="1151">
        <f t="shared" si="6"/>
        <v>111</v>
      </c>
      <c r="R14" s="1569" t="s">
        <v>11</v>
      </c>
      <c r="S14" s="1570">
        <f t="shared" si="0"/>
        <v>100</v>
      </c>
      <c r="T14" s="1569" t="s">
        <v>11</v>
      </c>
      <c r="U14" s="1570">
        <f t="shared" si="1"/>
        <v>100</v>
      </c>
      <c r="V14" s="1569" t="s">
        <v>11</v>
      </c>
      <c r="W14" s="1570">
        <f t="shared" si="2"/>
        <v>100</v>
      </c>
      <c r="X14" s="1571"/>
      <c r="Y14" s="3374"/>
      <c r="Z14" s="1150">
        <f t="shared" si="7"/>
        <v>111</v>
      </c>
      <c r="AA14" s="1572">
        <f t="shared" si="3"/>
        <v>1</v>
      </c>
      <c r="AB14" s="1572">
        <f t="shared" si="4"/>
        <v>1</v>
      </c>
      <c r="AC14" s="1572">
        <f t="shared" si="5"/>
        <v>1</v>
      </c>
    </row>
    <row r="15" spans="1:29" ht="15">
      <c r="A15" s="2888" t="s">
        <v>2751</v>
      </c>
      <c r="B15" s="166" t="s">
        <v>295</v>
      </c>
      <c r="C15" s="867" t="str">
        <f>估价对象房地状况!C3</f>
        <v>一般</v>
      </c>
      <c r="D15" s="549">
        <v>100</v>
      </c>
      <c r="E15" s="550"/>
      <c r="F15" s="551">
        <f>SUMIF(76:76,E16,77:77)-SUMIF(76:76,C16,77:77)+100</f>
        <v>102</v>
      </c>
      <c r="G15" s="552"/>
      <c r="H15" s="549">
        <f>SUMIF(76:76,G16,77:77)-SUMIF(76:76,C16,77:77)+100</f>
        <v>102</v>
      </c>
      <c r="I15" s="550"/>
      <c r="J15" s="549">
        <f>SUMIF(76:76,I16,77:77)-SUMIF(76:76,C16,77:77)+100</f>
        <v>102</v>
      </c>
      <c r="K15" s="868">
        <v>2</v>
      </c>
      <c r="L15" s="2142"/>
      <c r="M15" s="2134"/>
      <c r="N15" s="2134"/>
      <c r="O15" s="2141"/>
      <c r="P15" s="3502" t="s">
        <v>538</v>
      </c>
      <c r="Q15" s="1573" t="str">
        <f t="shared" si="6"/>
        <v>居住社区成熟度</v>
      </c>
      <c r="R15" s="1574" t="s">
        <v>11</v>
      </c>
      <c r="S15" s="1575">
        <f t="shared" si="0"/>
        <v>102</v>
      </c>
      <c r="T15" s="1574" t="s">
        <v>11</v>
      </c>
      <c r="U15" s="1575">
        <f t="shared" si="1"/>
        <v>102</v>
      </c>
      <c r="V15" s="1574" t="s">
        <v>11</v>
      </c>
      <c r="W15" s="1575">
        <f t="shared" si="2"/>
        <v>102</v>
      </c>
      <c r="X15" s="1568"/>
      <c r="Y15" s="3502" t="s">
        <v>538</v>
      </c>
      <c r="Z15" s="1576" t="str">
        <f t="shared" si="7"/>
        <v>居住社区成熟度</v>
      </c>
      <c r="AA15" s="1577">
        <f t="shared" si="3"/>
        <v>0.98039215686274506</v>
      </c>
      <c r="AB15" s="1577">
        <f t="shared" si="4"/>
        <v>0.98039215686274506</v>
      </c>
      <c r="AC15" s="1577">
        <f t="shared" si="5"/>
        <v>0.98039215686274506</v>
      </c>
    </row>
    <row r="16" spans="1:29" ht="15">
      <c r="A16" s="532"/>
      <c r="B16" s="869"/>
      <c r="C16" s="576" t="s">
        <v>3332</v>
      </c>
      <c r="D16" s="555"/>
      <c r="E16" s="556" t="s">
        <v>3330</v>
      </c>
      <c r="F16" s="557"/>
      <c r="G16" s="558" t="s">
        <v>3330</v>
      </c>
      <c r="H16" s="559"/>
      <c r="I16" s="558" t="s">
        <v>3330</v>
      </c>
      <c r="J16" s="555"/>
      <c r="K16" s="870"/>
      <c r="L16" s="2142"/>
      <c r="M16" s="2134"/>
      <c r="N16" s="2134"/>
      <c r="O16" s="2141"/>
      <c r="P16" s="3503"/>
      <c r="Q16" s="1573"/>
      <c r="R16" s="1574"/>
      <c r="S16" s="1575"/>
      <c r="T16" s="1574"/>
      <c r="U16" s="1575"/>
      <c r="V16" s="1574"/>
      <c r="W16" s="1575"/>
      <c r="X16" s="1568"/>
      <c r="Y16" s="3503"/>
      <c r="Z16" s="1576"/>
      <c r="AA16" s="1577">
        <v>1</v>
      </c>
      <c r="AB16" s="1577">
        <v>1</v>
      </c>
      <c r="AC16" s="1577">
        <v>1</v>
      </c>
    </row>
    <row r="17" spans="1:29" ht="15">
      <c r="A17" s="532"/>
      <c r="B17" s="871" t="s">
        <v>296</v>
      </c>
      <c r="C17" s="872" t="str">
        <f>估价对象房地状况!C6</f>
        <v>一般</v>
      </c>
      <c r="D17" s="559">
        <v>100</v>
      </c>
      <c r="E17" s="562"/>
      <c r="F17" s="563">
        <f>SUMIF(78:78,E18,79:79)-SUMIF(78:78,C18,79:79)+100</f>
        <v>102</v>
      </c>
      <c r="G17" s="564"/>
      <c r="H17" s="565">
        <f>SUMIF(78:78,G18,79:79)-SUMIF(78:78,C18,79:79)+100</f>
        <v>102</v>
      </c>
      <c r="I17" s="562"/>
      <c r="J17" s="565">
        <f>SUMIF(78:78,I18,79:79)-SUMIF(78:78,C18,79:79)+100</f>
        <v>102</v>
      </c>
      <c r="K17" s="868">
        <v>2</v>
      </c>
      <c r="L17" s="2142"/>
      <c r="M17" s="2134"/>
      <c r="N17" s="2134"/>
      <c r="O17" s="2141"/>
      <c r="P17" s="3503"/>
      <c r="Q17" s="1573" t="str">
        <f>B17</f>
        <v>交通便捷度</v>
      </c>
      <c r="R17" s="1574" t="s">
        <v>11</v>
      </c>
      <c r="S17" s="1575">
        <f>F17</f>
        <v>102</v>
      </c>
      <c r="T17" s="1574" t="s">
        <v>11</v>
      </c>
      <c r="U17" s="1575">
        <f>H17</f>
        <v>102</v>
      </c>
      <c r="V17" s="1574" t="s">
        <v>11</v>
      </c>
      <c r="W17" s="1575">
        <f>J17</f>
        <v>102</v>
      </c>
      <c r="X17" s="1568"/>
      <c r="Y17" s="3503"/>
      <c r="Z17" s="1576" t="str">
        <f>Q17</f>
        <v>交通便捷度</v>
      </c>
      <c r="AA17" s="1577">
        <f t="shared" si="3"/>
        <v>0.98039215686274506</v>
      </c>
      <c r="AB17" s="1577">
        <f t="shared" si="4"/>
        <v>0.98039215686274506</v>
      </c>
      <c r="AC17" s="1577">
        <f t="shared" si="5"/>
        <v>0.98039215686274506</v>
      </c>
    </row>
    <row r="18" spans="1:29" ht="15">
      <c r="A18" s="532"/>
      <c r="B18" s="595"/>
      <c r="C18" s="873" t="s">
        <v>3332</v>
      </c>
      <c r="D18" s="559"/>
      <c r="E18" s="568" t="s">
        <v>3330</v>
      </c>
      <c r="F18" s="563"/>
      <c r="G18" s="569" t="s">
        <v>3330</v>
      </c>
      <c r="H18" s="555"/>
      <c r="I18" s="558" t="s">
        <v>3330</v>
      </c>
      <c r="J18" s="555"/>
      <c r="K18" s="870"/>
      <c r="L18" s="2142"/>
      <c r="M18" s="2134"/>
      <c r="N18" s="2134"/>
      <c r="O18" s="2141"/>
      <c r="P18" s="3503"/>
      <c r="Q18" s="1573"/>
      <c r="R18" s="1574"/>
      <c r="S18" s="1575"/>
      <c r="T18" s="1574"/>
      <c r="U18" s="1575"/>
      <c r="V18" s="1574"/>
      <c r="W18" s="1575"/>
      <c r="X18" s="1568"/>
      <c r="Y18" s="3503"/>
      <c r="Z18" s="1576"/>
      <c r="AA18" s="1577">
        <v>1</v>
      </c>
      <c r="AB18" s="1577">
        <v>1</v>
      </c>
      <c r="AC18" s="1577">
        <v>1</v>
      </c>
    </row>
    <row r="19" spans="1:29" ht="15">
      <c r="A19" s="532"/>
      <c r="B19" s="2579" t="s">
        <v>2543</v>
      </c>
      <c r="C19" s="872" t="str">
        <f>估价对象房地状况!C7</f>
        <v>一般</v>
      </c>
      <c r="D19" s="565">
        <v>100</v>
      </c>
      <c r="E19" s="570"/>
      <c r="F19" s="571">
        <f>SUMIF(80:80,E20,81:81)-SUMIF(80:80,C20,81:81)+100</f>
        <v>102</v>
      </c>
      <c r="G19" s="572"/>
      <c r="H19" s="559">
        <f>SUMIF(80:80,G20,81:81)-SUMIF(80:80,C20,81:81)+100</f>
        <v>102</v>
      </c>
      <c r="I19" s="570"/>
      <c r="J19" s="559">
        <f>SUMIF(80:80,I20,81:81)-SUMIF(80:80,C20,81:81)+100</f>
        <v>102</v>
      </c>
      <c r="K19" s="868">
        <v>2</v>
      </c>
      <c r="L19" s="2142"/>
      <c r="M19" s="2134"/>
      <c r="N19" s="2134"/>
      <c r="O19" s="2141"/>
      <c r="P19" s="3503"/>
      <c r="Q19" s="1573" t="str">
        <f>B19</f>
        <v>公共配套设施</v>
      </c>
      <c r="R19" s="1574" t="s">
        <v>11</v>
      </c>
      <c r="S19" s="1575">
        <f>F19</f>
        <v>102</v>
      </c>
      <c r="T19" s="1574" t="s">
        <v>11</v>
      </c>
      <c r="U19" s="1575">
        <f>H19</f>
        <v>102</v>
      </c>
      <c r="V19" s="1574" t="s">
        <v>11</v>
      </c>
      <c r="W19" s="1575">
        <f>J19</f>
        <v>102</v>
      </c>
      <c r="X19" s="1568"/>
      <c r="Y19" s="3503"/>
      <c r="Z19" s="1576" t="str">
        <f>Q19</f>
        <v>公共配套设施</v>
      </c>
      <c r="AA19" s="1577">
        <f t="shared" si="3"/>
        <v>0.98039215686274506</v>
      </c>
      <c r="AB19" s="1577">
        <f t="shared" si="4"/>
        <v>0.98039215686274506</v>
      </c>
      <c r="AC19" s="1577">
        <f t="shared" si="5"/>
        <v>0.98039215686274506</v>
      </c>
    </row>
    <row r="20" spans="1:29" ht="15">
      <c r="A20" s="532"/>
      <c r="B20" s="595"/>
      <c r="C20" s="576" t="s">
        <v>3332</v>
      </c>
      <c r="D20" s="555"/>
      <c r="E20" s="556" t="s">
        <v>3330</v>
      </c>
      <c r="F20" s="557"/>
      <c r="G20" s="558" t="s">
        <v>3330</v>
      </c>
      <c r="H20" s="555"/>
      <c r="I20" s="558" t="s">
        <v>3330</v>
      </c>
      <c r="J20" s="555"/>
      <c r="K20" s="870"/>
      <c r="L20" s="2142"/>
      <c r="M20" s="2134"/>
      <c r="N20" s="2134"/>
      <c r="O20" s="2141"/>
      <c r="P20" s="3503"/>
      <c r="Q20" s="1573"/>
      <c r="R20" s="1574"/>
      <c r="S20" s="1575"/>
      <c r="T20" s="1574"/>
      <c r="U20" s="1575"/>
      <c r="V20" s="1574"/>
      <c r="W20" s="1575"/>
      <c r="X20" s="1568"/>
      <c r="Y20" s="3503"/>
      <c r="Z20" s="1576"/>
      <c r="AA20" s="1577">
        <v>1</v>
      </c>
      <c r="AB20" s="1577">
        <v>1</v>
      </c>
      <c r="AC20" s="1577">
        <v>1</v>
      </c>
    </row>
    <row r="21" spans="1:29" ht="15">
      <c r="A21" s="532"/>
      <c r="B21" s="2572"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503"/>
      <c r="Q21" s="2558" t="str">
        <f>B21</f>
        <v>基础设施水平</v>
      </c>
      <c r="R21" s="1574" t="s">
        <v>11</v>
      </c>
      <c r="S21" s="1575">
        <f>F21</f>
        <v>100</v>
      </c>
      <c r="T21" s="1574" t="s">
        <v>11</v>
      </c>
      <c r="U21" s="1575">
        <f>H21</f>
        <v>100</v>
      </c>
      <c r="V21" s="1574" t="s">
        <v>11</v>
      </c>
      <c r="W21" s="1575">
        <f>J21</f>
        <v>100</v>
      </c>
      <c r="X21" s="2560"/>
      <c r="Y21" s="3503"/>
      <c r="Z21" s="2559" t="str">
        <f>Q21</f>
        <v>基础设施水平</v>
      </c>
      <c r="AA21" s="1577">
        <f t="shared" ref="AA21" si="8">D21/F21</f>
        <v>1</v>
      </c>
      <c r="AB21" s="1577">
        <f t="shared" ref="AB21" si="9">D21/H21</f>
        <v>1</v>
      </c>
      <c r="AC21" s="1577">
        <f t="shared" ref="AC21" si="10">D21/J21</f>
        <v>1</v>
      </c>
    </row>
    <row r="22" spans="1:29" ht="15">
      <c r="A22" s="532"/>
      <c r="B22" s="922"/>
      <c r="C22" s="873" t="s">
        <v>3323</v>
      </c>
      <c r="D22" s="555"/>
      <c r="E22" s="576" t="s">
        <v>3323</v>
      </c>
      <c r="F22" s="557"/>
      <c r="G22" s="576" t="s">
        <v>3323</v>
      </c>
      <c r="H22" s="555"/>
      <c r="I22" s="576" t="s">
        <v>3323</v>
      </c>
      <c r="J22" s="555"/>
      <c r="K22" s="2578"/>
      <c r="L22" s="2142"/>
      <c r="M22" s="2134"/>
      <c r="N22" s="2134"/>
      <c r="O22" s="2141"/>
      <c r="P22" s="3503"/>
      <c r="Q22" s="2558"/>
      <c r="R22" s="1574"/>
      <c r="S22" s="1575"/>
      <c r="T22" s="1574"/>
      <c r="U22" s="1575"/>
      <c r="V22" s="1574"/>
      <c r="W22" s="1575"/>
      <c r="X22" s="2560"/>
      <c r="Y22" s="3503"/>
      <c r="Z22" s="2559"/>
      <c r="AA22" s="1577">
        <v>1</v>
      </c>
      <c r="AB22" s="1577">
        <v>1</v>
      </c>
      <c r="AC22" s="1577">
        <v>1</v>
      </c>
    </row>
    <row r="23" spans="1:29" ht="27" customHeight="1">
      <c r="A23" s="532"/>
      <c r="B23" s="871" t="s">
        <v>297</v>
      </c>
      <c r="C23" s="872" t="str">
        <f>估价对象房地状况!C9</f>
        <v>自然较好，人文较差，总体一般</v>
      </c>
      <c r="D23" s="559">
        <v>100</v>
      </c>
      <c r="E23" s="562"/>
      <c r="F23" s="563">
        <f>SUMIF(84:84,E24,85:85)-SUMIF(84:84,C24,85:85)+100</f>
        <v>102</v>
      </c>
      <c r="G23" s="564"/>
      <c r="H23" s="559">
        <f>SUMIF(84:84,G24,85:85)-SUMIF(84:84,C24,85:85)+100</f>
        <v>102</v>
      </c>
      <c r="I23" s="562"/>
      <c r="J23" s="559">
        <f>SUMIF(84:84,I24,85:85)-SUMIF(84:84,C24,85:85)+100</f>
        <v>102</v>
      </c>
      <c r="K23" s="868">
        <v>2</v>
      </c>
      <c r="L23" s="2142"/>
      <c r="M23" s="2134"/>
      <c r="N23" s="2134"/>
      <c r="O23" s="2141"/>
      <c r="P23" s="3503"/>
      <c r="Q23" s="1573" t="str">
        <f>B23</f>
        <v>自然及人文环境</v>
      </c>
      <c r="R23" s="1574" t="s">
        <v>11</v>
      </c>
      <c r="S23" s="1575">
        <f>F23</f>
        <v>102</v>
      </c>
      <c r="T23" s="1574" t="s">
        <v>11</v>
      </c>
      <c r="U23" s="1575">
        <f>H23</f>
        <v>102</v>
      </c>
      <c r="V23" s="1574" t="s">
        <v>11</v>
      </c>
      <c r="W23" s="1575">
        <f>J23</f>
        <v>102</v>
      </c>
      <c r="X23" s="1568"/>
      <c r="Y23" s="3503"/>
      <c r="Z23" s="1576" t="str">
        <f>Q23</f>
        <v>自然及人文环境</v>
      </c>
      <c r="AA23" s="1577">
        <f t="shared" si="3"/>
        <v>0.98039215686274506</v>
      </c>
      <c r="AB23" s="1577">
        <f t="shared" si="4"/>
        <v>0.98039215686274506</v>
      </c>
      <c r="AC23" s="1577">
        <f t="shared" si="5"/>
        <v>0.98039215686274506</v>
      </c>
    </row>
    <row r="24" spans="1:29" ht="15">
      <c r="A24" s="532"/>
      <c r="B24" s="595"/>
      <c r="C24" s="576" t="s">
        <v>3332</v>
      </c>
      <c r="D24" s="555"/>
      <c r="E24" s="556" t="s">
        <v>3330</v>
      </c>
      <c r="F24" s="557"/>
      <c r="G24" s="558" t="s">
        <v>3330</v>
      </c>
      <c r="H24" s="555"/>
      <c r="I24" s="556" t="s">
        <v>3330</v>
      </c>
      <c r="J24" s="555"/>
      <c r="K24" s="870"/>
      <c r="L24" s="2142"/>
      <c r="M24" s="2134"/>
      <c r="N24" s="2134"/>
      <c r="O24" s="2141"/>
      <c r="P24" s="3503"/>
      <c r="Q24" s="1573"/>
      <c r="R24" s="1574"/>
      <c r="S24" s="1575"/>
      <c r="T24" s="1574"/>
      <c r="U24" s="1575"/>
      <c r="V24" s="1574"/>
      <c r="W24" s="1575"/>
      <c r="X24" s="1568"/>
      <c r="Y24" s="3503"/>
      <c r="Z24" s="1576"/>
      <c r="AA24" s="1577">
        <v>1</v>
      </c>
      <c r="AB24" s="1577">
        <v>1</v>
      </c>
      <c r="AC24" s="1577">
        <v>1</v>
      </c>
    </row>
    <row r="25" spans="1:29" ht="15" hidden="1">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503"/>
      <c r="Q25" s="1573" t="str">
        <f t="shared" ref="Q25:Q46" si="11">B25</f>
        <v>楼层-1</v>
      </c>
      <c r="R25" s="1574" t="s">
        <v>11</v>
      </c>
      <c r="S25" s="1575">
        <f>F25</f>
        <v>100</v>
      </c>
      <c r="T25" s="1574" t="s">
        <v>11</v>
      </c>
      <c r="U25" s="1575">
        <f>H25</f>
        <v>100</v>
      </c>
      <c r="V25" s="1574" t="s">
        <v>11</v>
      </c>
      <c r="W25" s="1575">
        <f>J25</f>
        <v>100</v>
      </c>
      <c r="X25" s="1568"/>
      <c r="Y25" s="3503"/>
      <c r="Z25" s="1576" t="str">
        <f>Q25</f>
        <v>楼层-1</v>
      </c>
      <c r="AA25" s="1577">
        <f t="shared" si="3"/>
        <v>1</v>
      </c>
      <c r="AB25" s="1577">
        <f t="shared" si="4"/>
        <v>1</v>
      </c>
      <c r="AC25" s="1577">
        <f t="shared" si="5"/>
        <v>1</v>
      </c>
    </row>
    <row r="26" spans="1:29" ht="15" hidden="1">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503"/>
      <c r="Q26" s="1573" t="str">
        <f t="shared" si="11"/>
        <v>朝向</v>
      </c>
      <c r="R26" s="1574" t="s">
        <v>11</v>
      </c>
      <c r="S26" s="1575">
        <f>F26</f>
        <v>100</v>
      </c>
      <c r="T26" s="1574" t="s">
        <v>11</v>
      </c>
      <c r="U26" s="1575">
        <f>H26</f>
        <v>100</v>
      </c>
      <c r="V26" s="1574" t="s">
        <v>11</v>
      </c>
      <c r="W26" s="1575">
        <f>J26</f>
        <v>100</v>
      </c>
      <c r="X26" s="1568"/>
      <c r="Y26" s="3503"/>
      <c r="Z26" s="1576" t="str">
        <f>Q26</f>
        <v>朝向</v>
      </c>
      <c r="AA26" s="1577">
        <f t="shared" si="3"/>
        <v>1</v>
      </c>
      <c r="AB26" s="1577">
        <f t="shared" si="4"/>
        <v>1</v>
      </c>
      <c r="AC26" s="1577">
        <f t="shared" si="5"/>
        <v>1</v>
      </c>
    </row>
    <row r="27" spans="1:29" s="1220" customFormat="1" ht="15.75" thickBot="1">
      <c r="A27" s="536"/>
      <c r="B27" s="537" t="s">
        <v>722</v>
      </c>
      <c r="C27" s="3240" t="s">
        <v>3351</v>
      </c>
      <c r="D27" s="875">
        <v>100</v>
      </c>
      <c r="E27" s="3237" t="s">
        <v>3353</v>
      </c>
      <c r="F27" s="876">
        <f>SUMIF(90:90,E27,91:91)-SUMIF(90:90,C27,91:91)+100</f>
        <v>102</v>
      </c>
      <c r="G27" s="3238" t="s">
        <v>3351</v>
      </c>
      <c r="H27" s="875">
        <f>SUMIF(90:90,G27,91:91)-SUMIF(90:90,C27,91:91)+100</f>
        <v>100</v>
      </c>
      <c r="I27" s="3237" t="s">
        <v>3351</v>
      </c>
      <c r="J27" s="875">
        <f>SUMIF(90:90,I27,91:91)-SUMIF(90:90,C27,91:91)+100</f>
        <v>100</v>
      </c>
      <c r="K27" s="865"/>
      <c r="L27" s="2135"/>
      <c r="M27" s="2136"/>
      <c r="N27" s="2136"/>
      <c r="O27" s="2137"/>
      <c r="P27" s="3503"/>
      <c r="Q27" s="1151" t="str">
        <f t="shared" si="11"/>
        <v>道路级别</v>
      </c>
      <c r="R27" s="1569" t="s">
        <v>11</v>
      </c>
      <c r="S27" s="1570">
        <f>F27</f>
        <v>102</v>
      </c>
      <c r="T27" s="1569" t="s">
        <v>11</v>
      </c>
      <c r="U27" s="1570">
        <f>H27</f>
        <v>100</v>
      </c>
      <c r="V27" s="1569" t="s">
        <v>11</v>
      </c>
      <c r="W27" s="1570">
        <f>J27</f>
        <v>100</v>
      </c>
      <c r="X27" s="1571"/>
      <c r="Y27" s="3503"/>
      <c r="Z27" s="1150" t="str">
        <f>Q27</f>
        <v>道路级别</v>
      </c>
      <c r="AA27" s="1577">
        <f>D27/F27</f>
        <v>0.98039215686274506</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503"/>
      <c r="Q28" s="1573">
        <f t="shared" si="11"/>
        <v>111</v>
      </c>
      <c r="R28" s="1574" t="s">
        <v>11</v>
      </c>
      <c r="S28" s="1575">
        <f t="shared" ref="S28:S46" si="12">F28</f>
        <v>100</v>
      </c>
      <c r="T28" s="1574" t="s">
        <v>11</v>
      </c>
      <c r="U28" s="1575">
        <f t="shared" ref="U28:U46" si="13">H28</f>
        <v>100</v>
      </c>
      <c r="V28" s="1574" t="s">
        <v>11</v>
      </c>
      <c r="W28" s="1575">
        <f t="shared" ref="W28:W46" si="14">J28</f>
        <v>100</v>
      </c>
      <c r="X28" s="1568"/>
      <c r="Y28" s="3503"/>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503"/>
      <c r="Q29" s="1573">
        <f t="shared" si="11"/>
        <v>111</v>
      </c>
      <c r="R29" s="1574" t="s">
        <v>11</v>
      </c>
      <c r="S29" s="1575">
        <f t="shared" si="12"/>
        <v>100</v>
      </c>
      <c r="T29" s="1574" t="s">
        <v>11</v>
      </c>
      <c r="U29" s="1575">
        <f t="shared" si="13"/>
        <v>100</v>
      </c>
      <c r="V29" s="1574" t="s">
        <v>11</v>
      </c>
      <c r="W29" s="1575">
        <f t="shared" si="14"/>
        <v>100</v>
      </c>
      <c r="X29" s="1568"/>
      <c r="Y29" s="3503"/>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503"/>
      <c r="Q30" s="1573">
        <f t="shared" si="11"/>
        <v>111</v>
      </c>
      <c r="R30" s="1574" t="s">
        <v>11</v>
      </c>
      <c r="S30" s="1575">
        <f t="shared" si="12"/>
        <v>100</v>
      </c>
      <c r="T30" s="1574" t="s">
        <v>11</v>
      </c>
      <c r="U30" s="1575">
        <f t="shared" si="13"/>
        <v>100</v>
      </c>
      <c r="V30" s="1574" t="s">
        <v>11</v>
      </c>
      <c r="W30" s="1575">
        <f t="shared" si="14"/>
        <v>100</v>
      </c>
      <c r="X30" s="1568"/>
      <c r="Y30" s="3503"/>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503"/>
      <c r="Q31" s="1573">
        <f t="shared" si="11"/>
        <v>111</v>
      </c>
      <c r="R31" s="1574" t="s">
        <v>11</v>
      </c>
      <c r="S31" s="1575">
        <f t="shared" si="12"/>
        <v>100</v>
      </c>
      <c r="T31" s="1574" t="s">
        <v>11</v>
      </c>
      <c r="U31" s="1575">
        <f t="shared" si="13"/>
        <v>100</v>
      </c>
      <c r="V31" s="1574" t="s">
        <v>11</v>
      </c>
      <c r="W31" s="1575">
        <f t="shared" si="14"/>
        <v>100</v>
      </c>
      <c r="X31" s="1568"/>
      <c r="Y31" s="3503"/>
      <c r="Z31" s="1576">
        <f t="shared" si="15"/>
        <v>111</v>
      </c>
      <c r="AA31" s="1577">
        <f t="shared" si="3"/>
        <v>1</v>
      </c>
      <c r="AB31" s="1577">
        <f t="shared" si="4"/>
        <v>1</v>
      </c>
      <c r="AC31" s="1577">
        <f t="shared" si="5"/>
        <v>1</v>
      </c>
    </row>
    <row r="32" spans="1:29" ht="15">
      <c r="A32" s="2885" t="s">
        <v>2752</v>
      </c>
      <c r="B32" s="172" t="s">
        <v>723</v>
      </c>
      <c r="C32" s="878" t="s">
        <v>3089</v>
      </c>
      <c r="D32" s="597">
        <v>100</v>
      </c>
      <c r="E32" s="879" t="s">
        <v>3089</v>
      </c>
      <c r="F32" s="575">
        <f>SUMIF(100:100,E32,101:101)-SUMIF(100:100,C32,101:101)+100</f>
        <v>100</v>
      </c>
      <c r="G32" s="878" t="s">
        <v>3089</v>
      </c>
      <c r="H32" s="597">
        <f>SUMIF(100:100,G32,101:101)-SUMIF(100:100,C32,101:101)+100</f>
        <v>100</v>
      </c>
      <c r="I32" s="879" t="s">
        <v>3089</v>
      </c>
      <c r="J32" s="540">
        <f>SUMIF(100:100,I32,101:101)-SUMIF(100:100,C32,101:101)+100</f>
        <v>100</v>
      </c>
      <c r="K32" s="864">
        <v>15</v>
      </c>
      <c r="L32" s="2142"/>
      <c r="M32" s="2134"/>
      <c r="N32" s="2134"/>
      <c r="O32" s="2141"/>
      <c r="P32" s="3504" t="s">
        <v>548</v>
      </c>
      <c r="Q32" s="1573" t="str">
        <f t="shared" si="11"/>
        <v>建筑类型</v>
      </c>
      <c r="R32" s="1574" t="s">
        <v>11</v>
      </c>
      <c r="S32" s="1575">
        <f t="shared" si="12"/>
        <v>100</v>
      </c>
      <c r="T32" s="1574" t="s">
        <v>11</v>
      </c>
      <c r="U32" s="1575">
        <f t="shared" si="13"/>
        <v>100</v>
      </c>
      <c r="V32" s="1574" t="s">
        <v>11</v>
      </c>
      <c r="W32" s="1575">
        <f t="shared" si="14"/>
        <v>100</v>
      </c>
      <c r="X32" s="1568"/>
      <c r="Y32" s="3505" t="s">
        <v>548</v>
      </c>
      <c r="Z32" s="1576" t="str">
        <f t="shared" si="15"/>
        <v>建筑类型</v>
      </c>
      <c r="AA32" s="1577">
        <f t="shared" si="3"/>
        <v>1</v>
      </c>
      <c r="AB32" s="1577">
        <f t="shared" si="4"/>
        <v>1</v>
      </c>
      <c r="AC32" s="1577">
        <f t="shared" si="5"/>
        <v>1</v>
      </c>
    </row>
    <row r="33" spans="1:29" s="1339" customFormat="1" ht="15">
      <c r="A33" s="603"/>
      <c r="B33" s="527" t="s">
        <v>724</v>
      </c>
      <c r="C33" s="880">
        <f>数据!G2+数据!H2+数据!I2+数据!F2+数据!J2</f>
        <v>499957</v>
      </c>
      <c r="D33" s="255">
        <v>100</v>
      </c>
      <c r="E33" s="534">
        <v>353631</v>
      </c>
      <c r="F33" s="863">
        <f>LOOKUP(E33,103:103,104:104)-LOOKUP(C33,103:103,104:104)+100</f>
        <v>98</v>
      </c>
      <c r="G33" s="533">
        <v>800000</v>
      </c>
      <c r="H33" s="255">
        <f>LOOKUP(G33,103:103,104:104)-LOOKUP(C33,103:103,104:104)+100</f>
        <v>102</v>
      </c>
      <c r="I33" s="534">
        <v>53577</v>
      </c>
      <c r="J33" s="255">
        <f>LOOKUP(I33,103:103,104:104)-LOOKUP(C33,103:103,104:104)+100</f>
        <v>94</v>
      </c>
      <c r="K33" s="865"/>
      <c r="L33" s="2140"/>
      <c r="M33" s="2171"/>
      <c r="N33" s="2171"/>
      <c r="O33" s="2143"/>
      <c r="P33" s="3505"/>
      <c r="Q33" s="1606" t="str">
        <f t="shared" si="11"/>
        <v>项目建筑规模</v>
      </c>
      <c r="R33" s="1578" t="s">
        <v>11</v>
      </c>
      <c r="S33" s="1579">
        <f t="shared" si="12"/>
        <v>98</v>
      </c>
      <c r="T33" s="1578" t="s">
        <v>11</v>
      </c>
      <c r="U33" s="1579">
        <f t="shared" si="13"/>
        <v>102</v>
      </c>
      <c r="V33" s="1578" t="s">
        <v>11</v>
      </c>
      <c r="W33" s="1579">
        <f t="shared" si="14"/>
        <v>94</v>
      </c>
      <c r="X33" s="1580"/>
      <c r="Y33" s="3505"/>
      <c r="Z33" s="1581" t="str">
        <f t="shared" si="15"/>
        <v>项目建筑规模</v>
      </c>
      <c r="AA33" s="1577">
        <f t="shared" si="3"/>
        <v>1.0204081632653061</v>
      </c>
      <c r="AB33" s="1577">
        <f t="shared" si="4"/>
        <v>0.98039215686274506</v>
      </c>
      <c r="AC33" s="1577">
        <f t="shared" si="5"/>
        <v>1.0638297872340425</v>
      </c>
    </row>
    <row r="34" spans="1:29" ht="15">
      <c r="A34" s="594"/>
      <c r="B34" s="527" t="s">
        <v>725</v>
      </c>
      <c r="C34" s="881" t="s">
        <v>3149</v>
      </c>
      <c r="D34" s="540">
        <v>100</v>
      </c>
      <c r="E34" s="882" t="s">
        <v>3149</v>
      </c>
      <c r="F34" s="575">
        <f>SUMIF(105:105,E34,106:106)-SUMIF(105:105,C34,106:106)+100</f>
        <v>100</v>
      </c>
      <c r="G34" s="882" t="s">
        <v>3149</v>
      </c>
      <c r="H34" s="540">
        <f>SUMIF(105:105,G34,106:106)-SUMIF(105:105,C34,106:106)+100</f>
        <v>100</v>
      </c>
      <c r="I34" s="882" t="s">
        <v>3149</v>
      </c>
      <c r="J34" s="540">
        <f>SUMIF(105:105,I34,106:106)-SUMIF(105:105,C34,106:106)+100</f>
        <v>100</v>
      </c>
      <c r="K34" s="864">
        <v>2</v>
      </c>
      <c r="L34" s="2142"/>
      <c r="M34" s="2134"/>
      <c r="N34" s="2134"/>
      <c r="O34" s="2141"/>
      <c r="P34" s="3505"/>
      <c r="Q34" s="1573" t="str">
        <f t="shared" si="11"/>
        <v>建筑结构</v>
      </c>
      <c r="R34" s="1574" t="s">
        <v>11</v>
      </c>
      <c r="S34" s="1575">
        <f t="shared" si="12"/>
        <v>100</v>
      </c>
      <c r="T34" s="1574" t="s">
        <v>11</v>
      </c>
      <c r="U34" s="1575">
        <f t="shared" si="13"/>
        <v>100</v>
      </c>
      <c r="V34" s="1574" t="s">
        <v>11</v>
      </c>
      <c r="W34" s="1575">
        <f t="shared" si="14"/>
        <v>100</v>
      </c>
      <c r="X34" s="1568"/>
      <c r="Y34" s="3505"/>
      <c r="Z34" s="1576" t="str">
        <f t="shared" si="15"/>
        <v>建筑结构</v>
      </c>
      <c r="AA34" s="1577">
        <f t="shared" si="3"/>
        <v>1</v>
      </c>
      <c r="AB34" s="1577">
        <f t="shared" si="4"/>
        <v>1</v>
      </c>
      <c r="AC34" s="1577">
        <f t="shared" si="5"/>
        <v>1</v>
      </c>
    </row>
    <row r="35" spans="1:29" ht="15" hidden="1">
      <c r="A35" s="594"/>
      <c r="B35" s="527" t="s">
        <v>726</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505"/>
      <c r="Q35" s="1573" t="str">
        <f t="shared" si="11"/>
        <v>建筑品质</v>
      </c>
      <c r="R35" s="1574" t="s">
        <v>11</v>
      </c>
      <c r="S35" s="1575">
        <f t="shared" si="12"/>
        <v>100</v>
      </c>
      <c r="T35" s="1574" t="s">
        <v>11</v>
      </c>
      <c r="U35" s="1575">
        <f t="shared" si="13"/>
        <v>100</v>
      </c>
      <c r="V35" s="1574" t="s">
        <v>11</v>
      </c>
      <c r="W35" s="1575">
        <f t="shared" si="14"/>
        <v>100</v>
      </c>
      <c r="X35" s="1568"/>
      <c r="Y35" s="3505"/>
      <c r="Z35" s="1576" t="str">
        <f t="shared" si="15"/>
        <v>建筑品质</v>
      </c>
      <c r="AA35" s="1577">
        <f t="shared" si="3"/>
        <v>1</v>
      </c>
      <c r="AB35" s="1577">
        <f t="shared" si="4"/>
        <v>1</v>
      </c>
      <c r="AC35" s="1577">
        <f t="shared" si="5"/>
        <v>1</v>
      </c>
    </row>
    <row r="36" spans="1:29" ht="15">
      <c r="A36" s="594"/>
      <c r="B36" s="527" t="s">
        <v>727</v>
      </c>
      <c r="C36" s="599" t="s">
        <v>3361</v>
      </c>
      <c r="D36" s="540">
        <v>100</v>
      </c>
      <c r="E36" s="599" t="s">
        <v>3361</v>
      </c>
      <c r="F36" s="575">
        <f>SUMIF(109:109,E36,110:110)-SUMIF(109:109,C36,110:110)+100</f>
        <v>100</v>
      </c>
      <c r="G36" s="599" t="s">
        <v>3361</v>
      </c>
      <c r="H36" s="540">
        <f>SUMIF(109:109,G36,110:110)-SUMIF(109:109,C36,110:110)+100</f>
        <v>100</v>
      </c>
      <c r="I36" s="599" t="s">
        <v>3361</v>
      </c>
      <c r="J36" s="540">
        <f>SUMIF(109:109,I36,110:110)-SUMIF(109:109,C36,110:110)+100</f>
        <v>100</v>
      </c>
      <c r="K36" s="864">
        <v>2</v>
      </c>
      <c r="L36" s="2142"/>
      <c r="M36" s="2134"/>
      <c r="N36" s="2134"/>
      <c r="O36" s="2141"/>
      <c r="P36" s="3505"/>
      <c r="Q36" s="1573" t="str">
        <f t="shared" si="11"/>
        <v>公共部分装修</v>
      </c>
      <c r="R36" s="1574" t="s">
        <v>11</v>
      </c>
      <c r="S36" s="1575">
        <f t="shared" si="12"/>
        <v>100</v>
      </c>
      <c r="T36" s="1574" t="s">
        <v>11</v>
      </c>
      <c r="U36" s="1575">
        <f t="shared" si="13"/>
        <v>100</v>
      </c>
      <c r="V36" s="1574" t="s">
        <v>11</v>
      </c>
      <c r="W36" s="1575">
        <f t="shared" si="14"/>
        <v>100</v>
      </c>
      <c r="X36" s="1568"/>
      <c r="Y36" s="3505"/>
      <c r="Z36" s="1576" t="str">
        <f t="shared" si="15"/>
        <v>公共部分装修</v>
      </c>
      <c r="AA36" s="1577">
        <f t="shared" si="3"/>
        <v>1</v>
      </c>
      <c r="AB36" s="1577">
        <f t="shared" si="4"/>
        <v>1</v>
      </c>
      <c r="AC36" s="1577">
        <f t="shared" si="5"/>
        <v>1</v>
      </c>
    </row>
    <row r="37" spans="1:29" s="1220" customFormat="1" ht="15">
      <c r="A37" s="600"/>
      <c r="B37" s="527" t="s">
        <v>728</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505"/>
      <c r="Q37" s="1151" t="str">
        <f t="shared" si="11"/>
        <v>成新度</v>
      </c>
      <c r="R37" s="1569" t="s">
        <v>11</v>
      </c>
      <c r="S37" s="1570">
        <f t="shared" si="12"/>
        <v>100</v>
      </c>
      <c r="T37" s="1569" t="s">
        <v>11</v>
      </c>
      <c r="U37" s="1570">
        <f t="shared" si="13"/>
        <v>100</v>
      </c>
      <c r="V37" s="1569" t="s">
        <v>11</v>
      </c>
      <c r="W37" s="1570">
        <f t="shared" si="14"/>
        <v>100</v>
      </c>
      <c r="X37" s="1571"/>
      <c r="Y37" s="3505"/>
      <c r="Z37" s="1150" t="str">
        <f t="shared" si="15"/>
        <v>成新度</v>
      </c>
      <c r="AA37" s="1572">
        <f t="shared" si="3"/>
        <v>1</v>
      </c>
      <c r="AB37" s="1572">
        <f t="shared" si="4"/>
        <v>1</v>
      </c>
      <c r="AC37" s="1572">
        <f t="shared" si="5"/>
        <v>1</v>
      </c>
    </row>
    <row r="38" spans="1:29" ht="15">
      <c r="A38" s="594"/>
      <c r="B38" s="527" t="s">
        <v>729</v>
      </c>
      <c r="C38" s="599" t="s">
        <v>3369</v>
      </c>
      <c r="D38" s="540">
        <v>100</v>
      </c>
      <c r="E38" s="599" t="s">
        <v>3369</v>
      </c>
      <c r="F38" s="575">
        <f>SUMIF(114:114,E38,115:115)-SUMIF(114:114,C38,115:115)+100</f>
        <v>100</v>
      </c>
      <c r="G38" s="599" t="s">
        <v>3369</v>
      </c>
      <c r="H38" s="540">
        <f>SUMIF(114:114,G38,115:115)-SUMIF(114:114,C38,115:115)+100</f>
        <v>100</v>
      </c>
      <c r="I38" s="599" t="s">
        <v>3369</v>
      </c>
      <c r="J38" s="540">
        <f>SUMIF(114:114,I38,115:115)-SUMIF(114:114,C38,115:115)+100</f>
        <v>100</v>
      </c>
      <c r="K38" s="864">
        <v>2</v>
      </c>
      <c r="L38" s="2142"/>
      <c r="M38" s="2134"/>
      <c r="N38" s="2134"/>
      <c r="O38" s="2141"/>
      <c r="P38" s="3505" t="s">
        <v>548</v>
      </c>
      <c r="Q38" s="1573" t="str">
        <f t="shared" si="11"/>
        <v>物业管理</v>
      </c>
      <c r="R38" s="1574" t="s">
        <v>11</v>
      </c>
      <c r="S38" s="1575">
        <f t="shared" si="12"/>
        <v>100</v>
      </c>
      <c r="T38" s="1574" t="s">
        <v>11</v>
      </c>
      <c r="U38" s="1575">
        <f t="shared" si="13"/>
        <v>100</v>
      </c>
      <c r="V38" s="1574" t="s">
        <v>11</v>
      </c>
      <c r="W38" s="1575">
        <f t="shared" si="14"/>
        <v>100</v>
      </c>
      <c r="X38" s="1568"/>
      <c r="Y38" s="3505" t="s">
        <v>548</v>
      </c>
      <c r="Z38" s="1576" t="str">
        <f t="shared" si="15"/>
        <v>物业管理</v>
      </c>
      <c r="AA38" s="1577">
        <f t="shared" si="3"/>
        <v>1</v>
      </c>
      <c r="AB38" s="1577">
        <f t="shared" si="4"/>
        <v>1</v>
      </c>
      <c r="AC38" s="1577">
        <f t="shared" si="5"/>
        <v>1</v>
      </c>
    </row>
    <row r="39" spans="1:29" ht="15">
      <c r="A39" s="594"/>
      <c r="B39" s="1895" t="s">
        <v>2561</v>
      </c>
      <c r="C39" s="599" t="s">
        <v>3323</v>
      </c>
      <c r="D39" s="540">
        <v>100</v>
      </c>
      <c r="E39" s="599" t="s">
        <v>3323</v>
      </c>
      <c r="F39" s="575">
        <f>SUMIF(116:116,E39,117:117)-SUMIF(116:116,C39,117:117)+100</f>
        <v>100</v>
      </c>
      <c r="G39" s="599" t="s">
        <v>3323</v>
      </c>
      <c r="H39" s="540">
        <f>SUMIF(116:116,G39,117:117)-SUMIF(116:116,C39,117:117)+100</f>
        <v>100</v>
      </c>
      <c r="I39" s="599" t="s">
        <v>3323</v>
      </c>
      <c r="J39" s="540">
        <f>SUMIF(116:116,I39,117:117)-SUMIF(116:116,C39,117:117)+100</f>
        <v>100</v>
      </c>
      <c r="K39" s="864">
        <v>1</v>
      </c>
      <c r="L39" s="2142"/>
      <c r="M39" s="2134"/>
      <c r="N39" s="2134"/>
      <c r="O39" s="2141"/>
      <c r="P39" s="3505"/>
      <c r="Q39" s="1573" t="str">
        <f t="shared" si="11"/>
        <v>市政基础设施</v>
      </c>
      <c r="R39" s="1574" t="s">
        <v>11</v>
      </c>
      <c r="S39" s="1575">
        <f t="shared" si="12"/>
        <v>100</v>
      </c>
      <c r="T39" s="1574" t="s">
        <v>11</v>
      </c>
      <c r="U39" s="1575">
        <f t="shared" si="13"/>
        <v>100</v>
      </c>
      <c r="V39" s="1574" t="s">
        <v>11</v>
      </c>
      <c r="W39" s="1575">
        <f t="shared" si="14"/>
        <v>100</v>
      </c>
      <c r="X39" s="1568"/>
      <c r="Y39" s="3505"/>
      <c r="Z39" s="1576" t="str">
        <f t="shared" si="15"/>
        <v>市政基础设施</v>
      </c>
      <c r="AA39" s="1577">
        <f t="shared" si="3"/>
        <v>1</v>
      </c>
      <c r="AB39" s="1577">
        <f t="shared" si="4"/>
        <v>1</v>
      </c>
      <c r="AC39" s="1577">
        <f t="shared" si="5"/>
        <v>1</v>
      </c>
    </row>
    <row r="40" spans="1:29" ht="15" hidden="1">
      <c r="A40" s="594"/>
      <c r="B40" s="527" t="s">
        <v>730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505"/>
      <c r="Q40" s="1573" t="str">
        <f t="shared" si="11"/>
        <v>房型</v>
      </c>
      <c r="R40" s="1574" t="s">
        <v>11</v>
      </c>
      <c r="S40" s="1575">
        <f t="shared" si="12"/>
        <v>100</v>
      </c>
      <c r="T40" s="1574" t="s">
        <v>11</v>
      </c>
      <c r="U40" s="1575">
        <f t="shared" si="13"/>
        <v>100</v>
      </c>
      <c r="V40" s="1574" t="s">
        <v>11</v>
      </c>
      <c r="W40" s="1575">
        <f t="shared" si="14"/>
        <v>100</v>
      </c>
      <c r="X40" s="1568"/>
      <c r="Y40" s="3505"/>
      <c r="Z40" s="1576" t="str">
        <f t="shared" si="15"/>
        <v>房型</v>
      </c>
      <c r="AA40" s="1577">
        <f t="shared" si="3"/>
        <v>1</v>
      </c>
      <c r="AB40" s="1577">
        <f t="shared" si="4"/>
        <v>1</v>
      </c>
      <c r="AC40" s="1577">
        <f t="shared" si="5"/>
        <v>1</v>
      </c>
    </row>
    <row r="41" spans="1:29" s="1339" customFormat="1" ht="28.5" hidden="1">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505"/>
      <c r="Q41" s="1606" t="str">
        <f t="shared" si="11"/>
        <v>单套/主力户型建筑面积</v>
      </c>
      <c r="R41" s="1578" t="s">
        <v>11</v>
      </c>
      <c r="S41" s="1579">
        <f t="shared" si="12"/>
        <v>100</v>
      </c>
      <c r="T41" s="1578" t="s">
        <v>11</v>
      </c>
      <c r="U41" s="1579">
        <f t="shared" si="13"/>
        <v>100</v>
      </c>
      <c r="V41" s="1578" t="s">
        <v>11</v>
      </c>
      <c r="W41" s="1579">
        <f t="shared" si="14"/>
        <v>100</v>
      </c>
      <c r="X41" s="1580"/>
      <c r="Y41" s="3505"/>
      <c r="Z41" s="1581" t="str">
        <f t="shared" si="15"/>
        <v>单套/主力户型建筑面积</v>
      </c>
      <c r="AA41" s="1577">
        <f t="shared" si="3"/>
        <v>1</v>
      </c>
      <c r="AB41" s="1577">
        <f t="shared" si="4"/>
        <v>1</v>
      </c>
      <c r="AC41" s="1577">
        <f t="shared" si="5"/>
        <v>1</v>
      </c>
    </row>
    <row r="42" spans="1:29" ht="15.75" thickBot="1">
      <c r="A42" s="594"/>
      <c r="B42" s="527" t="s">
        <v>732</v>
      </c>
      <c r="C42" s="599" t="s">
        <v>3361</v>
      </c>
      <c r="D42" s="540">
        <v>100</v>
      </c>
      <c r="E42" s="874" t="s">
        <v>3361</v>
      </c>
      <c r="F42" s="575">
        <f>SUMIF(122:122,E42,123:123)-SUMIF(122:122,C42,123:123)+100</f>
        <v>100</v>
      </c>
      <c r="G42" s="599" t="s">
        <v>3367</v>
      </c>
      <c r="H42" s="540">
        <f>SUMIF(122:122,G42,123:123)-SUMIF(122:122,C42,123:123)+100</f>
        <v>91</v>
      </c>
      <c r="I42" s="874" t="s">
        <v>3367</v>
      </c>
      <c r="J42" s="540">
        <f>SUMIF(122:122,I42,123:123)-SUMIF(122:122,C42,123:123)+100</f>
        <v>91</v>
      </c>
      <c r="K42" s="864">
        <v>3</v>
      </c>
      <c r="L42" s="2142"/>
      <c r="M42" s="2134"/>
      <c r="N42" s="2134"/>
      <c r="O42" s="2141"/>
      <c r="P42" s="3505"/>
      <c r="Q42" s="1573" t="str">
        <f t="shared" si="11"/>
        <v>内部装修</v>
      </c>
      <c r="R42" s="1574" t="s">
        <v>11</v>
      </c>
      <c r="S42" s="1575">
        <f t="shared" si="12"/>
        <v>100</v>
      </c>
      <c r="T42" s="1574" t="s">
        <v>11</v>
      </c>
      <c r="U42" s="1575">
        <f t="shared" si="13"/>
        <v>91</v>
      </c>
      <c r="V42" s="1574" t="s">
        <v>11</v>
      </c>
      <c r="W42" s="1575">
        <f t="shared" si="14"/>
        <v>91</v>
      </c>
      <c r="X42" s="1568"/>
      <c r="Y42" s="3505"/>
      <c r="Z42" s="1576" t="str">
        <f t="shared" si="15"/>
        <v>内部装修</v>
      </c>
      <c r="AA42" s="1577">
        <f t="shared" si="3"/>
        <v>1</v>
      </c>
      <c r="AB42" s="1577">
        <f t="shared" si="4"/>
        <v>1.098901098901099</v>
      </c>
      <c r="AC42" s="1577">
        <f t="shared" si="5"/>
        <v>1.098901098901099</v>
      </c>
    </row>
    <row r="43" spans="1:29" ht="27" hidden="1">
      <c r="A43" s="594"/>
      <c r="B43" s="527" t="s">
        <v>733</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505"/>
      <c r="Q43" s="1573" t="str">
        <f t="shared" si="11"/>
        <v>内部装修维护情况</v>
      </c>
      <c r="R43" s="1574" t="s">
        <v>11</v>
      </c>
      <c r="S43" s="1575">
        <f t="shared" si="12"/>
        <v>100</v>
      </c>
      <c r="T43" s="1574" t="s">
        <v>11</v>
      </c>
      <c r="U43" s="1575">
        <f t="shared" si="13"/>
        <v>100</v>
      </c>
      <c r="V43" s="1574" t="s">
        <v>11</v>
      </c>
      <c r="W43" s="1575">
        <f t="shared" si="14"/>
        <v>100</v>
      </c>
      <c r="X43" s="1568"/>
      <c r="Y43" s="3505"/>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505"/>
      <c r="Q44" s="1151">
        <f t="shared" si="11"/>
        <v>111</v>
      </c>
      <c r="R44" s="1569" t="s">
        <v>11</v>
      </c>
      <c r="S44" s="1570">
        <f t="shared" si="12"/>
        <v>100</v>
      </c>
      <c r="T44" s="1569" t="s">
        <v>11</v>
      </c>
      <c r="U44" s="1570">
        <f t="shared" si="13"/>
        <v>100</v>
      </c>
      <c r="V44" s="1569" t="s">
        <v>11</v>
      </c>
      <c r="W44" s="1570">
        <f t="shared" si="14"/>
        <v>100</v>
      </c>
      <c r="X44" s="1571"/>
      <c r="Y44" s="3505"/>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505"/>
      <c r="Q45" s="1573">
        <f t="shared" si="11"/>
        <v>111</v>
      </c>
      <c r="R45" s="1574" t="s">
        <v>11</v>
      </c>
      <c r="S45" s="1575">
        <f t="shared" si="12"/>
        <v>100</v>
      </c>
      <c r="T45" s="1574" t="s">
        <v>11</v>
      </c>
      <c r="U45" s="1575">
        <f t="shared" si="13"/>
        <v>100</v>
      </c>
      <c r="V45" s="1574" t="s">
        <v>11</v>
      </c>
      <c r="W45" s="1575">
        <f t="shared" si="14"/>
        <v>100</v>
      </c>
      <c r="X45" s="1568"/>
      <c r="Y45" s="3505"/>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85"/>
      <c r="Q46" s="1573">
        <f t="shared" si="11"/>
        <v>111</v>
      </c>
      <c r="R46" s="1574" t="s">
        <v>10</v>
      </c>
      <c r="S46" s="1575">
        <f t="shared" si="12"/>
        <v>100</v>
      </c>
      <c r="T46" s="1574" t="s">
        <v>10</v>
      </c>
      <c r="U46" s="1575">
        <f t="shared" si="13"/>
        <v>100</v>
      </c>
      <c r="V46" s="1574" t="s">
        <v>10</v>
      </c>
      <c r="W46" s="1575">
        <f t="shared" si="14"/>
        <v>100</v>
      </c>
      <c r="X46" s="1568"/>
      <c r="Y46" s="3585"/>
      <c r="Z46" s="1576">
        <f t="shared" si="15"/>
        <v>111</v>
      </c>
      <c r="AA46" s="1577">
        <f t="shared" si="3"/>
        <v>1</v>
      </c>
      <c r="AB46" s="1577">
        <f t="shared" si="4"/>
        <v>1</v>
      </c>
      <c r="AC46" s="1577">
        <f t="shared" si="5"/>
        <v>1</v>
      </c>
    </row>
    <row r="47" spans="1:29" ht="15">
      <c r="A47" s="607" t="s">
        <v>734</v>
      </c>
      <c r="B47" s="887"/>
      <c r="C47" s="2606" t="s">
        <v>9</v>
      </c>
      <c r="D47" s="2607"/>
      <c r="E47" s="2608">
        <v>10000</v>
      </c>
      <c r="F47" s="2609"/>
      <c r="G47" s="2610">
        <v>9000</v>
      </c>
      <c r="H47" s="2611"/>
      <c r="I47" s="2608">
        <v>9400</v>
      </c>
      <c r="J47" s="2611"/>
      <c r="K47" s="1607"/>
      <c r="L47" s="2144"/>
      <c r="M47" s="2145"/>
      <c r="N47" s="2134"/>
      <c r="O47" s="2145"/>
      <c r="P47" s="3467" t="str">
        <f>A47</f>
        <v>成交单价（元/平方米）</v>
      </c>
      <c r="Q47" s="3467"/>
      <c r="R47" s="3584">
        <f>E47</f>
        <v>10000</v>
      </c>
      <c r="S47" s="3584"/>
      <c r="T47" s="3584">
        <f>G47</f>
        <v>9000</v>
      </c>
      <c r="U47" s="3584"/>
      <c r="V47" s="3584">
        <f>I47</f>
        <v>9400</v>
      </c>
      <c r="W47" s="3584"/>
      <c r="X47" s="1560"/>
      <c r="Y47" s="1582"/>
      <c r="Z47" s="1560"/>
      <c r="AA47" s="1560"/>
      <c r="AB47" s="1560"/>
      <c r="AC47" s="1560"/>
    </row>
    <row r="48" spans="1:29" ht="15.75" thickBot="1">
      <c r="A48" s="615" t="s">
        <v>2757</v>
      </c>
      <c r="B48" s="888"/>
      <c r="C48" s="2612">
        <f>R49</f>
        <v>10055</v>
      </c>
      <c r="D48" s="2613"/>
      <c r="E48" s="2614">
        <f>R48</f>
        <v>9639</v>
      </c>
      <c r="F48" s="2614"/>
      <c r="G48" s="2612">
        <f>T48</f>
        <v>9939</v>
      </c>
      <c r="H48" s="2613"/>
      <c r="I48" s="2614">
        <f>V48</f>
        <v>10588</v>
      </c>
      <c r="J48" s="2613"/>
      <c r="K48" s="1608"/>
      <c r="L48" s="2144"/>
      <c r="M48" s="2145"/>
      <c r="N48" s="2145"/>
      <c r="O48" s="2145"/>
      <c r="P48" s="3467" t="str">
        <f>A48</f>
        <v>比较价格（元/平方米）</v>
      </c>
      <c r="Q48" s="3467"/>
      <c r="R48" s="3584">
        <f>IF(F1="售价",ROUND(PRODUCT(R47,AA7:AA46),0),ROUND(PRODUCT(R47,AA7:AA46),1))</f>
        <v>9639</v>
      </c>
      <c r="S48" s="3584"/>
      <c r="T48" s="3584">
        <f>IF(F1="售价",ROUND(PRODUCT(T47,AB7:AB46),0),ROUND(PRODUCT(T47,AB7:AB46),1))</f>
        <v>9939</v>
      </c>
      <c r="U48" s="3584"/>
      <c r="V48" s="3584">
        <f>IF(F1="售价",ROUND(PRODUCT(V47,AC7:AC46),0),ROUND(PRODUCT(V47,AC7:AC46),1))</f>
        <v>10588</v>
      </c>
      <c r="W48" s="3584"/>
      <c r="X48" s="1560"/>
      <c r="Y48" s="1560"/>
      <c r="Z48" s="1560"/>
      <c r="AA48" s="1560"/>
      <c r="AB48" s="1560"/>
      <c r="AC48" s="1560"/>
    </row>
    <row r="49" spans="1:29" ht="15.75" thickBot="1">
      <c r="A49" s="621" t="s">
        <v>3377</v>
      </c>
      <c r="B49" s="622"/>
      <c r="C49" s="2615">
        <f>R49</f>
        <v>10055</v>
      </c>
      <c r="D49" s="2615"/>
      <c r="E49" s="2615"/>
      <c r="F49" s="2615"/>
      <c r="G49" s="2615"/>
      <c r="H49" s="2615"/>
      <c r="I49" s="2615"/>
      <c r="J49" s="2615"/>
      <c r="K49" s="1609"/>
      <c r="L49" s="2144"/>
      <c r="M49" s="2145"/>
      <c r="N49" s="2145"/>
      <c r="O49" s="2145"/>
      <c r="P49" s="3464" t="str">
        <f>A49</f>
        <v>估价对象普通高层用房的比较价格（楼面单价，元/平方米）</v>
      </c>
      <c r="Q49" s="3465"/>
      <c r="R49" s="3583">
        <f>IF(F1="售价",ROUND(AVERAGE(R48:V48),0),ROUND(AVERAGE(R48:V48),1))</f>
        <v>10055</v>
      </c>
      <c r="S49" s="3583"/>
      <c r="T49" s="3583"/>
      <c r="U49" s="3583"/>
      <c r="V49" s="3583"/>
      <c r="W49" s="358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f>IF(E47&lt;E48,E48/E47-1,E47/E48-1)</f>
        <v>3.7452017844174623E-2</v>
      </c>
      <c r="F52" s="627" t="str">
        <f>IF(OR(E52&gt;=0.3,E52&lt;=-0.3),"超过30%","")</f>
        <v/>
      </c>
      <c r="G52" s="626">
        <f>IF(G47&lt;G48,G48/G47-1,G47/G48-1)</f>
        <v>0.10433333333333339</v>
      </c>
      <c r="H52" s="627" t="str">
        <f>IF(OR(G52&gt;=0.3,G52&lt;=-0.3),"超过30%","")</f>
        <v/>
      </c>
      <c r="I52" s="626">
        <f>IF(I47&lt;I48,I48/I47-1,I47/I48-1)</f>
        <v>0.12638297872340432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f>IF(E48&lt;G48,G48/E48-1,E48/G48-1)</f>
        <v>3.1123560535325279E-2</v>
      </c>
      <c r="F53" s="627" t="str">
        <f>IF(OR(E53&gt;=0.2,E53&lt;=-0.2),"超过20%","")</f>
        <v/>
      </c>
      <c r="G53" s="626">
        <f>IF(G48&lt;I48,I48/G48-1,G48/I48-1)</f>
        <v>6.5298319750477951E-2</v>
      </c>
      <c r="H53" s="627" t="str">
        <f>IF(OR(G53&gt;=0.2,G53&lt;=-0.2),"超过20%","")</f>
        <v/>
      </c>
      <c r="I53" s="626">
        <f>IF(I48&lt;E48,E48/I48-1,I48/E48-1)</f>
        <v>9.8454196493412249E-2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557</v>
      </c>
      <c r="D54" s="628"/>
      <c r="E54" s="626">
        <f>IF(E47&lt;G47,G47/E47-1,E47/G47-1)</f>
        <v>0.11111111111111116</v>
      </c>
      <c r="F54" s="627" t="str">
        <f>IF(OR(E54&gt;=0.3,E54&lt;=-0.3),"超过30%","")</f>
        <v/>
      </c>
      <c r="G54" s="626">
        <f>IF(G47&lt;I47,I47/G47-1,G47/I47-1)</f>
        <v>4.4444444444444509E-2</v>
      </c>
      <c r="H54" s="627" t="str">
        <f>IF(OR(G54&gt;=0.3,G54&lt;=-0.3),"超过30%","")</f>
        <v/>
      </c>
      <c r="I54" s="626">
        <f>IF(I47&lt;E47,E47/I47-1,I47/E47-1)</f>
        <v>6.3829787234042534E-2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572</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527</v>
      </c>
      <c r="B58" s="646"/>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f>C59-$C$60</f>
        <v>98</v>
      </c>
      <c r="E59" s="650">
        <f t="shared" ref="E59:O59" si="17">D59-$C$60</f>
        <v>96</v>
      </c>
      <c r="F59" s="650">
        <f t="shared" si="17"/>
        <v>94</v>
      </c>
      <c r="G59" s="650">
        <f t="shared" si="17"/>
        <v>92</v>
      </c>
      <c r="H59" s="650">
        <f t="shared" si="17"/>
        <v>90</v>
      </c>
      <c r="I59" s="650">
        <f t="shared" si="17"/>
        <v>88</v>
      </c>
      <c r="J59" s="650">
        <f t="shared" si="17"/>
        <v>86</v>
      </c>
      <c r="K59" s="650">
        <f t="shared" si="17"/>
        <v>84</v>
      </c>
      <c r="L59" s="650">
        <f t="shared" si="17"/>
        <v>82</v>
      </c>
      <c r="M59" s="650">
        <f t="shared" si="17"/>
        <v>80</v>
      </c>
      <c r="N59" s="650">
        <f t="shared" si="17"/>
        <v>78</v>
      </c>
      <c r="O59" s="650">
        <f t="shared" si="17"/>
        <v>76</v>
      </c>
      <c r="P59" s="2158"/>
      <c r="Q59" s="1993"/>
      <c r="R59" s="1993"/>
      <c r="S59" s="1993"/>
      <c r="T59" s="1993"/>
      <c r="U59" s="1993"/>
      <c r="V59" s="1993"/>
      <c r="W59" s="1993"/>
      <c r="X59" s="1993"/>
      <c r="Y59" s="1993"/>
      <c r="Z59" s="1993"/>
      <c r="AA59" s="1993"/>
      <c r="AB59" s="1993"/>
      <c r="AC59" s="1993"/>
    </row>
    <row r="60" spans="1:29" s="1220" customFormat="1" ht="15.75" thickBot="1">
      <c r="A60" s="653" t="s">
        <v>573</v>
      </c>
      <c r="B60" s="654"/>
      <c r="C60" s="655">
        <v>2</v>
      </c>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575</v>
      </c>
      <c r="B63" s="665" t="s">
        <v>532</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8">C66-$K10</f>
        <v>98</v>
      </c>
      <c r="E66" s="679">
        <f t="shared" si="18"/>
        <v>96</v>
      </c>
      <c r="F66" s="679">
        <f t="shared" si="18"/>
        <v>94</v>
      </c>
      <c r="G66" s="679">
        <f t="shared" si="18"/>
        <v>92</v>
      </c>
      <c r="H66" s="679">
        <f t="shared" si="18"/>
        <v>90</v>
      </c>
      <c r="I66" s="679">
        <f t="shared" si="18"/>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0（含）-1</v>
      </c>
      <c r="D67" s="682" t="str">
        <f t="shared" ref="D67:L67" si="19">D68&amp;"（含）"&amp;"-"&amp;E68</f>
        <v>1（含）-2</v>
      </c>
      <c r="E67" s="682" t="str">
        <f t="shared" si="19"/>
        <v>2（含）-3</v>
      </c>
      <c r="F67" s="682" t="str">
        <f t="shared" si="19"/>
        <v>3（含）-4</v>
      </c>
      <c r="G67" s="682" t="str">
        <f t="shared" si="19"/>
        <v>4（含）-5</v>
      </c>
      <c r="H67" s="682" t="str">
        <f t="shared" si="19"/>
        <v>5（含）-</v>
      </c>
      <c r="I67" s="682" t="str">
        <f t="shared" si="19"/>
        <v>（含）-</v>
      </c>
      <c r="J67" s="682" t="str">
        <f t="shared" si="19"/>
        <v>（含）-</v>
      </c>
      <c r="K67" s="682" t="str">
        <f t="shared" si="19"/>
        <v>（含）-</v>
      </c>
      <c r="L67" s="682" t="str">
        <f t="shared" si="19"/>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2554</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6"/>
      <c r="O87" s="2166"/>
      <c r="P87" s="2165"/>
      <c r="Q87" s="2158"/>
      <c r="R87" s="1993"/>
      <c r="S87" s="1993"/>
      <c r="T87" s="1993"/>
      <c r="U87" s="1993"/>
      <c r="V87" s="1993"/>
      <c r="W87" s="1993"/>
      <c r="X87" s="1993"/>
      <c r="Y87" s="1993"/>
      <c r="Z87" s="1993"/>
      <c r="AA87" s="1993"/>
      <c r="AB87" s="1993"/>
      <c r="AC87" s="1993"/>
    </row>
    <row r="88" spans="1:29" s="1220" customFormat="1" ht="15.75" hidden="1" thickTop="1">
      <c r="A88" s="709"/>
      <c r="B88" s="673" t="s">
        <v>744</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hidden="1"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235" t="s">
        <v>3352</v>
      </c>
      <c r="D90" s="3235" t="s">
        <v>3353</v>
      </c>
      <c r="E90" s="3235" t="s">
        <v>3351</v>
      </c>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549</v>
      </c>
      <c r="B100" s="665" t="s">
        <v>745</v>
      </c>
      <c r="C100" s="3234" t="s">
        <v>3355</v>
      </c>
      <c r="D100" s="3234" t="s">
        <v>3354</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3">C101-$K32</f>
        <v>85</v>
      </c>
      <c r="E101" s="679">
        <f t="shared" si="23"/>
        <v>70</v>
      </c>
      <c r="F101" s="679">
        <f t="shared" si="23"/>
        <v>55</v>
      </c>
      <c r="G101" s="679">
        <f t="shared" si="23"/>
        <v>40</v>
      </c>
      <c r="H101" s="679">
        <f t="shared" si="23"/>
        <v>25</v>
      </c>
      <c r="I101" s="679">
        <f t="shared" si="23"/>
        <v>10</v>
      </c>
      <c r="J101" s="679">
        <f t="shared" si="23"/>
        <v>-5</v>
      </c>
      <c r="K101" s="679">
        <f t="shared" si="23"/>
        <v>-20</v>
      </c>
      <c r="L101" s="679">
        <f t="shared" si="23"/>
        <v>-35</v>
      </c>
      <c r="M101" s="679">
        <f t="shared" si="23"/>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746</v>
      </c>
      <c r="C102" s="708" t="str">
        <f>C103&amp;"(含)"&amp;"-"&amp;D103</f>
        <v>0(含)-100000</v>
      </c>
      <c r="D102" s="708" t="str">
        <f t="shared" ref="D102:L102" si="24">D103&amp;"(含)"&amp;"-"&amp;E103</f>
        <v>100000(含)-200000</v>
      </c>
      <c r="E102" s="708" t="str">
        <f t="shared" si="24"/>
        <v>200000(含)-400000</v>
      </c>
      <c r="F102" s="708" t="str">
        <f t="shared" si="24"/>
        <v>400000(含)-600000</v>
      </c>
      <c r="G102" s="708" t="str">
        <f t="shared" si="24"/>
        <v>600000(含)-</v>
      </c>
      <c r="H102" s="708" t="str">
        <f t="shared" si="24"/>
        <v>(含)-</v>
      </c>
      <c r="I102" s="708" t="str">
        <f t="shared" si="24"/>
        <v>(含)-</v>
      </c>
      <c r="J102" s="708" t="str">
        <f t="shared" si="24"/>
        <v>(含)-</v>
      </c>
      <c r="K102" s="708" t="str">
        <f t="shared" si="24"/>
        <v>(含)-</v>
      </c>
      <c r="L102" s="708" t="str">
        <f t="shared" si="24"/>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400000</v>
      </c>
      <c r="G103" s="730">
        <v>600000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102</v>
      </c>
      <c r="E104" s="671">
        <v>104</v>
      </c>
      <c r="F104" s="671">
        <v>106</v>
      </c>
      <c r="G104" s="671">
        <v>108</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3235" t="s">
        <v>3356</v>
      </c>
      <c r="D105" s="3235" t="s">
        <v>3357</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3236" t="s">
        <v>3358</v>
      </c>
      <c r="D107" s="3236" t="s">
        <v>3359</v>
      </c>
      <c r="E107" s="3236" t="s">
        <v>3360</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6">C108-$K35</f>
        <v>100</v>
      </c>
      <c r="E108" s="679">
        <f t="shared" si="26"/>
        <v>100</v>
      </c>
      <c r="F108" s="679">
        <f t="shared" si="26"/>
        <v>100</v>
      </c>
      <c r="G108" s="679">
        <f t="shared" si="26"/>
        <v>100</v>
      </c>
      <c r="H108" s="679">
        <f t="shared" si="26"/>
        <v>100</v>
      </c>
      <c r="I108" s="679">
        <f t="shared" si="26"/>
        <v>100</v>
      </c>
      <c r="J108" s="679">
        <f t="shared" si="26"/>
        <v>100</v>
      </c>
      <c r="K108" s="679">
        <f t="shared" si="26"/>
        <v>100</v>
      </c>
      <c r="L108" s="679">
        <f t="shared" si="26"/>
        <v>100</v>
      </c>
      <c r="M108" s="679">
        <f t="shared" si="26"/>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3235" t="s">
        <v>3362</v>
      </c>
      <c r="D109" s="3235" t="s">
        <v>3364</v>
      </c>
      <c r="E109" s="3235" t="s">
        <v>3366</v>
      </c>
      <c r="F109" s="3236" t="s">
        <v>3368</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751</v>
      </c>
      <c r="C114" s="3235" t="s">
        <v>3370</v>
      </c>
      <c r="D114" s="3235" t="s">
        <v>3371</v>
      </c>
      <c r="E114" s="3236" t="s">
        <v>3372</v>
      </c>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2553</v>
      </c>
      <c r="C116" s="3235" t="s">
        <v>3373</v>
      </c>
      <c r="D116" s="3235" t="s">
        <v>3374</v>
      </c>
      <c r="E116" s="3235" t="s">
        <v>3375</v>
      </c>
      <c r="F116" s="3235" t="s">
        <v>3376</v>
      </c>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5"/>
      <c r="B118" s="673" t="s">
        <v>752</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hidden="1" thickTop="1">
      <c r="A120" s="728"/>
      <c r="B120" s="673" t="s">
        <v>731</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hidden="1"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688" t="s">
        <v>3361</v>
      </c>
      <c r="D122" s="688" t="s">
        <v>3363</v>
      </c>
      <c r="E122" s="688" t="s">
        <v>3365</v>
      </c>
      <c r="F122" s="718" t="s">
        <v>3367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hidden="1"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hidden="1"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2" sqref="D3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35</v>
      </c>
      <c r="D1" s="3097" t="s">
        <v>3146</v>
      </c>
      <c r="E1" s="2366" t="s">
        <v>2371</v>
      </c>
      <c r="F1" s="2367">
        <f ca="1">J53</f>
        <v>37.78</v>
      </c>
      <c r="G1" s="774">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19445</v>
      </c>
      <c r="C2" s="2057"/>
      <c r="D2" s="2055"/>
      <c r="E2" s="2056"/>
      <c r="F2" s="2056"/>
      <c r="G2" s="1591"/>
      <c r="H2" s="2057"/>
      <c r="I2" s="2057"/>
      <c r="J2" s="2057"/>
      <c r="K2" s="2058"/>
      <c r="L2" s="2057"/>
      <c r="M2" s="2057"/>
    </row>
    <row r="3" spans="1:33" ht="18" customHeight="1" thickBot="1">
      <c r="A3" s="833" t="s">
        <v>1726</v>
      </c>
      <c r="B3" s="834">
        <f ca="1">IF(ISERROR(B2*10000/F43),0,ROUND(B2*10000/F43,0))</f>
        <v>2810</v>
      </c>
      <c r="C3" s="2057"/>
      <c r="D3" s="2055"/>
      <c r="E3" s="2056"/>
      <c r="F3" s="2056"/>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2455</v>
      </c>
      <c r="C5" s="55">
        <f ca="1">C6+C10+C12</f>
        <v>1364</v>
      </c>
      <c r="D5" s="2475" t="s">
        <v>2458</v>
      </c>
      <c r="E5" s="2469"/>
      <c r="F5" s="2470"/>
      <c r="G5" s="1593"/>
      <c r="H5" s="781">
        <v>1</v>
      </c>
      <c r="I5" s="782" t="s">
        <v>2455</v>
      </c>
      <c r="J5" s="55">
        <f ca="1">J6+J10+J12</f>
        <v>0</v>
      </c>
      <c r="K5" s="2475" t="s">
        <v>2458</v>
      </c>
      <c r="L5" s="2469"/>
      <c r="M5" s="2470"/>
    </row>
    <row r="6" spans="1:33" ht="18" customHeight="1">
      <c r="A6" s="1830" t="s">
        <v>1823</v>
      </c>
      <c r="B6" s="3545" t="s">
        <v>2460</v>
      </c>
      <c r="C6" s="783">
        <f ca="1">ROUND(F6*F8*F7*(1-F9)/10000,0)</f>
        <v>1364</v>
      </c>
      <c r="D6" s="2476" t="s">
        <v>2459</v>
      </c>
      <c r="E6" s="784" t="s">
        <v>1737</v>
      </c>
      <c r="F6" s="785">
        <f ca="1">INDIRECT("'数据-取费表'!u"&amp;$G$1)</f>
        <v>0.6</v>
      </c>
      <c r="G6" s="1593"/>
      <c r="H6" s="2483" t="s">
        <v>2465</v>
      </c>
      <c r="I6" s="3545" t="s">
        <v>2460</v>
      </c>
      <c r="J6" s="783">
        <f ca="1">ROUND(M6*M8*M7*(1-M9)/10000,0)</f>
        <v>0</v>
      </c>
      <c r="K6" s="341" t="s">
        <v>1736</v>
      </c>
      <c r="L6" s="784" t="s">
        <v>1737</v>
      </c>
      <c r="M6" s="785">
        <f ca="1">INDIRECT("'数据-取费表'!z"&amp;$G$1)</f>
        <v>0</v>
      </c>
    </row>
    <row r="7" spans="1:33" ht="18" customHeight="1">
      <c r="A7" s="2479"/>
      <c r="B7" s="3546"/>
      <c r="C7" s="788"/>
      <c r="D7" s="789"/>
      <c r="E7" s="784" t="s">
        <v>1738</v>
      </c>
      <c r="F7" s="785">
        <f ca="1">IF(INDIRECT("'数据-取费表'!ah"&amp;$G$1)="",INDIRECT("'数据-取费表'!k"&amp;$G$1),INDIRECT("'数据-取费表'!ah"&amp;$G$1))</f>
        <v>69191.13</v>
      </c>
      <c r="G7" s="1593"/>
      <c r="H7" s="2468"/>
      <c r="I7" s="3546"/>
      <c r="J7" s="788"/>
      <c r="K7" s="789"/>
      <c r="L7" s="784" t="s">
        <v>1738</v>
      </c>
      <c r="M7" s="785">
        <f ca="1">F7</f>
        <v>69191.13</v>
      </c>
    </row>
    <row r="8" spans="1:33" ht="18" customHeight="1">
      <c r="A8" s="2472"/>
      <c r="B8" s="3547"/>
      <c r="C8" s="788"/>
      <c r="D8" s="789"/>
      <c r="E8" s="784" t="s">
        <v>1739</v>
      </c>
      <c r="F8" s="785">
        <f ca="1">INDIRECT("'数据-取费表'!ai"&amp;$G$1)</f>
        <v>365</v>
      </c>
      <c r="G8" s="1593"/>
      <c r="H8" s="2468"/>
      <c r="I8" s="3547"/>
      <c r="J8" s="788"/>
      <c r="K8" s="789"/>
      <c r="L8" s="784" t="s">
        <v>1739</v>
      </c>
      <c r="M8" s="785">
        <f ca="1">INDIRECT("'数据-取费表'!ai"&amp;$G$1)</f>
        <v>365</v>
      </c>
    </row>
    <row r="9" spans="1:33" ht="18" customHeight="1">
      <c r="A9" s="786"/>
      <c r="B9" s="3548"/>
      <c r="C9" s="788"/>
      <c r="D9" s="789"/>
      <c r="E9" s="784" t="s">
        <v>1740</v>
      </c>
      <c r="F9" s="794">
        <f ca="1">INDIRECT("'数据-取费表'!w"&amp;$G$1)</f>
        <v>0.1</v>
      </c>
      <c r="G9" s="1593"/>
      <c r="H9" s="2484"/>
      <c r="I9" s="3547"/>
      <c r="J9" s="788"/>
      <c r="K9" s="789"/>
      <c r="L9" s="795" t="s">
        <v>1740</v>
      </c>
      <c r="M9" s="796">
        <f ca="1">INDIRECT("'数据-取费表'!ab"&amp;$G$1)</f>
        <v>0</v>
      </c>
    </row>
    <row r="10" spans="1:33" ht="18" customHeight="1">
      <c r="A10" s="1830" t="s">
        <v>2463</v>
      </c>
      <c r="B10" s="2473" t="s">
        <v>2456</v>
      </c>
      <c r="C10" s="799">
        <f ca="1">ROUND(IF(F10="押一",C6/12*F11,IF(F10="押二",C6/12*2*F11,IF(F10="押三",C6/12*3*F11,C11*F11))),0)</f>
        <v>0</v>
      </c>
      <c r="D10" s="2480" t="s">
        <v>2961</v>
      </c>
      <c r="E10" s="2477" t="s">
        <v>2461</v>
      </c>
      <c r="F10" s="2600" t="s">
        <v>3147</v>
      </c>
      <c r="G10" s="1593"/>
      <c r="H10" s="2540" t="s">
        <v>2466</v>
      </c>
      <c r="I10" s="2545" t="s">
        <v>2456</v>
      </c>
      <c r="J10" s="783">
        <f ca="1">ROUND(IF(M10="押一",J6/12*M11,IF(M10="押二",J6/12*2*M11,IF(M10="押三",J6/12*3*M11,J11*M11))),0)</f>
        <v>0</v>
      </c>
      <c r="K10" s="2480" t="s">
        <v>2961</v>
      </c>
      <c r="L10" s="2477" t="s">
        <v>2461</v>
      </c>
      <c r="M10" s="2600"/>
    </row>
    <row r="11" spans="1:33" ht="18" customHeight="1">
      <c r="A11" s="790"/>
      <c r="B11" s="2474" t="s">
        <v>2570</v>
      </c>
      <c r="C11" s="2478"/>
      <c r="D11" s="789"/>
      <c r="E11" s="2477" t="s">
        <v>2462</v>
      </c>
      <c r="F11" s="796">
        <f ca="1">'数据-取费表'!B39</f>
        <v>1.4999999999999999E-2</v>
      </c>
      <c r="G11" s="1593"/>
      <c r="H11" s="2541"/>
      <c r="I11" s="2474" t="s">
        <v>2570</v>
      </c>
      <c r="J11" s="2478"/>
      <c r="K11" s="2542"/>
      <c r="L11" s="2477" t="s">
        <v>2462</v>
      </c>
      <c r="M11" s="2471">
        <f ca="1">'数据-取费表'!B39</f>
        <v>1.4999999999999999E-2</v>
      </c>
    </row>
    <row r="12" spans="1:33" ht="18" customHeight="1" thickBot="1">
      <c r="A12" s="2516" t="s">
        <v>2464</v>
      </c>
      <c r="B12" s="2517" t="s">
        <v>2457</v>
      </c>
      <c r="C12" s="2518"/>
      <c r="D12" s="2519"/>
      <c r="E12" s="2520"/>
      <c r="F12" s="2521"/>
      <c r="G12" s="1593"/>
      <c r="H12" s="2530" t="s">
        <v>2467</v>
      </c>
      <c r="I12" s="2543" t="s">
        <v>2457</v>
      </c>
      <c r="J12" s="2544"/>
      <c r="K12" s="2519"/>
      <c r="L12" s="2520"/>
      <c r="M12" s="2533"/>
    </row>
    <row r="13" spans="1:33" ht="18" customHeight="1" thickTop="1">
      <c r="A13" s="1829">
        <v>2</v>
      </c>
      <c r="B13" s="1827" t="s">
        <v>1741</v>
      </c>
      <c r="C13" s="792">
        <f ca="1">ROUND(C29*F13,0)</f>
        <v>17458</v>
      </c>
      <c r="D13" s="1834" t="s">
        <v>2295</v>
      </c>
      <c r="E13" s="1834" t="s">
        <v>1743</v>
      </c>
      <c r="F13" s="2515">
        <f ca="1">INDIRECT("'数据-取费表'!y"&amp;$G$1)</f>
        <v>1</v>
      </c>
      <c r="G13" s="1593"/>
      <c r="H13" s="1829">
        <v>2</v>
      </c>
      <c r="I13" s="1827" t="s">
        <v>1741</v>
      </c>
      <c r="J13" s="1819">
        <f ca="1">ROUND(J14*J15,0)</f>
        <v>0</v>
      </c>
      <c r="K13" s="1821" t="s">
        <v>1742</v>
      </c>
      <c r="L13" s="2531"/>
      <c r="M13" s="2532"/>
    </row>
    <row r="14" spans="1:33" ht="18" customHeight="1">
      <c r="A14" s="1649" t="s">
        <v>1883</v>
      </c>
      <c r="B14" s="784" t="s">
        <v>643</v>
      </c>
      <c r="C14" s="804">
        <f ca="1">INDIRECT("'数据-取费表'!m"&amp;$G$1)+INDIRECT("'数据-取费表'!t"&amp;$G$1)</f>
        <v>12793</v>
      </c>
      <c r="D14" s="1979" t="s">
        <v>1744</v>
      </c>
      <c r="E14" s="1980"/>
      <c r="F14" s="805"/>
      <c r="G14" s="1593"/>
      <c r="H14" s="1650" t="s">
        <v>1829</v>
      </c>
      <c r="I14" s="2231" t="s">
        <v>2823</v>
      </c>
      <c r="J14" s="53">
        <f ca="1">C29</f>
        <v>17458</v>
      </c>
      <c r="K14" s="26"/>
      <c r="L14" s="801"/>
      <c r="M14" s="802"/>
    </row>
    <row r="15" spans="1:33" s="2064" customFormat="1" ht="18" customHeight="1" thickBot="1">
      <c r="A15" s="1649" t="s">
        <v>1884</v>
      </c>
      <c r="B15" s="784" t="s">
        <v>645</v>
      </c>
      <c r="C15" s="53">
        <f ca="1">ROUND(C14*F15,0)</f>
        <v>384</v>
      </c>
      <c r="D15" s="806" t="s">
        <v>1745</v>
      </c>
      <c r="E15" s="806" t="s">
        <v>1746</v>
      </c>
      <c r="F15" s="807">
        <f>'数据-取费表'!B33</f>
        <v>0.03</v>
      </c>
      <c r="G15" s="1594"/>
      <c r="H15" s="2530" t="s">
        <v>1888</v>
      </c>
      <c r="I15" s="2525" t="s">
        <v>1743</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829" t="s">
        <v>1747</v>
      </c>
      <c r="I16" s="1827" t="s">
        <v>1748</v>
      </c>
      <c r="J16" s="792">
        <f ca="1">ROUND(J17+J22+J23+J24,0)</f>
        <v>1746</v>
      </c>
      <c r="K16" s="1821" t="s">
        <v>1749</v>
      </c>
      <c r="L16" s="2465"/>
      <c r="M16" s="2470"/>
    </row>
    <row r="17" spans="1:33" s="2064" customFormat="1" ht="18" customHeight="1">
      <c r="A17" s="1649" t="s">
        <v>1886</v>
      </c>
      <c r="B17" s="784" t="s">
        <v>651</v>
      </c>
      <c r="C17" s="53">
        <f ca="1">ROUND(F17*(F43+INDIRECT("'数据-取费表'!S"&amp;$G$1))/10000,0)</f>
        <v>1066</v>
      </c>
      <c r="D17" s="784" t="s">
        <v>1750</v>
      </c>
      <c r="E17" s="784" t="s">
        <v>1751</v>
      </c>
      <c r="F17" s="56">
        <f>'数据-取费表'!B35</f>
        <v>150</v>
      </c>
      <c r="G17" s="1594"/>
      <c r="H17" s="1650" t="s">
        <v>1829</v>
      </c>
      <c r="I17" s="784" t="s">
        <v>654</v>
      </c>
      <c r="J17" s="53">
        <f ca="1">ROUND(IF(项目基本情况!B11="自然人",J5*M17,J18+J19+J20),0)</f>
        <v>1484</v>
      </c>
      <c r="K17" s="2464" t="s">
        <v>1752</v>
      </c>
      <c r="L17" s="2463" t="s">
        <v>1753</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1887</v>
      </c>
      <c r="B18" s="784" t="s">
        <v>657</v>
      </c>
      <c r="C18" s="53">
        <f ca="1">ROUND(C14*F18,0)</f>
        <v>192</v>
      </c>
      <c r="D18" s="784" t="s">
        <v>1745</v>
      </c>
      <c r="E18" s="784" t="s">
        <v>1746</v>
      </c>
      <c r="F18" s="809">
        <f>'数据-取费表'!B36</f>
        <v>1.4999999999999999E-2</v>
      </c>
      <c r="G18" s="1594"/>
      <c r="H18" s="1649" t="s">
        <v>1883</v>
      </c>
      <c r="I18" s="784" t="s">
        <v>1754</v>
      </c>
      <c r="J18" s="53">
        <f ca="1">ROUND(J5*M18/1.05,1)</f>
        <v>0</v>
      </c>
      <c r="K18" s="2463" t="s">
        <v>1755</v>
      </c>
      <c r="L18" s="784" t="s">
        <v>1746</v>
      </c>
      <c r="M18" s="809">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1829</v>
      </c>
      <c r="B19" s="784" t="s">
        <v>660</v>
      </c>
      <c r="C19" s="53">
        <f ca="1">SUM(C14:C18)</f>
        <v>14435</v>
      </c>
      <c r="D19" s="261" t="s">
        <v>1756</v>
      </c>
      <c r="E19" s="1982"/>
      <c r="F19" s="56"/>
      <c r="G19" s="1593"/>
      <c r="H19" s="1649" t="s">
        <v>1884</v>
      </c>
      <c r="I19" s="784" t="s">
        <v>1757</v>
      </c>
      <c r="J19" s="53">
        <f ca="1">IF(K19="按租金收入计税",ROUND(J5*M19,1),ROUND(C29*F33*0.7,1))</f>
        <v>1466.5</v>
      </c>
      <c r="K19" s="811" t="s">
        <v>663</v>
      </c>
      <c r="L19" s="784" t="s">
        <v>1746</v>
      </c>
      <c r="M19" s="809">
        <f>IF(K19="按租金收入计税",'数据-取费表'!B51,'数据-取费表'!B50)</f>
        <v>1.2E-2</v>
      </c>
    </row>
    <row r="20" spans="1:33" s="2064" customFormat="1" ht="18" customHeight="1">
      <c r="A20" s="1650" t="s">
        <v>1888</v>
      </c>
      <c r="B20" s="784" t="s">
        <v>664</v>
      </c>
      <c r="C20" s="53">
        <f ca="1">ROUND(C19*F20,0)</f>
        <v>289</v>
      </c>
      <c r="D20" s="812" t="s">
        <v>1758</v>
      </c>
      <c r="E20" s="784" t="s">
        <v>1746</v>
      </c>
      <c r="F20" s="809">
        <f>'数据-取费表'!B37</f>
        <v>0.02</v>
      </c>
      <c r="G20" s="1594"/>
      <c r="H20" s="1652" t="s">
        <v>1879</v>
      </c>
      <c r="I20" s="341" t="s">
        <v>1759</v>
      </c>
      <c r="J20" s="54">
        <f ca="1">ROUND(M20*M21/10000,0)</f>
        <v>17</v>
      </c>
      <c r="K20" s="814" t="s">
        <v>1760</v>
      </c>
      <c r="L20" s="784" t="s">
        <v>1761</v>
      </c>
      <c r="M20" s="640">
        <f>'数据-取费表'!B52</f>
        <v>8</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1889</v>
      </c>
      <c r="B21" s="784" t="s">
        <v>1762</v>
      </c>
      <c r="C21" s="53" t="s">
        <v>1763</v>
      </c>
      <c r="D21" s="812" t="s">
        <v>2296</v>
      </c>
      <c r="E21" s="784" t="s">
        <v>1764</v>
      </c>
      <c r="F21" s="809">
        <f>'数据-取费表'!B38</f>
        <v>0.02</v>
      </c>
      <c r="G21" s="1594"/>
      <c r="H21" s="2485"/>
      <c r="I21" s="793"/>
      <c r="J21" s="69"/>
      <c r="K21" s="816"/>
      <c r="L21" s="784" t="s">
        <v>1765</v>
      </c>
      <c r="M21" s="785">
        <f ca="1">INDIRECT("'数据-取费表'!r"&amp;$G$1)</f>
        <v>20691.190000000002</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1890</v>
      </c>
      <c r="B22" s="784" t="s">
        <v>1766</v>
      </c>
      <c r="C22" s="53"/>
      <c r="D22" s="2551" t="str">
        <f>IF(F23&lt;=1,"单利计息。","复利计息。")&amp;"建造成本、管理费用、销售费用产生的利息。"</f>
        <v>复利计息。建造成本、管理费用、销售费用产生的利息。</v>
      </c>
      <c r="E22" s="1982"/>
      <c r="F22" s="56"/>
      <c r="G22" s="1593"/>
      <c r="H22" s="1650" t="s">
        <v>1888</v>
      </c>
      <c r="I22" s="784" t="s">
        <v>1767</v>
      </c>
      <c r="J22" s="53">
        <f ca="1">ROUND(J14*M22,0)</f>
        <v>262</v>
      </c>
      <c r="K22" s="2463" t="s">
        <v>1768</v>
      </c>
      <c r="L22" s="784" t="s">
        <v>1746</v>
      </c>
      <c r="M22" s="817">
        <f ca="1">INDIRECT("'数据-取费表'!Ak"&amp;$G$1)</f>
        <v>1.4999999999999999E-2</v>
      </c>
    </row>
    <row r="23" spans="1:33" s="2064" customFormat="1" ht="18" customHeight="1">
      <c r="A23" s="1649" t="s">
        <v>1830</v>
      </c>
      <c r="B23" s="784" t="s">
        <v>2532</v>
      </c>
      <c r="C23" s="53">
        <f ca="1">ROUND(IF('数据-取费表'!B22&lt;=1,(C19+C20)*F24*F23/2,(C19+C20)*(POWER((1+F24),F23/2)-1)),0)</f>
        <v>699</v>
      </c>
      <c r="D23" s="2550" t="str">
        <f>IF(F23&lt;=1,"(建造成本+管理费用)×利率×(建设周期÷2)","(建造成本+管理费用)×((1+利率)^(建设周期÷2)-1)")</f>
        <v>(建造成本+管理费用)×((1+利率)^(建设周期÷2)-1)</v>
      </c>
      <c r="E23" s="784" t="s">
        <v>1769</v>
      </c>
      <c r="F23" s="640">
        <f>'数据-取费表'!B20</f>
        <v>2</v>
      </c>
      <c r="G23" s="1594"/>
      <c r="H23" s="1650" t="s">
        <v>1889</v>
      </c>
      <c r="I23" s="784" t="s">
        <v>677</v>
      </c>
      <c r="J23" s="53">
        <f ca="1">ROUND(J13*M23,0)</f>
        <v>0</v>
      </c>
      <c r="K23" s="2463" t="s">
        <v>1770</v>
      </c>
      <c r="L23" s="784" t="s">
        <v>1746</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1831</v>
      </c>
      <c r="B24" s="784" t="s">
        <v>1771</v>
      </c>
      <c r="C24" s="53">
        <f ca="1">ROUND(IF('数据-取费表'!B22&lt;=1,F21*F24*F23/2,F21*(POWER((1+F24),F23/2)-1)),4)</f>
        <v>1E-3</v>
      </c>
      <c r="D24" s="2550" t="str">
        <f>IF(F23&lt;=1,"销售费用×利率×(建设周期÷2)","销售费用×((1+利率)^(建设周期÷2)-1)")</f>
        <v>销售费用×((1+利率)^(建设周期÷2)-1)</v>
      </c>
      <c r="E24" s="784" t="s">
        <v>1772</v>
      </c>
      <c r="F24" s="819">
        <f ca="1">'数据-取费表'!B40</f>
        <v>4.7500000000000001E-2</v>
      </c>
      <c r="G24" s="1594"/>
      <c r="H24" s="2530" t="s">
        <v>1890</v>
      </c>
      <c r="I24" s="2525" t="s">
        <v>664</v>
      </c>
      <c r="J24" s="2523">
        <f ca="1">ROUND(J5*M24,0)</f>
        <v>0</v>
      </c>
      <c r="K24" s="2524" t="s">
        <v>1773</v>
      </c>
      <c r="L24" s="2525" t="s">
        <v>1746</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1839</v>
      </c>
      <c r="B25" s="784" t="s">
        <v>682</v>
      </c>
      <c r="C25" s="53"/>
      <c r="D25" s="261" t="s">
        <v>1774</v>
      </c>
      <c r="E25" s="1982"/>
      <c r="F25" s="56"/>
      <c r="G25" s="1593"/>
      <c r="H25" s="1829" t="s">
        <v>1775</v>
      </c>
      <c r="I25" s="2985" t="s">
        <v>2819</v>
      </c>
      <c r="J25" s="792">
        <f ca="1">J5-J16</f>
        <v>-1746</v>
      </c>
      <c r="K25" s="2527" t="s">
        <v>1776</v>
      </c>
      <c r="L25" s="2528"/>
      <c r="M25" s="2529"/>
    </row>
    <row r="26" spans="1:33" ht="18" customHeight="1">
      <c r="A26" s="1649" t="s">
        <v>1830</v>
      </c>
      <c r="B26" s="784" t="s">
        <v>2435</v>
      </c>
      <c r="C26" s="53">
        <f ca="1">ROUND((C19+C20)*F26,0)</f>
        <v>736</v>
      </c>
      <c r="D26" s="812" t="s">
        <v>1777</v>
      </c>
      <c r="E26" s="795" t="s">
        <v>1778</v>
      </c>
      <c r="F26" s="794">
        <f ca="1">INDIRECT("'数据-取费表'!q"&amp;$G$1)</f>
        <v>0.05</v>
      </c>
      <c r="G26" s="1593"/>
      <c r="H26" s="2481" t="s">
        <v>1779</v>
      </c>
      <c r="I26" s="2232" t="s">
        <v>2824</v>
      </c>
      <c r="J26" s="783">
        <f ca="1">IF(J5&lt;&gt;0,ROUND(J25*(1-((1+M28)/(1+M26))^M27)/(M26-M28),0),0)</f>
        <v>0</v>
      </c>
      <c r="K26" s="814" t="s">
        <v>1780</v>
      </c>
      <c r="L26" s="784" t="s">
        <v>2416</v>
      </c>
      <c r="M26" s="794">
        <f ca="1">INDIRECT("'数据-取费表'!I"&amp;$G$1)</f>
        <v>4.4999999999999998E-2</v>
      </c>
    </row>
    <row r="27" spans="1:33" ht="18" customHeight="1">
      <c r="A27" s="1649" t="s">
        <v>1831</v>
      </c>
      <c r="B27" s="784" t="s">
        <v>684</v>
      </c>
      <c r="C27" s="53">
        <f ca="1">ROUND(F21*F26,4)</f>
        <v>1E-3</v>
      </c>
      <c r="D27" s="812" t="s">
        <v>1781</v>
      </c>
      <c r="E27" s="806"/>
      <c r="F27" s="807"/>
      <c r="G27" s="1593"/>
      <c r="H27" s="2482"/>
      <c r="I27" s="787"/>
      <c r="J27" s="788"/>
      <c r="K27" s="821" t="s">
        <v>1782</v>
      </c>
      <c r="L27" s="784" t="s">
        <v>1783</v>
      </c>
      <c r="M27" s="822">
        <f ca="1">INDIRECT("'数据-取费表'!ag"&amp;$G$1)</f>
        <v>0</v>
      </c>
    </row>
    <row r="28" spans="1:33" s="2064" customFormat="1" ht="18" customHeight="1">
      <c r="A28" s="1651" t="s">
        <v>1840</v>
      </c>
      <c r="B28" s="784" t="s">
        <v>685</v>
      </c>
      <c r="C28" s="53">
        <f>ROUND(F28/(1+'数据-取费表'!C42),4)</f>
        <v>5.2400000000000002E-2</v>
      </c>
      <c r="D28" s="812" t="s">
        <v>2297</v>
      </c>
      <c r="E28" s="784" t="s">
        <v>1784</v>
      </c>
      <c r="F28" s="809">
        <f>'数据-取费表'!B41</f>
        <v>5.5000000000000007E-2</v>
      </c>
      <c r="G28" s="1594"/>
      <c r="H28" s="1829"/>
      <c r="I28" s="791"/>
      <c r="J28" s="792"/>
      <c r="K28" s="816"/>
      <c r="L28" s="784" t="s">
        <v>1785</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1891</v>
      </c>
      <c r="B29" s="2520" t="s">
        <v>2298</v>
      </c>
      <c r="C29" s="2523">
        <f ca="1">ROUND((C19+C20+C23+C26)/(1-F21-C24-C27-C28),0)</f>
        <v>17458</v>
      </c>
      <c r="D29" s="2524"/>
      <c r="E29" s="2525"/>
      <c r="F29" s="2526"/>
      <c r="G29" s="1594"/>
      <c r="H29" s="823" t="s">
        <v>1786</v>
      </c>
      <c r="I29" s="824" t="s">
        <v>1787</v>
      </c>
      <c r="J29" s="825">
        <f ca="1">ROUND(J26/(1+F40)^F41,0)</f>
        <v>0</v>
      </c>
      <c r="K29" s="826" t="s">
        <v>1788</v>
      </c>
      <c r="L29" s="827"/>
      <c r="M29" s="828">
        <f ca="1">INDIRECT("'数据-取费表'!k"&amp;$G$1)</f>
        <v>69191.13</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553</v>
      </c>
      <c r="D30" s="1821" t="s">
        <v>1790</v>
      </c>
      <c r="E30" s="2465"/>
      <c r="F30" s="2470"/>
      <c r="G30" s="2062"/>
      <c r="H30" s="2065"/>
      <c r="I30" s="2066"/>
      <c r="J30" s="2067"/>
      <c r="K30" s="2068"/>
      <c r="L30" s="2069"/>
      <c r="M30" s="2070"/>
    </row>
    <row r="31" spans="1:33" ht="18" customHeight="1">
      <c r="A31" s="1650" t="s">
        <v>1829</v>
      </c>
      <c r="B31" s="784" t="s">
        <v>654</v>
      </c>
      <c r="C31" s="53">
        <f ca="1">ROUND(IF(项目基本情况!B11="自然人",C5*F31,C32+C33+C34),1)</f>
        <v>251.7</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1830</v>
      </c>
      <c r="B32" s="784" t="s">
        <v>1793</v>
      </c>
      <c r="C32" s="53">
        <f ca="1">ROUND(C5*F32/1.05,1)</f>
        <v>71.400000000000006</v>
      </c>
      <c r="D32" s="1977" t="s">
        <v>1794</v>
      </c>
      <c r="E32" s="784" t="s">
        <v>1795</v>
      </c>
      <c r="F32" s="809">
        <f>'数据-取费表'!B41</f>
        <v>5.5000000000000007E-2</v>
      </c>
      <c r="G32" s="2062"/>
      <c r="H32" s="2071"/>
      <c r="I32" s="2072"/>
      <c r="J32" s="2073"/>
      <c r="K32" s="2074"/>
      <c r="L32" s="2075"/>
      <c r="M32" s="2076"/>
    </row>
    <row r="33" spans="1:18" ht="18" customHeight="1">
      <c r="A33" s="1649" t="s">
        <v>1831</v>
      </c>
      <c r="B33" s="784" t="s">
        <v>1796</v>
      </c>
      <c r="C33" s="53">
        <f ca="1">IF(D33="按租金收入计税",ROUND(C5*F33,1),IF(D33="按房产原值计税",ROUND(C29*F33*0.7,1),INDIRECT("'数据-取费表'!Aj"&amp;$G$1)))</f>
        <v>163.69999999999999</v>
      </c>
      <c r="D33" s="811" t="s">
        <v>3148</v>
      </c>
      <c r="E33" s="784" t="s">
        <v>1795</v>
      </c>
      <c r="F33" s="809">
        <f>IF(D33="按租金收入计税",'数据-取费表'!B51,'数据-取费表'!B50)</f>
        <v>0.12</v>
      </c>
      <c r="G33" s="2062"/>
      <c r="H33" s="2077"/>
      <c r="I33" s="2077"/>
      <c r="J33" s="2077"/>
      <c r="K33" s="2078"/>
      <c r="L33" s="2077"/>
      <c r="M33" s="2077"/>
    </row>
    <row r="34" spans="1:18" ht="18" customHeight="1">
      <c r="A34" s="1652" t="s">
        <v>1832</v>
      </c>
      <c r="B34" s="341" t="s">
        <v>1797</v>
      </c>
      <c r="C34" s="54">
        <f ca="1">ROUND(F34*F35/10000,1)</f>
        <v>16.600000000000001</v>
      </c>
      <c r="D34" s="814" t="s">
        <v>1798</v>
      </c>
      <c r="E34" s="784" t="s">
        <v>1799</v>
      </c>
      <c r="F34" s="640">
        <f>'数据-取费表'!B52</f>
        <v>8</v>
      </c>
      <c r="G34" s="2062"/>
      <c r="H34" s="2065"/>
      <c r="I34" s="835" t="s">
        <v>1812</v>
      </c>
      <c r="J34" s="836"/>
      <c r="K34" s="2080"/>
      <c r="L34" s="2079"/>
      <c r="M34" s="2079"/>
    </row>
    <row r="35" spans="1:18" ht="18" customHeight="1">
      <c r="A35" s="815"/>
      <c r="B35" s="793"/>
      <c r="C35" s="69"/>
      <c r="D35" s="816"/>
      <c r="E35" s="784" t="s">
        <v>1800</v>
      </c>
      <c r="F35" s="785">
        <f ca="1">INDIRECT("'数据-取费表'!r"&amp;$G$1)</f>
        <v>20691.190000000002</v>
      </c>
      <c r="G35" s="2062"/>
      <c r="H35" s="2065"/>
      <c r="I35" s="837" t="s">
        <v>1813</v>
      </c>
      <c r="J35" s="838">
        <f ca="1">ROUND(C13*J36,0)</f>
        <v>1484</v>
      </c>
      <c r="K35" s="2078"/>
      <c r="L35" s="2077"/>
      <c r="M35" s="2077"/>
    </row>
    <row r="36" spans="1:18" ht="18" customHeight="1">
      <c r="A36" s="1650" t="s">
        <v>1888</v>
      </c>
      <c r="B36" s="784" t="s">
        <v>1801</v>
      </c>
      <c r="C36" s="53">
        <f ca="1">ROUND(C29*F36,1)</f>
        <v>261.89999999999998</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50" t="s">
        <v>1889</v>
      </c>
      <c r="B37" s="784" t="s">
        <v>677</v>
      </c>
      <c r="C37" s="53">
        <f ca="1">ROUND(C13*F37,1)</f>
        <v>26.2</v>
      </c>
      <c r="D37" s="1977" t="s">
        <v>1803</v>
      </c>
      <c r="E37" s="784" t="s">
        <v>1795</v>
      </c>
      <c r="F37" s="818">
        <f ca="1">INDIRECT("'数据-取费表'!Al"&amp;$G$1)</f>
        <v>1.5E-3</v>
      </c>
      <c r="G37" s="2062"/>
      <c r="H37" s="2077"/>
      <c r="I37" s="841" t="s">
        <v>1815</v>
      </c>
      <c r="J37" s="842"/>
      <c r="K37" s="2082"/>
      <c r="L37" s="2077"/>
      <c r="M37" s="2077"/>
    </row>
    <row r="38" spans="1:18" ht="18" customHeight="1" thickBot="1">
      <c r="A38" s="2530" t="s">
        <v>1890</v>
      </c>
      <c r="B38" s="2525" t="s">
        <v>664</v>
      </c>
      <c r="C38" s="2523">
        <f ca="1">ROUND(C5*F38,1)</f>
        <v>13.6</v>
      </c>
      <c r="D38" s="2524" t="s">
        <v>1804</v>
      </c>
      <c r="E38" s="2525" t="s">
        <v>1795</v>
      </c>
      <c r="F38" s="2521">
        <f ca="1">INDIRECT("'数据-取费表'!Am"&amp;$G$1)</f>
        <v>0.01</v>
      </c>
      <c r="G38" s="2062"/>
      <c r="H38" s="2077"/>
      <c r="I38" s="843" t="s">
        <v>1816</v>
      </c>
      <c r="J38" s="844"/>
      <c r="K38" s="2083"/>
      <c r="L38" s="2077"/>
      <c r="M38" s="2077"/>
    </row>
    <row r="39" spans="1:18" ht="24.6" customHeight="1" thickTop="1">
      <c r="A39" s="1829" t="s">
        <v>1893</v>
      </c>
      <c r="B39" s="2985" t="s">
        <v>2819</v>
      </c>
      <c r="C39" s="792">
        <f ca="1">C5-C30</f>
        <v>811</v>
      </c>
      <c r="D39" s="2527" t="s">
        <v>1805</v>
      </c>
      <c r="E39" s="2528"/>
      <c r="F39" s="2529"/>
      <c r="G39" s="2062"/>
      <c r="H39" s="2077"/>
      <c r="I39" s="837" t="s">
        <v>1817</v>
      </c>
      <c r="J39" s="845">
        <f ca="1">ROUND(J35/C39,3)</f>
        <v>1.83</v>
      </c>
      <c r="K39" s="2083"/>
      <c r="L39" s="2077"/>
      <c r="M39" s="2077"/>
    </row>
    <row r="40" spans="1:18" ht="18" customHeight="1">
      <c r="A40" s="781" t="s">
        <v>1894</v>
      </c>
      <c r="B40" s="2232" t="s">
        <v>2299</v>
      </c>
      <c r="C40" s="783">
        <f ca="1">ROUND(C39*(1-((1+F42)/(1+F40))^F41)/(F40-F42),0)</f>
        <v>19445</v>
      </c>
      <c r="D40" s="814" t="s">
        <v>1806</v>
      </c>
      <c r="E40" s="784" t="s">
        <v>2416</v>
      </c>
      <c r="F40" s="794">
        <f ca="1">INDIRECT("'数据-取费表'!I"&amp;$G$1)</f>
        <v>4.4999999999999998E-2</v>
      </c>
      <c r="G40" s="2062"/>
      <c r="H40" s="2062"/>
      <c r="I40" s="837" t="s">
        <v>1818</v>
      </c>
      <c r="J40" s="845">
        <f ca="1">1-J39</f>
        <v>-0.83000000000000007</v>
      </c>
      <c r="K40" s="2083"/>
      <c r="L40" s="2062"/>
      <c r="M40" s="2062"/>
    </row>
    <row r="41" spans="1:18" ht="18" customHeight="1">
      <c r="A41" s="786"/>
      <c r="B41" s="787"/>
      <c r="C41" s="788"/>
      <c r="D41" s="821" t="s">
        <v>1807</v>
      </c>
      <c r="E41" s="784" t="s">
        <v>2951</v>
      </c>
      <c r="F41" s="822">
        <f ca="1">IF(INDIRECT("'数据-取费表'!af"&amp;$G$1)=0,INDIRECT("'数据-取费表'!ae"&amp;$G$1),INDIRECT("'数据-取费表'!af"&amp;$G$1))</f>
        <v>37.78</v>
      </c>
      <c r="G41" s="2062"/>
      <c r="H41" s="1988"/>
      <c r="I41" s="843" t="s">
        <v>1819</v>
      </c>
      <c r="J41" s="846"/>
      <c r="K41" s="2082"/>
      <c r="L41" s="1988"/>
      <c r="M41" s="1988"/>
    </row>
    <row r="42" spans="1:18" ht="18" customHeight="1">
      <c r="A42" s="790"/>
      <c r="B42" s="791"/>
      <c r="C42" s="792"/>
      <c r="D42" s="816"/>
      <c r="E42" s="784" t="s">
        <v>1808</v>
      </c>
      <c r="F42" s="794">
        <f ca="1">INDIRECT("'数据-取费表'!v"&amp;$G$1)</f>
        <v>0.02</v>
      </c>
      <c r="G42" s="2062"/>
      <c r="H42" s="1988"/>
      <c r="I42" s="847" t="s">
        <v>1820</v>
      </c>
      <c r="J42" s="845">
        <f ca="1">ROUND(C13/C40,3)</f>
        <v>0.89800000000000002</v>
      </c>
      <c r="K42" s="2082"/>
      <c r="L42" s="1988"/>
      <c r="M42" s="1988"/>
    </row>
    <row r="43" spans="1:18" ht="18" customHeight="1" thickBot="1">
      <c r="A43" s="823" t="s">
        <v>1786</v>
      </c>
      <c r="B43" s="824" t="s">
        <v>1809</v>
      </c>
      <c r="C43" s="825">
        <f ca="1">ROUND(C40*10000/F43,0)</f>
        <v>2810</v>
      </c>
      <c r="D43" s="826" t="s">
        <v>1810</v>
      </c>
      <c r="E43" s="827" t="s">
        <v>1811</v>
      </c>
      <c r="F43" s="828">
        <f ca="1">INDIRECT("'数据-取费表'!k"&amp;$G$1)</f>
        <v>69191.13</v>
      </c>
      <c r="G43" s="2062"/>
      <c r="H43" s="1988"/>
      <c r="I43" s="847" t="s">
        <v>1821</v>
      </c>
      <c r="J43" s="848">
        <f ca="1">1-J42</f>
        <v>0.10199999999999998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53">
        <f ca="1">C67-C40</f>
        <v>-24938</v>
      </c>
      <c r="D46" s="2085"/>
      <c r="E46" s="2085"/>
      <c r="F46" s="2085"/>
      <c r="I46" s="2357" t="s">
        <v>2340</v>
      </c>
      <c r="J46" s="2358"/>
      <c r="K46" s="2359"/>
      <c r="L46" s="3129">
        <f>IF(OR(M47="住宅",D1="土地（套用方法）"),0,IF(L48&gt;J51,L60,J60))</f>
        <v>0</v>
      </c>
      <c r="O46" s="2373" t="s">
        <v>2407</v>
      </c>
      <c r="P46" s="1593"/>
      <c r="Q46" s="1605"/>
      <c r="R46" s="1593"/>
    </row>
    <row r="47" spans="1:18" s="2059" customFormat="1" ht="18" customHeight="1" thickBot="1">
      <c r="A47" s="2351">
        <v>1</v>
      </c>
      <c r="B47" s="2352" t="s">
        <v>633</v>
      </c>
      <c r="C47" s="2553">
        <f ca="1">C48+C52+C54</f>
        <v>0</v>
      </c>
      <c r="D47" s="2085"/>
      <c r="E47" s="2085"/>
      <c r="F47" s="2085"/>
      <c r="I47" s="3119" t="s">
        <v>2341</v>
      </c>
      <c r="J47" s="2360" t="s">
        <v>3149</v>
      </c>
      <c r="K47" s="3126" t="s">
        <v>2346</v>
      </c>
      <c r="L47" s="3130">
        <f ca="1">INDIRECT("'数据-取费表'!d"&amp;$G$1)</f>
        <v>50</v>
      </c>
      <c r="M47" s="1605" t="str">
        <f>IF(ISNUMBER(FIND("住宅",C1)),"住宅","非住宅")</f>
        <v>非住宅</v>
      </c>
      <c r="O47" s="2374" t="s">
        <v>2372</v>
      </c>
      <c r="P47" s="2375" t="s">
        <v>2373</v>
      </c>
      <c r="Q47" s="2376" t="s">
        <v>2374</v>
      </c>
      <c r="R47" s="2375" t="s">
        <v>2375</v>
      </c>
    </row>
    <row r="48" spans="1:18" s="2059" customFormat="1" ht="18" customHeight="1" thickBot="1">
      <c r="A48" s="2621" t="s">
        <v>2534</v>
      </c>
      <c r="B48" s="2622" t="s">
        <v>2535</v>
      </c>
      <c r="C48" s="2353">
        <f ca="1">ROUND(F48*F50*F49*(1-F51)/10000,0)</f>
        <v>0</v>
      </c>
      <c r="D48" s="2354" t="s">
        <v>634</v>
      </c>
      <c r="E48" s="2355" t="s">
        <v>2294</v>
      </c>
      <c r="F48" s="2356"/>
      <c r="G48" s="2090"/>
      <c r="I48" s="3098" t="s">
        <v>2342</v>
      </c>
      <c r="J48" s="2361" t="s">
        <v>2347</v>
      </c>
      <c r="K48" s="3127" t="s">
        <v>2348</v>
      </c>
      <c r="L48" s="1908">
        <f ca="1">INDIRECT("'数据-取费表'!f"&amp;$G$1)</f>
        <v>39.78</v>
      </c>
      <c r="O48" s="2377" t="s">
        <v>2376</v>
      </c>
      <c r="P48" s="2378" t="s">
        <v>2402</v>
      </c>
      <c r="Q48" s="2379">
        <f ca="1">C40+J29</f>
        <v>19445</v>
      </c>
      <c r="R48" s="2378" t="s">
        <v>2377</v>
      </c>
    </row>
    <row r="49" spans="1:18" s="2059" customFormat="1" ht="18" customHeight="1" thickBot="1">
      <c r="A49" s="786"/>
      <c r="B49" s="787"/>
      <c r="C49" s="788"/>
      <c r="D49" s="789"/>
      <c r="E49" s="784" t="s">
        <v>1738</v>
      </c>
      <c r="F49" s="785">
        <f ca="1">F7</f>
        <v>69191.13</v>
      </c>
      <c r="G49" s="2090"/>
      <c r="H49" s="2093"/>
      <c r="I49" s="3098" t="s">
        <v>2343</v>
      </c>
      <c r="J49" s="2362">
        <v>2021</v>
      </c>
      <c r="K49" s="3128" t="s">
        <v>2349</v>
      </c>
      <c r="L49" s="2363"/>
      <c r="O49" s="2377" t="s">
        <v>2378</v>
      </c>
      <c r="P49" s="2378" t="s">
        <v>2403</v>
      </c>
      <c r="Q49" s="2379" t="str">
        <f ca="1">J60</f>
        <v>0</v>
      </c>
      <c r="R49" s="2378" t="s">
        <v>2379</v>
      </c>
    </row>
    <row r="50" spans="1:18" s="2059" customFormat="1" ht="18" customHeight="1" thickBot="1">
      <c r="A50" s="786"/>
      <c r="B50" s="787"/>
      <c r="C50" s="788"/>
      <c r="D50" s="789"/>
      <c r="E50" s="784" t="s">
        <v>1739</v>
      </c>
      <c r="F50" s="785">
        <f ca="1">F8</f>
        <v>365</v>
      </c>
      <c r="G50" s="2095"/>
      <c r="H50" s="2093"/>
      <c r="I50" s="3098" t="s">
        <v>2344</v>
      </c>
      <c r="J50" s="3123">
        <f>SUMPRODUCT((I63:I65=J47)*(J62:L62=J48)*(J63:L65))</f>
        <v>60</v>
      </c>
      <c r="K50" s="3128" t="s">
        <v>2350</v>
      </c>
      <c r="L50" s="2363"/>
      <c r="O50" s="2380" t="s">
        <v>2380</v>
      </c>
      <c r="P50" s="2378" t="s">
        <v>2404</v>
      </c>
      <c r="Q50" s="2379">
        <f ca="1">C29</f>
        <v>17458</v>
      </c>
      <c r="R50" s="2378" t="s">
        <v>2377</v>
      </c>
    </row>
    <row r="51" spans="1:18" s="2059" customFormat="1" ht="18" customHeight="1" thickBot="1">
      <c r="A51" s="786"/>
      <c r="B51" s="787"/>
      <c r="C51" s="788"/>
      <c r="D51" s="789"/>
      <c r="E51" s="784" t="s">
        <v>638</v>
      </c>
      <c r="F51" s="2350"/>
      <c r="H51" s="2093"/>
      <c r="I51" s="3120" t="s">
        <v>2345</v>
      </c>
      <c r="J51" s="3124">
        <f>IF(J49="",J50,J49+J50-YEAR('数据-取费表'!B2))</f>
        <v>62</v>
      </c>
      <c r="K51" s="3098" t="s">
        <v>2351</v>
      </c>
      <c r="L51" s="3131">
        <f ca="1">ROUND(-PV(INDIRECT("'数据-取费表'!h"&amp;$G$1),L48,(C39-C13*J36),0),0)</f>
        <v>-13289</v>
      </c>
      <c r="O51" s="2380" t="s">
        <v>2381</v>
      </c>
      <c r="P51" s="2378" t="s">
        <v>2382</v>
      </c>
      <c r="Q51" s="2381" t="e">
        <f ca="1">J58</f>
        <v>#VALUE!</v>
      </c>
      <c r="R51" s="2382"/>
    </row>
    <row r="52" spans="1:18" s="2059" customFormat="1" ht="18" customHeight="1" thickBot="1">
      <c r="A52" s="781" t="s">
        <v>2533</v>
      </c>
      <c r="B52" s="2473" t="s">
        <v>2456</v>
      </c>
      <c r="C52" s="799">
        <f ca="1">ROUND(IF(F52="押一",C48/12*F11,IF(F52="押二",C48/12*2*F11,IF(F52="押三",C48/12*3*F11,C53*F11))),0)</f>
        <v>0</v>
      </c>
      <c r="D52" s="2480" t="s">
        <v>2962</v>
      </c>
      <c r="E52" s="2477" t="s">
        <v>2461</v>
      </c>
      <c r="F52" s="2600"/>
      <c r="I52" s="3121" t="s">
        <v>2418</v>
      </c>
      <c r="J52" s="2364">
        <v>0.09</v>
      </c>
      <c r="K52" s="3121" t="s">
        <v>2417</v>
      </c>
      <c r="L52" s="2364"/>
      <c r="O52" s="2380" t="s">
        <v>2383</v>
      </c>
      <c r="P52" s="2378" t="s">
        <v>2384</v>
      </c>
      <c r="Q52" s="2381">
        <f>J52</f>
        <v>0.09</v>
      </c>
      <c r="R52" s="2382"/>
    </row>
    <row r="53" spans="1:18" s="2059" customFormat="1" ht="39.75" customHeight="1" thickBot="1">
      <c r="A53" s="786"/>
      <c r="B53" s="2474" t="s">
        <v>2570</v>
      </c>
      <c r="C53" s="2478"/>
      <c r="D53" s="2480"/>
      <c r="E53" s="2477"/>
      <c r="F53" s="800"/>
      <c r="I53" s="3122" t="s">
        <v>2965</v>
      </c>
      <c r="J53" s="3125">
        <f ca="1">IF(M47="住宅",IF(D1="——",MAX(J51,L48),MAX(J51,L48-'数据-取费表'!B20)),IF(D1="——",MIN(J51,L48),MIN(J51,L48-'数据-取费表'!B20)))</f>
        <v>37.78</v>
      </c>
      <c r="K53" s="3590" t="s">
        <v>2953</v>
      </c>
      <c r="L53" s="3591"/>
      <c r="O53" s="2380" t="s">
        <v>2385</v>
      </c>
      <c r="P53" s="2378" t="s">
        <v>2386</v>
      </c>
      <c r="Q53" s="2379">
        <f ca="1">J53</f>
        <v>37.78</v>
      </c>
      <c r="R53" s="2378" t="s">
        <v>2387</v>
      </c>
    </row>
    <row r="54" spans="1:18" s="2059" customFormat="1" ht="18" customHeight="1" thickBot="1">
      <c r="A54" s="2516" t="s">
        <v>2464</v>
      </c>
      <c r="B54" s="2517" t="s">
        <v>2457</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2388</v>
      </c>
      <c r="P54" s="2378" t="s">
        <v>2405</v>
      </c>
      <c r="Q54" s="2379">
        <f ca="1">Q48+Q49</f>
        <v>19445</v>
      </c>
      <c r="R54" s="2382" t="s">
        <v>2389</v>
      </c>
    </row>
    <row r="55" spans="1:18" s="2059" customFormat="1" ht="18" customHeight="1" thickTop="1" thickBot="1">
      <c r="A55" s="797">
        <v>2</v>
      </c>
      <c r="B55" s="798" t="s">
        <v>642</v>
      </c>
      <c r="C55" s="799">
        <f ca="1">C13</f>
        <v>17458</v>
      </c>
      <c r="D55" s="795"/>
      <c r="E55" s="795"/>
      <c r="F55" s="800"/>
      <c r="I55" s="3134" t="s">
        <v>2352</v>
      </c>
      <c r="J55" s="3073" t="e">
        <f ca="1">ROUND(IF(J47="钢混",J57/J50,1-(1-2%)*(J50-J57)/J50),3)</f>
        <v>#VALUE!</v>
      </c>
      <c r="K55" s="3135" t="s">
        <v>2353</v>
      </c>
      <c r="L55" s="2365"/>
      <c r="O55" s="2383" t="s">
        <v>2408</v>
      </c>
      <c r="P55" s="1593"/>
      <c r="Q55" s="1605"/>
      <c r="R55" s="1593"/>
    </row>
    <row r="56" spans="1:18" s="2059" customFormat="1" ht="42.75" customHeight="1" thickBot="1">
      <c r="A56" s="1651"/>
      <c r="B56" s="2231" t="s">
        <v>2300</v>
      </c>
      <c r="C56" s="53">
        <f ca="1">C29</f>
        <v>17458</v>
      </c>
      <c r="D56" s="2618"/>
      <c r="E56" s="784"/>
      <c r="F56" s="809"/>
      <c r="I56" s="3136" t="s">
        <v>2354</v>
      </c>
      <c r="J56" s="3146" t="s">
        <v>1677</v>
      </c>
      <c r="K56" s="3098" t="s">
        <v>2359</v>
      </c>
      <c r="L56" s="1908" t="str">
        <f ca="1">IF(L48&lt;J51,"——",L48-J51)</f>
        <v>——</v>
      </c>
      <c r="O56" s="2374" t="s">
        <v>2372</v>
      </c>
      <c r="P56" s="2375" t="s">
        <v>2373</v>
      </c>
      <c r="Q56" s="2376" t="s">
        <v>2374</v>
      </c>
      <c r="R56" s="2375" t="s">
        <v>2375</v>
      </c>
    </row>
    <row r="57" spans="1:18" s="2059" customFormat="1" ht="28.5" customHeight="1" thickBot="1">
      <c r="A57" s="797" t="s">
        <v>1747</v>
      </c>
      <c r="B57" s="798" t="s">
        <v>649</v>
      </c>
      <c r="C57" s="799">
        <f ca="1">ROUND(C58+C63+C64+C65,0)</f>
        <v>305</v>
      </c>
      <c r="D57" s="26" t="s">
        <v>1749</v>
      </c>
      <c r="E57" s="2619"/>
      <c r="F57" s="56"/>
      <c r="I57" s="3137" t="s">
        <v>2355</v>
      </c>
      <c r="J57" s="3138" t="str">
        <f ca="1">IF(OR(M47="住宅",J51&lt;L48,J56="是"),"——",J51-L48)</f>
        <v>——</v>
      </c>
      <c r="K57" s="3098" t="s">
        <v>2360</v>
      </c>
      <c r="L57" s="1908" t="str">
        <f ca="1">IF(L48&lt;J51,"——",IF(L55="比较法",L49,IF(L55="基准地价",L50,L51)))</f>
        <v>——</v>
      </c>
      <c r="O57" s="2377" t="s">
        <v>2376</v>
      </c>
      <c r="P57" s="2378" t="s">
        <v>2406</v>
      </c>
      <c r="Q57" s="2379">
        <f ca="1">C40+J29</f>
        <v>19445</v>
      </c>
      <c r="R57" s="2378" t="s">
        <v>2377</v>
      </c>
    </row>
    <row r="58" spans="1:18" s="2059" customFormat="1" ht="28.5" customHeight="1" thickBot="1">
      <c r="A58" s="1650" t="s">
        <v>1823</v>
      </c>
      <c r="B58" s="784" t="s">
        <v>654</v>
      </c>
      <c r="C58" s="53">
        <f ca="1">ROUND(IF(项目基本情况!B11="自然人",C47*F58,C59+C60+C61),1)</f>
        <v>16.600000000000001</v>
      </c>
      <c r="D58" s="2617" t="s">
        <v>655</v>
      </c>
      <c r="E58" s="2618" t="s">
        <v>688</v>
      </c>
      <c r="F58" s="810" t="str">
        <f ca="1">IF(项目基本情况!B11="企业","",IF(INDIRECT("'数据-取费表'!c"&amp;$G$1)="住宅",5%,IF(F48*F49*F50/12/(1+'数据-取费表'!C42)&gt;20000,12%,7%)))</f>
        <v/>
      </c>
      <c r="I58" s="3137" t="s">
        <v>2356</v>
      </c>
      <c r="J58" s="3074" t="e">
        <f ca="1">IF(J55&lt;0.4,0.4,J55)</f>
        <v>#VALUE!</v>
      </c>
      <c r="K58" s="3098" t="s">
        <v>2361</v>
      </c>
      <c r="L58" s="1908" t="e">
        <f ca="1">ROUND(POWER(1+L52,L47-L48)*(POWER(1+L52,L48)-1)/(POWER(1+L52,L47)-1),4)</f>
        <v>#DIV/0!</v>
      </c>
      <c r="O58" s="2377" t="s">
        <v>2378</v>
      </c>
      <c r="P58" s="2378" t="s">
        <v>2409</v>
      </c>
      <c r="Q58" s="2379">
        <f ca="1">L60</f>
        <v>0</v>
      </c>
      <c r="R58" s="2382" t="s">
        <v>2411</v>
      </c>
    </row>
    <row r="59" spans="1:18" s="2059" customFormat="1" ht="28.5" customHeight="1" thickBot="1">
      <c r="A59" s="1649" t="s">
        <v>1830</v>
      </c>
      <c r="B59" s="784" t="s">
        <v>658</v>
      </c>
      <c r="C59" s="53">
        <f ca="1">ROUND(C47*F59/1.05,1)</f>
        <v>0</v>
      </c>
      <c r="D59" s="2618" t="s">
        <v>1755</v>
      </c>
      <c r="E59" s="784" t="s">
        <v>1746</v>
      </c>
      <c r="F59" s="809">
        <f t="shared" ref="F59:F65" si="0">F32</f>
        <v>5.5000000000000007E-2</v>
      </c>
      <c r="I59" s="3137" t="s">
        <v>2357</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2380</v>
      </c>
      <c r="P59" s="2378" t="s">
        <v>2410</v>
      </c>
      <c r="Q59" s="2379">
        <f>IF(L55="比较法",L49,IF(L55="基准地价",L50,0))</f>
        <v>0</v>
      </c>
      <c r="R59" s="2378" t="s">
        <v>2377</v>
      </c>
    </row>
    <row r="60" spans="1:18" s="2059" customFormat="1" ht="18" customHeight="1" thickBot="1">
      <c r="A60" s="1649" t="s">
        <v>1831</v>
      </c>
      <c r="B60" s="784" t="s">
        <v>1757</v>
      </c>
      <c r="C60" s="53">
        <f ca="1">IF(D60="按租金收入计税",ROUND(C47*F60,1),IF(D60="按房产原值计税",ROUND(C56*F60*0.7,1),INDIRECT("'数据-取费表'!Aj"&amp;$G$1)))</f>
        <v>0</v>
      </c>
      <c r="D60" s="2618" t="str">
        <f>D33</f>
        <v>按租金收入计税</v>
      </c>
      <c r="E60" s="784" t="s">
        <v>1746</v>
      </c>
      <c r="F60" s="809">
        <f t="shared" si="0"/>
        <v>0.12</v>
      </c>
      <c r="I60" s="3139" t="s">
        <v>2358</v>
      </c>
      <c r="J60" s="3140" t="str">
        <f ca="1">IF(OR(M47="住宅",J51&lt;L48,J56="是"),"0",ROUND(J59/(1+J52)^J53,0))</f>
        <v>0</v>
      </c>
      <c r="K60" s="3141" t="s">
        <v>2363</v>
      </c>
      <c r="L60" s="3140">
        <f ca="1">IF(OR(M47="住宅",L48&lt;J51),0,ROUND(L57*(L58/L59-1),0))</f>
        <v>0</v>
      </c>
      <c r="O60" s="2380" t="s">
        <v>2381</v>
      </c>
      <c r="P60" s="2378" t="s">
        <v>2390</v>
      </c>
      <c r="Q60" s="2381">
        <f>L52</f>
        <v>0</v>
      </c>
      <c r="R60" s="2382"/>
    </row>
    <row r="61" spans="1:18" s="2059" customFormat="1" ht="18" customHeight="1" thickBot="1">
      <c r="A61" s="1652" t="s">
        <v>1832</v>
      </c>
      <c r="B61" s="341" t="s">
        <v>666</v>
      </c>
      <c r="C61" s="54">
        <f ca="1">ROUND(F61*F62/10000,1)</f>
        <v>16.600000000000001</v>
      </c>
      <c r="D61" s="814" t="s">
        <v>667</v>
      </c>
      <c r="E61" s="784" t="s">
        <v>668</v>
      </c>
      <c r="F61" s="640">
        <f t="shared" si="0"/>
        <v>8</v>
      </c>
      <c r="K61" s="2086"/>
      <c r="O61" s="2380" t="s">
        <v>2383</v>
      </c>
      <c r="P61" s="2378" t="s">
        <v>2391</v>
      </c>
      <c r="Q61" s="2379" t="e">
        <f ca="1">L58</f>
        <v>#DIV/0!</v>
      </c>
      <c r="R61" s="2382" t="s">
        <v>2392</v>
      </c>
    </row>
    <row r="62" spans="1:18" s="2059" customFormat="1" ht="15.75" thickBot="1">
      <c r="A62" s="815"/>
      <c r="B62" s="793"/>
      <c r="C62" s="69"/>
      <c r="D62" s="816"/>
      <c r="E62" s="784" t="s">
        <v>672</v>
      </c>
      <c r="F62" s="785">
        <f t="shared" ca="1" si="0"/>
        <v>20691.190000000002</v>
      </c>
      <c r="I62" s="3142" t="s">
        <v>2364</v>
      </c>
      <c r="J62" s="3143" t="s">
        <v>2365</v>
      </c>
      <c r="K62" s="3143" t="s">
        <v>2366</v>
      </c>
      <c r="L62" s="3143" t="s">
        <v>2347</v>
      </c>
      <c r="M62" s="3144" t="s">
        <v>2929</v>
      </c>
      <c r="O62" s="2380" t="s">
        <v>2385</v>
      </c>
      <c r="P62" s="2378" t="str">
        <f>K59</f>
        <v>建设期及建筑物耐用年限下的土地年期修正系数Kn</v>
      </c>
      <c r="Q62" s="2379" t="e">
        <f ca="1">L59</f>
        <v>#DIV/0!</v>
      </c>
      <c r="R62" s="2382" t="s">
        <v>2394</v>
      </c>
    </row>
    <row r="63" spans="1:18" s="2059" customFormat="1" ht="15.75" thickBot="1">
      <c r="A63" s="1650" t="s">
        <v>1888</v>
      </c>
      <c r="B63" s="784" t="s">
        <v>674</v>
      </c>
      <c r="C63" s="53">
        <f ca="1">ROUND(C56*F63,1)</f>
        <v>261.89999999999998</v>
      </c>
      <c r="D63" s="2618" t="s">
        <v>1802</v>
      </c>
      <c r="E63" s="784" t="s">
        <v>1746</v>
      </c>
      <c r="F63" s="817">
        <f t="shared" ca="1" si="0"/>
        <v>1.4999999999999999E-2</v>
      </c>
      <c r="I63" s="3142" t="s">
        <v>2367</v>
      </c>
      <c r="J63" s="3143">
        <v>70</v>
      </c>
      <c r="K63" s="3143">
        <v>50</v>
      </c>
      <c r="L63" s="3143">
        <v>80</v>
      </c>
      <c r="M63" s="3145">
        <v>0.02</v>
      </c>
      <c r="O63" s="2377" t="s">
        <v>2388</v>
      </c>
      <c r="P63" s="2378" t="s">
        <v>2405</v>
      </c>
      <c r="Q63" s="2379">
        <f ca="1">Q57+Q58</f>
        <v>19445</v>
      </c>
      <c r="R63" s="2382" t="s">
        <v>2389</v>
      </c>
    </row>
    <row r="64" spans="1:18" s="2059" customFormat="1" ht="16.5" thickBot="1">
      <c r="A64" s="1650" t="s">
        <v>1889</v>
      </c>
      <c r="B64" s="784" t="s">
        <v>677</v>
      </c>
      <c r="C64" s="53">
        <f ca="1">ROUND(C55*F64,1)</f>
        <v>26.2</v>
      </c>
      <c r="D64" s="2618" t="s">
        <v>678</v>
      </c>
      <c r="E64" s="784" t="s">
        <v>1746</v>
      </c>
      <c r="F64" s="818">
        <f t="shared" ca="1" si="0"/>
        <v>1.5E-3</v>
      </c>
      <c r="I64" s="3142" t="s">
        <v>2368</v>
      </c>
      <c r="J64" s="3143">
        <v>50</v>
      </c>
      <c r="K64" s="3143">
        <v>35</v>
      </c>
      <c r="L64" s="3143">
        <v>60</v>
      </c>
      <c r="M64" s="846">
        <v>0</v>
      </c>
      <c r="O64" s="2383" t="s">
        <v>2412</v>
      </c>
      <c r="P64" s="1593"/>
      <c r="Q64" s="1605"/>
      <c r="R64" s="1593"/>
    </row>
    <row r="65" spans="1:18" s="2059" customFormat="1" ht="15.75" thickBot="1">
      <c r="A65" s="1650" t="s">
        <v>1890</v>
      </c>
      <c r="B65" s="784" t="s">
        <v>664</v>
      </c>
      <c r="C65" s="53">
        <f ca="1">ROUND(C47*F65,1)</f>
        <v>0</v>
      </c>
      <c r="D65" s="2618" t="s">
        <v>681</v>
      </c>
      <c r="E65" s="784" t="s">
        <v>1746</v>
      </c>
      <c r="F65" s="794">
        <f t="shared" ca="1" si="0"/>
        <v>0.01</v>
      </c>
      <c r="I65" s="3142" t="s">
        <v>2369</v>
      </c>
      <c r="J65" s="3143">
        <v>40</v>
      </c>
      <c r="K65" s="3143">
        <v>30</v>
      </c>
      <c r="L65" s="3143">
        <v>50</v>
      </c>
      <c r="M65" s="3145">
        <v>0.02</v>
      </c>
      <c r="O65" s="2374" t="s">
        <v>2372</v>
      </c>
      <c r="P65" s="2375" t="s">
        <v>2373</v>
      </c>
      <c r="Q65" s="2376" t="s">
        <v>2374</v>
      </c>
      <c r="R65" s="2375" t="s">
        <v>2375</v>
      </c>
    </row>
    <row r="66" spans="1:18" s="2059" customFormat="1" ht="24.75" thickBot="1">
      <c r="A66" s="797" t="s">
        <v>1775</v>
      </c>
      <c r="B66" s="2986" t="s">
        <v>2819</v>
      </c>
      <c r="C66" s="799">
        <f ca="1">C47-C57</f>
        <v>-305</v>
      </c>
      <c r="D66" s="2617" t="s">
        <v>698</v>
      </c>
      <c r="E66" s="2616"/>
      <c r="F66" s="820"/>
      <c r="K66" s="2086"/>
      <c r="O66" s="2377" t="s">
        <v>2376</v>
      </c>
      <c r="P66" s="2378" t="s">
        <v>2406</v>
      </c>
      <c r="Q66" s="2379">
        <f ca="1">C40+J29</f>
        <v>19445</v>
      </c>
      <c r="R66" s="2378" t="s">
        <v>2377</v>
      </c>
    </row>
    <row r="67" spans="1:18" s="2059" customFormat="1" ht="20.25" thickBot="1">
      <c r="A67" s="781" t="s">
        <v>1779</v>
      </c>
      <c r="B67" s="2232" t="s">
        <v>2299</v>
      </c>
      <c r="C67" s="783">
        <f ca="1">ROUND(C66*(1-((1+F69)/(1+F67))^F68)/(F67-F69),0)</f>
        <v>-5493</v>
      </c>
      <c r="D67" s="814" t="s">
        <v>702</v>
      </c>
      <c r="E67" s="784" t="s">
        <v>703</v>
      </c>
      <c r="F67" s="794">
        <f ca="1">F40</f>
        <v>4.4999999999999998E-2</v>
      </c>
      <c r="K67" s="2086"/>
      <c r="O67" s="2377" t="s">
        <v>2378</v>
      </c>
      <c r="P67" s="2378" t="s">
        <v>2409</v>
      </c>
      <c r="Q67" s="2379">
        <f ca="1">L60</f>
        <v>0</v>
      </c>
      <c r="R67" s="2382" t="s">
        <v>2411</v>
      </c>
    </row>
    <row r="68" spans="1:18" ht="21.75" thickBot="1">
      <c r="A68" s="786"/>
      <c r="B68" s="787"/>
      <c r="C68" s="788"/>
      <c r="D68" s="821" t="s">
        <v>1807</v>
      </c>
      <c r="E68" s="784" t="s">
        <v>1783</v>
      </c>
      <c r="F68" s="822">
        <f ca="1">F41</f>
        <v>37.78</v>
      </c>
      <c r="O68" s="2380" t="s">
        <v>2380</v>
      </c>
      <c r="P68" s="2378" t="s">
        <v>2410</v>
      </c>
      <c r="Q68" s="2384">
        <f ca="1">L51</f>
        <v>-13289</v>
      </c>
      <c r="R68" s="2385" t="s">
        <v>2413</v>
      </c>
    </row>
    <row r="69" spans="1:18" ht="20.25" thickBot="1">
      <c r="A69" s="790"/>
      <c r="B69" s="791"/>
      <c r="C69" s="792"/>
      <c r="D69" s="816"/>
      <c r="E69" s="784" t="s">
        <v>708</v>
      </c>
      <c r="F69" s="2350"/>
      <c r="O69" s="2380" t="s">
        <v>2381</v>
      </c>
      <c r="P69" s="2386" t="s">
        <v>2395</v>
      </c>
      <c r="Q69" s="2379">
        <f ca="1">ROUND(Q70-Q71*Q72,0)</f>
        <v>-673</v>
      </c>
      <c r="R69" s="2382"/>
    </row>
    <row r="70" spans="1:18" ht="15.75" thickBot="1">
      <c r="A70" s="823" t="s">
        <v>1786</v>
      </c>
      <c r="B70" s="824" t="s">
        <v>1809</v>
      </c>
      <c r="C70" s="825">
        <f ca="1">ROUND(C67*10000/F70,0)</f>
        <v>-794</v>
      </c>
      <c r="D70" s="826" t="s">
        <v>1810</v>
      </c>
      <c r="E70" s="827" t="s">
        <v>1811</v>
      </c>
      <c r="F70" s="828">
        <f ca="1">F43</f>
        <v>69191.13</v>
      </c>
      <c r="O70" s="2380" t="s">
        <v>2396</v>
      </c>
      <c r="P70" s="2386" t="s">
        <v>2397</v>
      </c>
      <c r="Q70" s="2379">
        <f ca="1">C39</f>
        <v>811</v>
      </c>
      <c r="R70" s="2378" t="s">
        <v>2377</v>
      </c>
    </row>
    <row r="71" spans="1:18" ht="15.75" thickBot="1">
      <c r="O71" s="2380" t="s">
        <v>2398</v>
      </c>
      <c r="P71" s="2386" t="s">
        <v>2399</v>
      </c>
      <c r="Q71" s="2379">
        <f ca="1">C13</f>
        <v>17458</v>
      </c>
      <c r="R71" s="2378" t="s">
        <v>2377</v>
      </c>
    </row>
    <row r="72" spans="1:18" ht="15.75" thickBot="1">
      <c r="O72" s="2380" t="s">
        <v>2400</v>
      </c>
      <c r="P72" s="2386" t="s">
        <v>2401</v>
      </c>
      <c r="Q72" s="2381">
        <f ca="1">J36</f>
        <v>8.5000000000000006E-2</v>
      </c>
      <c r="R72" s="2382"/>
    </row>
    <row r="73" spans="1:18" ht="15.75" thickBot="1">
      <c r="O73" s="2380" t="s">
        <v>2383</v>
      </c>
      <c r="P73" s="2378" t="s">
        <v>2390</v>
      </c>
      <c r="Q73" s="2381">
        <f>L52</f>
        <v>0</v>
      </c>
      <c r="R73" s="2382"/>
    </row>
    <row r="74" spans="1:18" ht="20.25" thickBot="1">
      <c r="O74" s="2380" t="s">
        <v>2385</v>
      </c>
      <c r="P74" s="2378" t="s">
        <v>2391</v>
      </c>
      <c r="Q74" s="2379" t="e">
        <f ca="1">L58</f>
        <v>#DIV/0!</v>
      </c>
      <c r="R74" s="2382" t="s">
        <v>2392</v>
      </c>
    </row>
    <row r="75" spans="1:18" ht="15.75" thickBot="1">
      <c r="O75" s="2380" t="s">
        <v>2414</v>
      </c>
      <c r="P75" s="2378" t="str">
        <f>K59</f>
        <v>建设期及建筑物耐用年限下的土地年期修正系数Kn</v>
      </c>
      <c r="Q75" s="2379" t="e">
        <f ca="1">L59</f>
        <v>#DIV/0!</v>
      </c>
      <c r="R75" s="2382" t="s">
        <v>2394</v>
      </c>
    </row>
    <row r="76" spans="1:18" ht="15.75" thickBot="1">
      <c r="O76" s="2377" t="s">
        <v>2388</v>
      </c>
      <c r="P76" s="2378" t="s">
        <v>2405</v>
      </c>
      <c r="Q76" s="2379">
        <f ca="1">Q66+Q67</f>
        <v>19445</v>
      </c>
      <c r="R76" s="238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M16"/>
  <sheetViews>
    <sheetView workbookViewId="0">
      <selection activeCell="N17" sqref="N17"/>
    </sheetView>
  </sheetViews>
  <sheetFormatPr defaultRowHeight="13.5"/>
  <sheetData>
    <row r="2" spans="10:13" ht="13.5" customHeight="1">
      <c r="J2" s="3241" t="s">
        <v>3380</v>
      </c>
      <c r="K2" s="3592" t="s">
        <v>3383</v>
      </c>
      <c r="L2" s="3592"/>
      <c r="M2" s="3592"/>
    </row>
    <row r="3" spans="10:13">
      <c r="K3" s="3592"/>
      <c r="L3" s="3592"/>
      <c r="M3" s="3592"/>
    </row>
    <row r="4" spans="10:13">
      <c r="K4" s="3592"/>
      <c r="L4" s="3592"/>
      <c r="M4" s="3592"/>
    </row>
    <row r="5" spans="10:13">
      <c r="K5" s="3592"/>
      <c r="L5" s="3592"/>
      <c r="M5" s="3592"/>
    </row>
    <row r="6" spans="10:13">
      <c r="K6" s="3592"/>
      <c r="L6" s="3592"/>
      <c r="M6" s="3592"/>
    </row>
    <row r="7" spans="10:13">
      <c r="K7" s="3592"/>
      <c r="L7" s="3592"/>
      <c r="M7" s="3592"/>
    </row>
    <row r="8" spans="10:13">
      <c r="K8" s="3592"/>
      <c r="L8" s="3592"/>
      <c r="M8" s="3592"/>
    </row>
    <row r="9" spans="10:13">
      <c r="K9" s="3592"/>
      <c r="L9" s="3592"/>
      <c r="M9" s="3592"/>
    </row>
    <row r="10" spans="10:13">
      <c r="K10" s="3592"/>
      <c r="L10" s="3592"/>
      <c r="M10" s="3592"/>
    </row>
    <row r="11" spans="10:13">
      <c r="K11" s="3592"/>
      <c r="L11" s="3592"/>
      <c r="M11" s="3592"/>
    </row>
    <row r="12" spans="10:13">
      <c r="K12" s="3592"/>
      <c r="L12" s="3592"/>
      <c r="M12" s="3592"/>
    </row>
    <row r="13" spans="10:13">
      <c r="K13" s="3592"/>
      <c r="L13" s="3592"/>
      <c r="M13" s="3592"/>
    </row>
    <row r="14" spans="10:13">
      <c r="K14" s="3592"/>
      <c r="L14" s="3592"/>
      <c r="M14" s="3592"/>
    </row>
    <row r="15" spans="10:13">
      <c r="K15" s="3592"/>
      <c r="L15" s="3592"/>
      <c r="M15" s="3592"/>
    </row>
    <row r="16" spans="10:13">
      <c r="K16" s="3592"/>
      <c r="L16" s="3592"/>
      <c r="M16" s="3592"/>
    </row>
  </sheetData>
  <mergeCells count="1">
    <mergeCell ref="K2:M16"/>
  </mergeCells>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349"/>
      <c r="E1" s="506"/>
      <c r="F1" s="2785"/>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519</v>
      </c>
      <c r="B4" s="513"/>
      <c r="C4" s="3473" t="s">
        <v>520</v>
      </c>
      <c r="D4" s="3474"/>
      <c r="E4" s="3512" t="s">
        <v>521</v>
      </c>
      <c r="F4" s="3513"/>
      <c r="G4" s="3473" t="s">
        <v>522</v>
      </c>
      <c r="H4" s="3474"/>
      <c r="I4" s="3473" t="s">
        <v>523</v>
      </c>
      <c r="J4" s="3474"/>
      <c r="K4" s="514" t="s">
        <v>524</v>
      </c>
      <c r="L4" s="2133"/>
      <c r="M4" s="2134"/>
      <c r="N4" s="2134"/>
      <c r="O4" s="2134"/>
      <c r="P4" s="3475" t="s">
        <v>525</v>
      </c>
      <c r="Q4" s="3476"/>
      <c r="R4" s="3481" t="s">
        <v>521</v>
      </c>
      <c r="S4" s="3482"/>
      <c r="T4" s="3481" t="s">
        <v>522</v>
      </c>
      <c r="U4" s="3482"/>
      <c r="V4" s="3468" t="s">
        <v>523</v>
      </c>
      <c r="W4" s="3468"/>
      <c r="X4" s="1568"/>
      <c r="Y4" s="3481" t="s">
        <v>525</v>
      </c>
      <c r="Z4" s="3482"/>
      <c r="AA4" s="3470" t="s">
        <v>521</v>
      </c>
      <c r="AB4" s="3468" t="s">
        <v>522</v>
      </c>
      <c r="AC4" s="3470" t="s">
        <v>523</v>
      </c>
    </row>
    <row r="5" spans="1:29" ht="15">
      <c r="A5" s="515"/>
      <c r="B5" s="516"/>
      <c r="C5" s="3506" t="s">
        <v>2914</v>
      </c>
      <c r="D5" s="3507"/>
      <c r="E5" s="3514" t="s">
        <v>2915</v>
      </c>
      <c r="F5" s="3515"/>
      <c r="G5" s="3506" t="s">
        <v>2916</v>
      </c>
      <c r="H5" s="3507"/>
      <c r="I5" s="3506" t="s">
        <v>2917</v>
      </c>
      <c r="J5" s="3507"/>
      <c r="K5" s="514"/>
      <c r="L5" s="2133"/>
      <c r="M5" s="2134"/>
      <c r="N5" s="2134"/>
      <c r="O5" s="2134"/>
      <c r="P5" s="3477"/>
      <c r="Q5" s="3478"/>
      <c r="R5" s="3483"/>
      <c r="S5" s="3484"/>
      <c r="T5" s="3483"/>
      <c r="U5" s="3484"/>
      <c r="V5" s="3468"/>
      <c r="W5" s="3468"/>
      <c r="X5" s="1568"/>
      <c r="Y5" s="3483"/>
      <c r="Z5" s="3484"/>
      <c r="AA5" s="3471"/>
      <c r="AB5" s="3468"/>
      <c r="AC5" s="3471"/>
    </row>
    <row r="6" spans="1:29" ht="15.75" thickBot="1">
      <c r="A6" s="517"/>
      <c r="B6" s="518"/>
      <c r="C6" s="3508" t="s">
        <v>2918</v>
      </c>
      <c r="D6" s="3509"/>
      <c r="E6" s="3510" t="s">
        <v>2918</v>
      </c>
      <c r="F6" s="3511"/>
      <c r="G6" s="3508" t="s">
        <v>2918</v>
      </c>
      <c r="H6" s="3509"/>
      <c r="I6" s="3508" t="s">
        <v>2918</v>
      </c>
      <c r="J6" s="3509"/>
      <c r="K6" s="514" t="s">
        <v>526</v>
      </c>
      <c r="L6" s="2133"/>
      <c r="M6" s="2134"/>
      <c r="N6" s="2134"/>
      <c r="O6" s="2134"/>
      <c r="P6" s="3479"/>
      <c r="Q6" s="3480"/>
      <c r="R6" s="3483"/>
      <c r="S6" s="3484"/>
      <c r="T6" s="3485"/>
      <c r="U6" s="3486"/>
      <c r="V6" s="3468"/>
      <c r="W6" s="3468"/>
      <c r="X6" s="1568"/>
      <c r="Y6" s="3485"/>
      <c r="Z6" s="3486"/>
      <c r="AA6" s="3472"/>
      <c r="AB6" s="3468"/>
      <c r="AC6" s="3472"/>
    </row>
    <row r="7" spans="1:29" s="1220" customFormat="1" ht="15.75" thickBot="1">
      <c r="A7" s="2890"/>
      <c r="B7" s="2897" t="s">
        <v>527</v>
      </c>
      <c r="C7" s="519">
        <f>'数据-取费表'!B2</f>
        <v>43529</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99" t="s">
        <v>528</v>
      </c>
      <c r="Q7" s="3501"/>
      <c r="R7" s="1569" t="s">
        <v>8</v>
      </c>
      <c r="S7" s="1570">
        <f t="shared" ref="S7:S15" si="0">F7</f>
        <v>0</v>
      </c>
      <c r="T7" s="1569" t="s">
        <v>8</v>
      </c>
      <c r="U7" s="1570">
        <f t="shared" ref="U7:U15" si="1">H7</f>
        <v>0</v>
      </c>
      <c r="V7" s="1569" t="s">
        <v>8</v>
      </c>
      <c r="W7" s="1570">
        <f t="shared" ref="W7:W15" si="2">J7</f>
        <v>0</v>
      </c>
      <c r="X7" s="1571"/>
      <c r="Y7" s="3499" t="s">
        <v>528</v>
      </c>
      <c r="Z7" s="3500"/>
      <c r="AA7" s="1572" t="e">
        <f>D7/F7</f>
        <v>#DIV/0!</v>
      </c>
      <c r="AB7" s="1572" t="e">
        <f>D7/H7</f>
        <v>#DIV/0!</v>
      </c>
      <c r="AC7" s="1572" t="e">
        <f>D7/J7</f>
        <v>#DIV/0!</v>
      </c>
    </row>
    <row r="8" spans="1:29" s="1220" customFormat="1" ht="15.75" thickBot="1">
      <c r="A8" s="2891"/>
      <c r="B8" s="2898" t="s">
        <v>529</v>
      </c>
      <c r="C8" s="525" t="s">
        <v>574</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99" t="s">
        <v>531</v>
      </c>
      <c r="Q8" s="3500"/>
      <c r="R8" s="1569" t="s">
        <v>8</v>
      </c>
      <c r="S8" s="1570">
        <f t="shared" si="0"/>
        <v>0</v>
      </c>
      <c r="T8" s="1569" t="s">
        <v>8</v>
      </c>
      <c r="U8" s="1570">
        <f t="shared" si="1"/>
        <v>0</v>
      </c>
      <c r="V8" s="1569" t="s">
        <v>8</v>
      </c>
      <c r="W8" s="1570">
        <f t="shared" si="2"/>
        <v>0</v>
      </c>
      <c r="X8" s="1571"/>
      <c r="Y8" s="3499" t="s">
        <v>531</v>
      </c>
      <c r="Z8" s="3500"/>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67" t="s">
        <v>533</v>
      </c>
      <c r="Q9" s="1151" t="str">
        <f t="shared" ref="Q9:Q15" si="6">B9</f>
        <v>用途</v>
      </c>
      <c r="R9" s="1569" t="s">
        <v>8</v>
      </c>
      <c r="S9" s="1570">
        <f t="shared" si="0"/>
        <v>100</v>
      </c>
      <c r="T9" s="1569" t="s">
        <v>8</v>
      </c>
      <c r="U9" s="1570">
        <f t="shared" si="1"/>
        <v>100</v>
      </c>
      <c r="V9" s="1569" t="s">
        <v>8</v>
      </c>
      <c r="W9" s="1570">
        <f t="shared" si="2"/>
        <v>100</v>
      </c>
      <c r="X9" s="1571"/>
      <c r="Y9" s="3374" t="s">
        <v>534</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67"/>
      <c r="Q10" s="1151" t="str">
        <f t="shared" si="6"/>
        <v>土地使用年限（年）</v>
      </c>
      <c r="R10" s="1569" t="s">
        <v>8</v>
      </c>
      <c r="S10" s="1570">
        <f t="shared" si="0"/>
        <v>100</v>
      </c>
      <c r="T10" s="1569" t="s">
        <v>8</v>
      </c>
      <c r="U10" s="1570">
        <f t="shared" si="1"/>
        <v>100</v>
      </c>
      <c r="V10" s="1569" t="s">
        <v>8</v>
      </c>
      <c r="W10" s="1570">
        <f t="shared" si="2"/>
        <v>100</v>
      </c>
      <c r="X10" s="1571"/>
      <c r="Y10" s="3374"/>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67"/>
      <c r="Q11" s="1151" t="str">
        <f t="shared" si="6"/>
        <v>容积率</v>
      </c>
      <c r="R11" s="1569" t="s">
        <v>8</v>
      </c>
      <c r="S11" s="1570" t="e">
        <f t="shared" si="0"/>
        <v>#N/A</v>
      </c>
      <c r="T11" s="1569" t="s">
        <v>8</v>
      </c>
      <c r="U11" s="1570" t="e">
        <f t="shared" si="1"/>
        <v>#N/A</v>
      </c>
      <c r="V11" s="1569" t="s">
        <v>8</v>
      </c>
      <c r="W11" s="1570" t="e">
        <f t="shared" si="2"/>
        <v>#N/A</v>
      </c>
      <c r="X11" s="1571"/>
      <c r="Y11" s="3374"/>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67"/>
      <c r="Q12" s="1151">
        <f t="shared" si="6"/>
        <v>111</v>
      </c>
      <c r="R12" s="1569" t="s">
        <v>8</v>
      </c>
      <c r="S12" s="1570">
        <f t="shared" si="0"/>
        <v>100</v>
      </c>
      <c r="T12" s="1569" t="s">
        <v>8</v>
      </c>
      <c r="U12" s="1570">
        <f t="shared" si="1"/>
        <v>100</v>
      </c>
      <c r="V12" s="1569" t="s">
        <v>8</v>
      </c>
      <c r="W12" s="1570">
        <f t="shared" si="2"/>
        <v>100</v>
      </c>
      <c r="X12" s="1571"/>
      <c r="Y12" s="3374"/>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67"/>
      <c r="Q13" s="1151">
        <f t="shared" si="6"/>
        <v>111</v>
      </c>
      <c r="R13" s="1569" t="s">
        <v>8</v>
      </c>
      <c r="S13" s="1570">
        <f t="shared" si="0"/>
        <v>100</v>
      </c>
      <c r="T13" s="1569" t="s">
        <v>8</v>
      </c>
      <c r="U13" s="1570">
        <f t="shared" si="1"/>
        <v>100</v>
      </c>
      <c r="V13" s="1569" t="s">
        <v>8</v>
      </c>
      <c r="W13" s="1570">
        <f t="shared" si="2"/>
        <v>100</v>
      </c>
      <c r="X13" s="1571"/>
      <c r="Y13" s="3374"/>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67"/>
      <c r="Q14" s="1151">
        <f t="shared" si="6"/>
        <v>111</v>
      </c>
      <c r="R14" s="1569" t="s">
        <v>8</v>
      </c>
      <c r="S14" s="1570">
        <f t="shared" si="0"/>
        <v>100</v>
      </c>
      <c r="T14" s="1569" t="s">
        <v>8</v>
      </c>
      <c r="U14" s="1570">
        <f t="shared" si="1"/>
        <v>100</v>
      </c>
      <c r="V14" s="1569" t="s">
        <v>8</v>
      </c>
      <c r="W14" s="1570">
        <f t="shared" si="2"/>
        <v>100</v>
      </c>
      <c r="X14" s="1571"/>
      <c r="Y14" s="3374"/>
      <c r="Z14" s="1150">
        <f t="shared" si="7"/>
        <v>111</v>
      </c>
      <c r="AA14" s="1572">
        <f t="shared" si="3"/>
        <v>1</v>
      </c>
      <c r="AB14" s="1572">
        <f t="shared" si="4"/>
        <v>1</v>
      </c>
      <c r="AC14" s="1572">
        <f t="shared" si="5"/>
        <v>1</v>
      </c>
    </row>
    <row r="15" spans="1:29" ht="15">
      <c r="A15" s="2888" t="s">
        <v>2751</v>
      </c>
      <c r="B15" s="166" t="s">
        <v>539</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502" t="s">
        <v>538</v>
      </c>
      <c r="Q15" s="1573" t="str">
        <f t="shared" si="6"/>
        <v>商业繁华度</v>
      </c>
      <c r="R15" s="1574" t="s">
        <v>8</v>
      </c>
      <c r="S15" s="1575">
        <f t="shared" si="0"/>
        <v>100</v>
      </c>
      <c r="T15" s="1574" t="s">
        <v>8</v>
      </c>
      <c r="U15" s="1575">
        <f t="shared" si="1"/>
        <v>100</v>
      </c>
      <c r="V15" s="1574" t="s">
        <v>8</v>
      </c>
      <c r="W15" s="1575">
        <f t="shared" si="2"/>
        <v>100</v>
      </c>
      <c r="X15" s="1568"/>
      <c r="Y15" s="3502"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503"/>
      <c r="Q16" s="1573"/>
      <c r="R16" s="1574"/>
      <c r="S16" s="1575"/>
      <c r="T16" s="1574"/>
      <c r="U16" s="1575"/>
      <c r="V16" s="1574"/>
      <c r="W16" s="1575"/>
      <c r="X16" s="1568"/>
      <c r="Y16" s="3503"/>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503"/>
      <c r="Q17" s="1573" t="str">
        <f>B17</f>
        <v>交通便捷度</v>
      </c>
      <c r="R17" s="1574" t="s">
        <v>8</v>
      </c>
      <c r="S17" s="1575">
        <f>F17</f>
        <v>100</v>
      </c>
      <c r="T17" s="1574" t="s">
        <v>8</v>
      </c>
      <c r="U17" s="1575">
        <f>H17</f>
        <v>100</v>
      </c>
      <c r="V17" s="1574" t="s">
        <v>8</v>
      </c>
      <c r="W17" s="1575">
        <f>J17</f>
        <v>100</v>
      </c>
      <c r="X17" s="1568"/>
      <c r="Y17" s="350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503"/>
      <c r="Q18" s="1573"/>
      <c r="R18" s="1574"/>
      <c r="S18" s="1575"/>
      <c r="T18" s="1574"/>
      <c r="U18" s="1575"/>
      <c r="V18" s="1574"/>
      <c r="W18" s="1575"/>
      <c r="X18" s="1568"/>
      <c r="Y18" s="3503"/>
      <c r="Z18" s="1576"/>
      <c r="AA18" s="1577">
        <v>1</v>
      </c>
      <c r="AB18" s="1577">
        <v>1</v>
      </c>
      <c r="AC18" s="1577">
        <v>1</v>
      </c>
    </row>
    <row r="19" spans="1:29" ht="15">
      <c r="A19" s="532"/>
      <c r="B19" s="2579"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503"/>
      <c r="Q19" s="1573" t="str">
        <f>B19</f>
        <v>公共配套设施</v>
      </c>
      <c r="R19" s="1574" t="s">
        <v>8</v>
      </c>
      <c r="S19" s="1575">
        <f>F19</f>
        <v>100</v>
      </c>
      <c r="T19" s="1574" t="s">
        <v>8</v>
      </c>
      <c r="U19" s="1575">
        <f>H19</f>
        <v>100</v>
      </c>
      <c r="V19" s="1574" t="s">
        <v>8</v>
      </c>
      <c r="W19" s="1575">
        <f>J19</f>
        <v>100</v>
      </c>
      <c r="X19" s="1568"/>
      <c r="Y19" s="350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503"/>
      <c r="Q20" s="1573"/>
      <c r="R20" s="1574"/>
      <c r="S20" s="1575"/>
      <c r="T20" s="1574"/>
      <c r="U20" s="1575"/>
      <c r="V20" s="1574"/>
      <c r="W20" s="1575"/>
      <c r="X20" s="1568"/>
      <c r="Y20" s="3503"/>
      <c r="Z20" s="1576"/>
      <c r="AA20" s="1577">
        <v>1</v>
      </c>
      <c r="AB20" s="1577">
        <v>1</v>
      </c>
      <c r="AC20" s="1577">
        <v>1</v>
      </c>
    </row>
    <row r="21" spans="1:29" ht="15">
      <c r="A21" s="532"/>
      <c r="B21" s="2572"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503"/>
      <c r="Q21" s="2558" t="str">
        <f>B21</f>
        <v>基础设施水平</v>
      </c>
      <c r="R21" s="1574" t="s">
        <v>8</v>
      </c>
      <c r="S21" s="1575">
        <f>F21</f>
        <v>100</v>
      </c>
      <c r="T21" s="1574" t="s">
        <v>8</v>
      </c>
      <c r="U21" s="1575">
        <f>H21</f>
        <v>100</v>
      </c>
      <c r="V21" s="1574" t="s">
        <v>8</v>
      </c>
      <c r="W21" s="1575">
        <f>J21</f>
        <v>100</v>
      </c>
      <c r="X21" s="2560"/>
      <c r="Y21" s="3503"/>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503"/>
      <c r="Q22" s="2558"/>
      <c r="R22" s="1574"/>
      <c r="S22" s="1575"/>
      <c r="T22" s="1574"/>
      <c r="U22" s="1575"/>
      <c r="V22" s="1574"/>
      <c r="W22" s="1575"/>
      <c r="X22" s="2560"/>
      <c r="Y22" s="3503"/>
      <c r="Z22" s="2559"/>
      <c r="AA22" s="1577">
        <v>1</v>
      </c>
      <c r="AB22" s="1577">
        <v>1</v>
      </c>
      <c r="AC22" s="1577">
        <v>1</v>
      </c>
    </row>
    <row r="23" spans="1:29" ht="28.5">
      <c r="A23" s="532"/>
      <c r="B23" s="871" t="s">
        <v>297</v>
      </c>
      <c r="C23" s="900" t="str">
        <f>估价对象房地状况!C9</f>
        <v>自然较好，人文较差，总体一般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503"/>
      <c r="Q23" s="1573" t="str">
        <f>B23</f>
        <v>自然及人文环境</v>
      </c>
      <c r="R23" s="1574" t="s">
        <v>8</v>
      </c>
      <c r="S23" s="1575">
        <f>F23</f>
        <v>100</v>
      </c>
      <c r="T23" s="1574" t="s">
        <v>8</v>
      </c>
      <c r="U23" s="1575">
        <f>H23</f>
        <v>100</v>
      </c>
      <c r="V23" s="1574" t="s">
        <v>8</v>
      </c>
      <c r="W23" s="1575">
        <f>J23</f>
        <v>100</v>
      </c>
      <c r="X23" s="1568"/>
      <c r="Y23" s="350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503"/>
      <c r="Q24" s="1573"/>
      <c r="R24" s="1574"/>
      <c r="S24" s="1575"/>
      <c r="T24" s="1574"/>
      <c r="U24" s="1575"/>
      <c r="V24" s="1574"/>
      <c r="W24" s="1575"/>
      <c r="X24" s="1568"/>
      <c r="Y24" s="3503"/>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503"/>
      <c r="Q25" s="1573" t="str">
        <f t="shared" ref="Q25:Q46" si="11">B25</f>
        <v>临街状况</v>
      </c>
      <c r="R25" s="1574" t="s">
        <v>8</v>
      </c>
      <c r="S25" s="1575">
        <f>F25</f>
        <v>100</v>
      </c>
      <c r="T25" s="1574" t="s">
        <v>8</v>
      </c>
      <c r="U25" s="1575">
        <f>H25</f>
        <v>100</v>
      </c>
      <c r="V25" s="1574" t="s">
        <v>8</v>
      </c>
      <c r="W25" s="1575">
        <f>J25</f>
        <v>100</v>
      </c>
      <c r="X25" s="1568"/>
      <c r="Y25" s="3503"/>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503"/>
      <c r="Q26" s="1573" t="str">
        <f t="shared" si="11"/>
        <v>平面位置/可视性</v>
      </c>
      <c r="R26" s="1574" t="s">
        <v>8</v>
      </c>
      <c r="S26" s="1575">
        <f>F26</f>
        <v>100</v>
      </c>
      <c r="T26" s="1574" t="s">
        <v>8</v>
      </c>
      <c r="U26" s="1575">
        <f>H26</f>
        <v>100</v>
      </c>
      <c r="V26" s="1574" t="s">
        <v>8</v>
      </c>
      <c r="W26" s="1575">
        <f>J26</f>
        <v>100</v>
      </c>
      <c r="X26" s="1568"/>
      <c r="Y26" s="3503"/>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503"/>
      <c r="Q27" s="1151" t="str">
        <f t="shared" si="11"/>
        <v>人流量</v>
      </c>
      <c r="R27" s="1569" t="s">
        <v>8</v>
      </c>
      <c r="S27" s="1570">
        <f>F27</f>
        <v>100</v>
      </c>
      <c r="T27" s="1569" t="s">
        <v>8</v>
      </c>
      <c r="U27" s="1570">
        <f>H27</f>
        <v>100</v>
      </c>
      <c r="V27" s="1569" t="s">
        <v>8</v>
      </c>
      <c r="W27" s="1570">
        <f>J27</f>
        <v>100</v>
      </c>
      <c r="X27" s="1571"/>
      <c r="Y27" s="3503"/>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50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0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503"/>
      <c r="Q29" s="1573">
        <f t="shared" si="11"/>
        <v>111</v>
      </c>
      <c r="R29" s="1574" t="s">
        <v>8</v>
      </c>
      <c r="S29" s="1575">
        <f t="shared" si="12"/>
        <v>100</v>
      </c>
      <c r="T29" s="1574" t="s">
        <v>8</v>
      </c>
      <c r="U29" s="1575">
        <f t="shared" si="13"/>
        <v>100</v>
      </c>
      <c r="V29" s="1574" t="s">
        <v>8</v>
      </c>
      <c r="W29" s="1575">
        <f t="shared" si="14"/>
        <v>100</v>
      </c>
      <c r="X29" s="1568"/>
      <c r="Y29" s="350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503"/>
      <c r="Q30" s="1573">
        <f t="shared" si="11"/>
        <v>111</v>
      </c>
      <c r="R30" s="1574" t="s">
        <v>8</v>
      </c>
      <c r="S30" s="1575">
        <f t="shared" si="12"/>
        <v>100</v>
      </c>
      <c r="T30" s="1574" t="s">
        <v>8</v>
      </c>
      <c r="U30" s="1575">
        <f t="shared" si="13"/>
        <v>100</v>
      </c>
      <c r="V30" s="1574" t="s">
        <v>8</v>
      </c>
      <c r="W30" s="1575">
        <f t="shared" si="14"/>
        <v>100</v>
      </c>
      <c r="X30" s="1568"/>
      <c r="Y30" s="350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503"/>
      <c r="Q31" s="1573">
        <f t="shared" si="11"/>
        <v>111</v>
      </c>
      <c r="R31" s="1574" t="s">
        <v>8</v>
      </c>
      <c r="S31" s="1575">
        <f t="shared" si="12"/>
        <v>100</v>
      </c>
      <c r="T31" s="1574" t="s">
        <v>8</v>
      </c>
      <c r="U31" s="1575">
        <f t="shared" si="13"/>
        <v>100</v>
      </c>
      <c r="V31" s="1574" t="s">
        <v>8</v>
      </c>
      <c r="W31" s="1575">
        <f t="shared" si="14"/>
        <v>100</v>
      </c>
      <c r="X31" s="1568"/>
      <c r="Y31" s="3503"/>
      <c r="Z31" s="1576">
        <f t="shared" si="15"/>
        <v>111</v>
      </c>
      <c r="AA31" s="1577">
        <f t="shared" si="3"/>
        <v>1</v>
      </c>
      <c r="AB31" s="1577">
        <f t="shared" si="4"/>
        <v>1</v>
      </c>
      <c r="AC31" s="1577">
        <f t="shared" si="5"/>
        <v>1</v>
      </c>
    </row>
    <row r="32" spans="1:29" ht="15">
      <c r="A32" s="2885" t="s">
        <v>2752</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504" t="s">
        <v>548</v>
      </c>
      <c r="Q32" s="1573" t="str">
        <f t="shared" si="11"/>
        <v>商业类型</v>
      </c>
      <c r="R32" s="1574" t="s">
        <v>8</v>
      </c>
      <c r="S32" s="1575">
        <f t="shared" si="12"/>
        <v>100</v>
      </c>
      <c r="T32" s="1574" t="s">
        <v>8</v>
      </c>
      <c r="U32" s="1575">
        <f t="shared" si="13"/>
        <v>100</v>
      </c>
      <c r="V32" s="1574" t="s">
        <v>8</v>
      </c>
      <c r="W32" s="1575">
        <f t="shared" si="14"/>
        <v>100</v>
      </c>
      <c r="X32" s="1568"/>
      <c r="Y32" s="3505"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505"/>
      <c r="Q33" s="1606" t="str">
        <f t="shared" si="11"/>
        <v>项目建筑规模</v>
      </c>
      <c r="R33" s="1578" t="s">
        <v>8</v>
      </c>
      <c r="S33" s="1579" t="e">
        <f t="shared" si="12"/>
        <v>#N/A</v>
      </c>
      <c r="T33" s="1578" t="s">
        <v>8</v>
      </c>
      <c r="U33" s="1579" t="e">
        <f t="shared" si="13"/>
        <v>#N/A</v>
      </c>
      <c r="V33" s="1578" t="s">
        <v>8</v>
      </c>
      <c r="W33" s="1579" t="e">
        <f t="shared" si="14"/>
        <v>#N/A</v>
      </c>
      <c r="X33" s="1580"/>
      <c r="Y33" s="3505"/>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505"/>
      <c r="Q34" s="1573" t="str">
        <f t="shared" si="11"/>
        <v>建筑结构</v>
      </c>
      <c r="R34" s="1574" t="s">
        <v>8</v>
      </c>
      <c r="S34" s="1575">
        <f t="shared" si="12"/>
        <v>100</v>
      </c>
      <c r="T34" s="1574" t="s">
        <v>8</v>
      </c>
      <c r="U34" s="1575">
        <f t="shared" si="13"/>
        <v>100</v>
      </c>
      <c r="V34" s="1574" t="s">
        <v>8</v>
      </c>
      <c r="W34" s="1575">
        <f t="shared" si="14"/>
        <v>100</v>
      </c>
      <c r="X34" s="1568"/>
      <c r="Y34" s="3505"/>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505"/>
      <c r="Q35" s="1573" t="str">
        <f t="shared" si="11"/>
        <v>公共部分装修</v>
      </c>
      <c r="R35" s="1574" t="s">
        <v>8</v>
      </c>
      <c r="S35" s="1575">
        <f t="shared" si="12"/>
        <v>100</v>
      </c>
      <c r="T35" s="1574" t="s">
        <v>8</v>
      </c>
      <c r="U35" s="1575">
        <f t="shared" si="13"/>
        <v>100</v>
      </c>
      <c r="V35" s="1574" t="s">
        <v>8</v>
      </c>
      <c r="W35" s="1575">
        <f t="shared" si="14"/>
        <v>100</v>
      </c>
      <c r="X35" s="1568"/>
      <c r="Y35" s="3505"/>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505"/>
      <c r="Q36" s="1573" t="str">
        <f t="shared" si="11"/>
        <v>成新度</v>
      </c>
      <c r="R36" s="1574" t="s">
        <v>8</v>
      </c>
      <c r="S36" s="1575" t="e">
        <f t="shared" si="12"/>
        <v>#N/A</v>
      </c>
      <c r="T36" s="1574" t="s">
        <v>8</v>
      </c>
      <c r="U36" s="1575" t="e">
        <f t="shared" si="13"/>
        <v>#N/A</v>
      </c>
      <c r="V36" s="1574" t="s">
        <v>8</v>
      </c>
      <c r="W36" s="1575" t="e">
        <f t="shared" si="14"/>
        <v>#N/A</v>
      </c>
      <c r="X36" s="1568"/>
      <c r="Y36" s="3505"/>
      <c r="Z36" s="1576" t="str">
        <f t="shared" si="15"/>
        <v>成新度</v>
      </c>
      <c r="AA36" s="1577" t="e">
        <f t="shared" si="3"/>
        <v>#N/A</v>
      </c>
      <c r="AB36" s="1577" t="e">
        <f t="shared" si="4"/>
        <v>#N/A</v>
      </c>
      <c r="AC36" s="1577" t="e">
        <f t="shared" si="5"/>
        <v>#N/A</v>
      </c>
    </row>
    <row r="37" spans="1:29" s="1220" customFormat="1" ht="15">
      <c r="A37" s="600"/>
      <c r="B37" s="1895"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505"/>
      <c r="Q37" s="1151" t="str">
        <f t="shared" si="11"/>
        <v>市政基础设施</v>
      </c>
      <c r="R37" s="1569" t="s">
        <v>8</v>
      </c>
      <c r="S37" s="1570">
        <f t="shared" si="12"/>
        <v>100</v>
      </c>
      <c r="T37" s="1569" t="s">
        <v>8</v>
      </c>
      <c r="U37" s="1570">
        <f t="shared" si="13"/>
        <v>100</v>
      </c>
      <c r="V37" s="1569" t="s">
        <v>8</v>
      </c>
      <c r="W37" s="1570">
        <f t="shared" si="14"/>
        <v>100</v>
      </c>
      <c r="X37" s="1571"/>
      <c r="Y37" s="3505"/>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505" t="s">
        <v>764</v>
      </c>
      <c r="Q38" s="1573" t="str">
        <f t="shared" si="11"/>
        <v>业态</v>
      </c>
      <c r="R38" s="1574" t="s">
        <v>8</v>
      </c>
      <c r="S38" s="1575">
        <f t="shared" si="12"/>
        <v>100</v>
      </c>
      <c r="T38" s="1574" t="s">
        <v>8</v>
      </c>
      <c r="U38" s="1575">
        <f t="shared" si="13"/>
        <v>100</v>
      </c>
      <c r="V38" s="1574" t="s">
        <v>8</v>
      </c>
      <c r="W38" s="1575">
        <f t="shared" si="14"/>
        <v>100</v>
      </c>
      <c r="X38" s="1568"/>
      <c r="Y38" s="3505"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505"/>
      <c r="Q39" s="1573" t="str">
        <f t="shared" si="11"/>
        <v>层高</v>
      </c>
      <c r="R39" s="1574" t="s">
        <v>8</v>
      </c>
      <c r="S39" s="1575">
        <f t="shared" si="12"/>
        <v>100</v>
      </c>
      <c r="T39" s="1574" t="s">
        <v>8</v>
      </c>
      <c r="U39" s="1575">
        <f t="shared" si="13"/>
        <v>100</v>
      </c>
      <c r="V39" s="1574" t="s">
        <v>8</v>
      </c>
      <c r="W39" s="1575">
        <f t="shared" si="14"/>
        <v>100</v>
      </c>
      <c r="X39" s="1568"/>
      <c r="Y39" s="3505"/>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505"/>
      <c r="Q40" s="1573" t="str">
        <f t="shared" si="11"/>
        <v>单套建筑面积</v>
      </c>
      <c r="R40" s="1574" t="s">
        <v>8</v>
      </c>
      <c r="S40" s="1575">
        <f t="shared" si="12"/>
        <v>100</v>
      </c>
      <c r="T40" s="1574" t="s">
        <v>8</v>
      </c>
      <c r="U40" s="1575">
        <f t="shared" si="13"/>
        <v>100</v>
      </c>
      <c r="V40" s="1574" t="s">
        <v>8</v>
      </c>
      <c r="W40" s="1575">
        <f t="shared" si="14"/>
        <v>100</v>
      </c>
      <c r="X40" s="1568"/>
      <c r="Y40" s="3505"/>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505"/>
      <c r="Q41" s="1606" t="str">
        <f t="shared" si="11"/>
        <v>进深比</v>
      </c>
      <c r="R41" s="1578" t="s">
        <v>8</v>
      </c>
      <c r="S41" s="1579">
        <f t="shared" si="12"/>
        <v>100</v>
      </c>
      <c r="T41" s="1578" t="s">
        <v>8</v>
      </c>
      <c r="U41" s="1579">
        <f t="shared" si="13"/>
        <v>100</v>
      </c>
      <c r="V41" s="1578" t="s">
        <v>8</v>
      </c>
      <c r="W41" s="1579">
        <f t="shared" si="14"/>
        <v>100</v>
      </c>
      <c r="X41" s="1580"/>
      <c r="Y41" s="3505"/>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505"/>
      <c r="Q42" s="1573" t="str">
        <f t="shared" si="11"/>
        <v>内部装修</v>
      </c>
      <c r="R42" s="1574" t="s">
        <v>8</v>
      </c>
      <c r="S42" s="1575">
        <f t="shared" si="12"/>
        <v>100</v>
      </c>
      <c r="T42" s="1574" t="s">
        <v>8</v>
      </c>
      <c r="U42" s="1575">
        <f t="shared" si="13"/>
        <v>100</v>
      </c>
      <c r="V42" s="1574" t="s">
        <v>8</v>
      </c>
      <c r="W42" s="1575">
        <f t="shared" si="14"/>
        <v>100</v>
      </c>
      <c r="X42" s="1568"/>
      <c r="Y42" s="3505"/>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505"/>
      <c r="Q43" s="1573" t="str">
        <f t="shared" si="11"/>
        <v>内部装修维护情况</v>
      </c>
      <c r="R43" s="1574" t="s">
        <v>8</v>
      </c>
      <c r="S43" s="1575">
        <f t="shared" si="12"/>
        <v>100</v>
      </c>
      <c r="T43" s="1574" t="s">
        <v>8</v>
      </c>
      <c r="U43" s="1575">
        <f t="shared" si="13"/>
        <v>100</v>
      </c>
      <c r="V43" s="1574" t="s">
        <v>8</v>
      </c>
      <c r="W43" s="1575">
        <f t="shared" si="14"/>
        <v>100</v>
      </c>
      <c r="X43" s="1568"/>
      <c r="Y43" s="350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505"/>
      <c r="Q44" s="1151">
        <f t="shared" si="11"/>
        <v>111</v>
      </c>
      <c r="R44" s="1569" t="s">
        <v>8</v>
      </c>
      <c r="S44" s="1570">
        <f t="shared" si="12"/>
        <v>100</v>
      </c>
      <c r="T44" s="1569" t="s">
        <v>8</v>
      </c>
      <c r="U44" s="1570">
        <f t="shared" si="13"/>
        <v>100</v>
      </c>
      <c r="V44" s="1569" t="s">
        <v>8</v>
      </c>
      <c r="W44" s="1570">
        <f t="shared" si="14"/>
        <v>100</v>
      </c>
      <c r="X44" s="1571"/>
      <c r="Y44" s="350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505"/>
      <c r="Q45" s="1573">
        <f t="shared" si="11"/>
        <v>111</v>
      </c>
      <c r="R45" s="1574" t="s">
        <v>8</v>
      </c>
      <c r="S45" s="1575">
        <f t="shared" si="12"/>
        <v>100</v>
      </c>
      <c r="T45" s="1574" t="s">
        <v>8</v>
      </c>
      <c r="U45" s="1575">
        <f t="shared" si="13"/>
        <v>100</v>
      </c>
      <c r="V45" s="1574" t="s">
        <v>8</v>
      </c>
      <c r="W45" s="1575">
        <f t="shared" si="14"/>
        <v>100</v>
      </c>
      <c r="X45" s="1568"/>
      <c r="Y45" s="350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85"/>
      <c r="Q46" s="1573">
        <f t="shared" si="11"/>
        <v>111</v>
      </c>
      <c r="R46" s="1574" t="s">
        <v>8</v>
      </c>
      <c r="S46" s="1575">
        <f t="shared" si="12"/>
        <v>100</v>
      </c>
      <c r="T46" s="1574" t="s">
        <v>8</v>
      </c>
      <c r="U46" s="1575">
        <f t="shared" si="13"/>
        <v>100</v>
      </c>
      <c r="V46" s="1574" t="s">
        <v>8</v>
      </c>
      <c r="W46" s="1575">
        <f t="shared" si="14"/>
        <v>100</v>
      </c>
      <c r="X46" s="1568"/>
      <c r="Y46" s="3585"/>
      <c r="Z46" s="1576">
        <f t="shared" si="15"/>
        <v>111</v>
      </c>
      <c r="AA46" s="1577">
        <f t="shared" si="3"/>
        <v>1</v>
      </c>
      <c r="AB46" s="1577">
        <f t="shared" si="4"/>
        <v>1</v>
      </c>
      <c r="AC46" s="1577">
        <f t="shared" si="5"/>
        <v>1</v>
      </c>
    </row>
    <row r="47" spans="1:29" ht="15">
      <c r="A47" s="607" t="s">
        <v>734</v>
      </c>
      <c r="B47" s="887"/>
      <c r="C47" s="2606" t="s">
        <v>1</v>
      </c>
      <c r="D47" s="2607"/>
      <c r="E47" s="2608"/>
      <c r="F47" s="2609"/>
      <c r="G47" s="2610"/>
      <c r="H47" s="2611"/>
      <c r="I47" s="2608"/>
      <c r="J47" s="2611"/>
      <c r="K47" s="1612"/>
      <c r="L47" s="2144"/>
      <c r="M47" s="2145"/>
      <c r="N47" s="2134"/>
      <c r="O47" s="2145"/>
      <c r="P47" s="3467" t="str">
        <f>A47</f>
        <v>成交单价（元/平方米）</v>
      </c>
      <c r="Q47" s="3467"/>
      <c r="R47" s="3584">
        <f>E47</f>
        <v>0</v>
      </c>
      <c r="S47" s="3584"/>
      <c r="T47" s="3584">
        <f>G47</f>
        <v>0</v>
      </c>
      <c r="U47" s="3584"/>
      <c r="V47" s="3584">
        <f>I47</f>
        <v>0</v>
      </c>
      <c r="W47" s="3584"/>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13"/>
      <c r="L48" s="2144"/>
      <c r="M48" s="2145"/>
      <c r="N48" s="2134"/>
      <c r="O48" s="2145"/>
      <c r="P48" s="3467" t="str">
        <f>A48</f>
        <v>比较价格（元/平方米）</v>
      </c>
      <c r="Q48" s="3467"/>
      <c r="R48" s="3584" t="e">
        <f>IF(F1="售价",ROUND(PRODUCT(R47,AA7:AA46),0),ROUND(PRODUCT(R47,AA7:AA46),1))</f>
        <v>#DIV/0!</v>
      </c>
      <c r="S48" s="3584"/>
      <c r="T48" s="3584" t="e">
        <f>IF(F1="售价",ROUND(PRODUCT(T47,AB7:AB46),0),ROUND(PRODUCT(T47,AB7:AB46),1))</f>
        <v>#DIV/0!</v>
      </c>
      <c r="U48" s="3584"/>
      <c r="V48" s="3584" t="e">
        <f>IF(F1="售价",ROUND(PRODUCT(V47,AC7:AC46),0),ROUND(PRODUCT(V47,AC7:AC46),1))</f>
        <v>#DIV/0!</v>
      </c>
      <c r="W48" s="3584"/>
      <c r="X48" s="1560"/>
      <c r="Y48" s="1560"/>
      <c r="Z48" s="1560"/>
      <c r="AA48" s="1560"/>
      <c r="AB48" s="1560"/>
      <c r="AC48" s="1560"/>
    </row>
    <row r="49" spans="1:29" ht="15.75" thickBot="1">
      <c r="A49" s="621" t="s">
        <v>2920</v>
      </c>
      <c r="B49" s="622"/>
      <c r="C49" s="2615" t="e">
        <f>R49</f>
        <v>#DIV/0!</v>
      </c>
      <c r="D49" s="2615"/>
      <c r="E49" s="2615"/>
      <c r="F49" s="2615"/>
      <c r="G49" s="2615"/>
      <c r="H49" s="2615"/>
      <c r="I49" s="2615"/>
      <c r="J49" s="2615"/>
      <c r="K49" s="1614"/>
      <c r="L49" s="2144"/>
      <c r="M49" s="2145"/>
      <c r="N49" s="2134"/>
      <c r="O49" s="2145"/>
      <c r="P49" s="3464" t="str">
        <f>A49</f>
        <v>估价对象XX用房的比较价格（楼面单价，元/平方米）</v>
      </c>
      <c r="Q49" s="3465"/>
      <c r="R49" s="3583" t="e">
        <f>IF(F1="售价",ROUND(AVERAGE(R48:V48),0),ROUND(AVERAGE(R48:V48),1))</f>
        <v>#DIV/0!</v>
      </c>
      <c r="S49" s="3583"/>
      <c r="T49" s="3583"/>
      <c r="U49" s="3583"/>
      <c r="V49" s="3583"/>
      <c r="W49" s="358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572</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527</v>
      </c>
      <c r="B58" s="646"/>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573</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575</v>
      </c>
      <c r="B63" s="665" t="s">
        <v>532</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2554</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549</v>
      </c>
      <c r="B100" s="665" t="s">
        <v>770</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2553</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771</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772</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773</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774</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785"/>
      <c r="G1" s="1602" t="s">
        <v>719</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519</v>
      </c>
      <c r="B4" s="513"/>
      <c r="C4" s="3473" t="s">
        <v>520</v>
      </c>
      <c r="D4" s="3474"/>
      <c r="E4" s="3512" t="s">
        <v>521</v>
      </c>
      <c r="F4" s="3513"/>
      <c r="G4" s="3473" t="s">
        <v>522</v>
      </c>
      <c r="H4" s="3474"/>
      <c r="I4" s="3473" t="s">
        <v>523</v>
      </c>
      <c r="J4" s="3474"/>
      <c r="K4" s="514" t="s">
        <v>524</v>
      </c>
      <c r="L4" s="2133"/>
      <c r="M4" s="2134"/>
      <c r="N4" s="2134"/>
      <c r="O4" s="2134"/>
      <c r="P4" s="3594" t="s">
        <v>525</v>
      </c>
      <c r="Q4" s="3476"/>
      <c r="R4" s="3481" t="s">
        <v>521</v>
      </c>
      <c r="S4" s="3482"/>
      <c r="T4" s="3481" t="s">
        <v>522</v>
      </c>
      <c r="U4" s="3482"/>
      <c r="V4" s="3468" t="s">
        <v>523</v>
      </c>
      <c r="W4" s="3468"/>
      <c r="X4" s="1568"/>
      <c r="Y4" s="3481" t="s">
        <v>525</v>
      </c>
      <c r="Z4" s="3482"/>
      <c r="AA4" s="3470" t="s">
        <v>521</v>
      </c>
      <c r="AB4" s="3470" t="s">
        <v>522</v>
      </c>
      <c r="AC4" s="3470" t="s">
        <v>523</v>
      </c>
    </row>
    <row r="5" spans="1:29" ht="15">
      <c r="A5" s="515"/>
      <c r="B5" s="516"/>
      <c r="C5" s="3506" t="s">
        <v>2914</v>
      </c>
      <c r="D5" s="3507"/>
      <c r="E5" s="3514" t="s">
        <v>2915</v>
      </c>
      <c r="F5" s="3515"/>
      <c r="G5" s="3506" t="s">
        <v>2916</v>
      </c>
      <c r="H5" s="3507"/>
      <c r="I5" s="3506" t="s">
        <v>2917</v>
      </c>
      <c r="J5" s="3507"/>
      <c r="K5" s="514"/>
      <c r="L5" s="2133"/>
      <c r="M5" s="2134"/>
      <c r="N5" s="2134"/>
      <c r="O5" s="2134"/>
      <c r="P5" s="3595"/>
      <c r="Q5" s="3478"/>
      <c r="R5" s="3483"/>
      <c r="S5" s="3484"/>
      <c r="T5" s="3483"/>
      <c r="U5" s="3484"/>
      <c r="V5" s="3468"/>
      <c r="W5" s="3468"/>
      <c r="X5" s="1568"/>
      <c r="Y5" s="3483"/>
      <c r="Z5" s="3484"/>
      <c r="AA5" s="3471"/>
      <c r="AB5" s="3471"/>
      <c r="AC5" s="3471"/>
    </row>
    <row r="6" spans="1:29" ht="15.75" thickBot="1">
      <c r="A6" s="517"/>
      <c r="B6" s="518"/>
      <c r="C6" s="3508" t="s">
        <v>2918</v>
      </c>
      <c r="D6" s="3509"/>
      <c r="E6" s="3510" t="s">
        <v>2918</v>
      </c>
      <c r="F6" s="3511"/>
      <c r="G6" s="3508" t="s">
        <v>2918</v>
      </c>
      <c r="H6" s="3509"/>
      <c r="I6" s="3508" t="s">
        <v>2918</v>
      </c>
      <c r="J6" s="3509"/>
      <c r="K6" s="514" t="s">
        <v>526</v>
      </c>
      <c r="L6" s="2133"/>
      <c r="M6" s="2134"/>
      <c r="N6" s="2134"/>
      <c r="O6" s="2134"/>
      <c r="P6" s="3596"/>
      <c r="Q6" s="3480"/>
      <c r="R6" s="3483"/>
      <c r="S6" s="3484"/>
      <c r="T6" s="3485"/>
      <c r="U6" s="3486"/>
      <c r="V6" s="3468"/>
      <c r="W6" s="3468"/>
      <c r="X6" s="1568"/>
      <c r="Y6" s="3485"/>
      <c r="Z6" s="3486"/>
      <c r="AA6" s="3472"/>
      <c r="AB6" s="3472"/>
      <c r="AC6" s="3472"/>
    </row>
    <row r="7" spans="1:29" s="1220" customFormat="1" ht="15.75" thickBot="1">
      <c r="A7" s="2890"/>
      <c r="B7" s="2897" t="s">
        <v>527</v>
      </c>
      <c r="C7" s="519">
        <f>'数据-取费表'!B2</f>
        <v>43529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501" t="s">
        <v>528</v>
      </c>
      <c r="Q7" s="3501"/>
      <c r="R7" s="1569" t="s">
        <v>8</v>
      </c>
      <c r="S7" s="1570">
        <f t="shared" ref="S7:S15" si="0">F7</f>
        <v>0</v>
      </c>
      <c r="T7" s="1569" t="s">
        <v>8</v>
      </c>
      <c r="U7" s="1570">
        <f t="shared" ref="U7:U15" si="1">H7</f>
        <v>0</v>
      </c>
      <c r="V7" s="1569" t="s">
        <v>8</v>
      </c>
      <c r="W7" s="1570">
        <f t="shared" ref="W7:W15" si="2">J7</f>
        <v>0</v>
      </c>
      <c r="X7" s="1571"/>
      <c r="Y7" s="3499" t="s">
        <v>528</v>
      </c>
      <c r="Z7" s="3500"/>
      <c r="AA7" s="1572" t="e">
        <f>D7/F7</f>
        <v>#DIV/0!</v>
      </c>
      <c r="AB7" s="1572" t="e">
        <f>D7/H7</f>
        <v>#DIV/0!</v>
      </c>
      <c r="AC7" s="1572" t="e">
        <f>D7/J7</f>
        <v>#DIV/0!</v>
      </c>
    </row>
    <row r="8" spans="1:29" s="1220" customFormat="1" ht="15.75" thickBot="1">
      <c r="A8" s="2891"/>
      <c r="B8" s="2898" t="s">
        <v>529</v>
      </c>
      <c r="C8" s="525" t="s">
        <v>574</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501" t="s">
        <v>531</v>
      </c>
      <c r="Q8" s="3500"/>
      <c r="R8" s="1569" t="s">
        <v>8</v>
      </c>
      <c r="S8" s="1570">
        <f t="shared" si="0"/>
        <v>0</v>
      </c>
      <c r="T8" s="1569" t="s">
        <v>8</v>
      </c>
      <c r="U8" s="1570">
        <f t="shared" si="1"/>
        <v>0</v>
      </c>
      <c r="V8" s="1569" t="s">
        <v>8</v>
      </c>
      <c r="W8" s="1570">
        <f t="shared" si="2"/>
        <v>0</v>
      </c>
      <c r="X8" s="1571"/>
      <c r="Y8" s="3499" t="s">
        <v>531</v>
      </c>
      <c r="Z8" s="3500"/>
      <c r="AA8" s="1572" t="e">
        <f t="shared" ref="AA8:AA47" si="3">D8/F8</f>
        <v>#DIV/0!</v>
      </c>
      <c r="AB8" s="1572" t="e">
        <f t="shared" ref="AB8:AB47" si="4">D8/H8</f>
        <v>#DIV/0!</v>
      </c>
      <c r="AC8" s="1572" t="e">
        <f t="shared" ref="AC8:AC47" si="5">D8/J8</f>
        <v>#DIV/0!</v>
      </c>
    </row>
    <row r="9" spans="1:29" s="1220" customFormat="1" ht="15">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67" t="s">
        <v>533</v>
      </c>
      <c r="Q9" s="1151" t="str">
        <f t="shared" ref="Q9:Q15" si="6">B9</f>
        <v>用途</v>
      </c>
      <c r="R9" s="1569" t="s">
        <v>8</v>
      </c>
      <c r="S9" s="1570">
        <f t="shared" si="0"/>
        <v>100</v>
      </c>
      <c r="T9" s="1569" t="s">
        <v>8</v>
      </c>
      <c r="U9" s="1570">
        <f t="shared" si="1"/>
        <v>100</v>
      </c>
      <c r="V9" s="1569" t="s">
        <v>8</v>
      </c>
      <c r="W9" s="1570">
        <f t="shared" si="2"/>
        <v>100</v>
      </c>
      <c r="X9" s="1571"/>
      <c r="Y9" s="3374" t="s">
        <v>534</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67"/>
      <c r="Q10" s="1151" t="str">
        <f t="shared" si="6"/>
        <v>土地使用年限（年）</v>
      </c>
      <c r="R10" s="1569" t="s">
        <v>8</v>
      </c>
      <c r="S10" s="1570">
        <f t="shared" si="0"/>
        <v>100</v>
      </c>
      <c r="T10" s="1569" t="s">
        <v>8</v>
      </c>
      <c r="U10" s="1570">
        <f t="shared" si="1"/>
        <v>100</v>
      </c>
      <c r="V10" s="1569" t="s">
        <v>8</v>
      </c>
      <c r="W10" s="1570">
        <f t="shared" si="2"/>
        <v>100</v>
      </c>
      <c r="X10" s="1571"/>
      <c r="Y10" s="3374"/>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67"/>
      <c r="Q11" s="1151" t="str">
        <f t="shared" si="6"/>
        <v>容积率</v>
      </c>
      <c r="R11" s="1569" t="s">
        <v>8</v>
      </c>
      <c r="S11" s="1570" t="e">
        <f t="shared" si="0"/>
        <v>#N/A</v>
      </c>
      <c r="T11" s="1569" t="s">
        <v>8</v>
      </c>
      <c r="U11" s="1570" t="e">
        <f t="shared" si="1"/>
        <v>#N/A</v>
      </c>
      <c r="V11" s="1569" t="s">
        <v>8</v>
      </c>
      <c r="W11" s="1570" t="e">
        <f t="shared" si="2"/>
        <v>#N/A</v>
      </c>
      <c r="X11" s="1571"/>
      <c r="Y11" s="3374"/>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67"/>
      <c r="Q12" s="1151">
        <f t="shared" si="6"/>
        <v>111</v>
      </c>
      <c r="R12" s="1569" t="s">
        <v>8</v>
      </c>
      <c r="S12" s="1570">
        <f t="shared" si="0"/>
        <v>100</v>
      </c>
      <c r="T12" s="1569" t="s">
        <v>8</v>
      </c>
      <c r="U12" s="1570">
        <f t="shared" si="1"/>
        <v>100</v>
      </c>
      <c r="V12" s="1569" t="s">
        <v>8</v>
      </c>
      <c r="W12" s="1570">
        <f t="shared" si="2"/>
        <v>100</v>
      </c>
      <c r="X12" s="1571"/>
      <c r="Y12" s="3374"/>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67"/>
      <c r="Q13" s="1151">
        <f t="shared" si="6"/>
        <v>111</v>
      </c>
      <c r="R13" s="1569" t="s">
        <v>8</v>
      </c>
      <c r="S13" s="1570">
        <f t="shared" si="0"/>
        <v>100</v>
      </c>
      <c r="T13" s="1569" t="s">
        <v>8</v>
      </c>
      <c r="U13" s="1570">
        <f t="shared" si="1"/>
        <v>100</v>
      </c>
      <c r="V13" s="1569" t="s">
        <v>8</v>
      </c>
      <c r="W13" s="1570">
        <f t="shared" si="2"/>
        <v>100</v>
      </c>
      <c r="X13" s="1571"/>
      <c r="Y13" s="3374"/>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67"/>
      <c r="Q14" s="1151">
        <f t="shared" si="6"/>
        <v>111</v>
      </c>
      <c r="R14" s="1569" t="s">
        <v>8</v>
      </c>
      <c r="S14" s="1570">
        <f t="shared" si="0"/>
        <v>100</v>
      </c>
      <c r="T14" s="1569" t="s">
        <v>8</v>
      </c>
      <c r="U14" s="1570">
        <f t="shared" si="1"/>
        <v>100</v>
      </c>
      <c r="V14" s="1569" t="s">
        <v>8</v>
      </c>
      <c r="W14" s="1570">
        <f t="shared" si="2"/>
        <v>100</v>
      </c>
      <c r="X14" s="1571"/>
      <c r="Y14" s="3374"/>
      <c r="Z14" s="1150">
        <f t="shared" si="7"/>
        <v>111</v>
      </c>
      <c r="AA14" s="1572">
        <f t="shared" si="3"/>
        <v>1</v>
      </c>
      <c r="AB14" s="1572">
        <f t="shared" si="4"/>
        <v>1</v>
      </c>
      <c r="AC14" s="1572">
        <f t="shared" si="5"/>
        <v>1</v>
      </c>
    </row>
    <row r="15" spans="1:29" ht="15">
      <c r="A15" s="2888" t="s">
        <v>2751</v>
      </c>
      <c r="B15" s="547" t="s">
        <v>540</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502" t="s">
        <v>538</v>
      </c>
      <c r="Q15" s="1573" t="str">
        <f t="shared" si="6"/>
        <v>办公集聚程度</v>
      </c>
      <c r="R15" s="1574" t="s">
        <v>8</v>
      </c>
      <c r="S15" s="1575">
        <f t="shared" si="0"/>
        <v>100</v>
      </c>
      <c r="T15" s="1574" t="s">
        <v>8</v>
      </c>
      <c r="U15" s="1575">
        <f t="shared" si="1"/>
        <v>100</v>
      </c>
      <c r="V15" s="1574" t="s">
        <v>8</v>
      </c>
      <c r="W15" s="1575">
        <f t="shared" si="2"/>
        <v>100</v>
      </c>
      <c r="X15" s="1568"/>
      <c r="Y15" s="3502"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503"/>
      <c r="Q16" s="1573"/>
      <c r="R16" s="1574"/>
      <c r="S16" s="1575"/>
      <c r="T16" s="1574"/>
      <c r="U16" s="1575"/>
      <c r="V16" s="1574"/>
      <c r="W16" s="1575"/>
      <c r="X16" s="1568"/>
      <c r="Y16" s="3503"/>
      <c r="Z16" s="1576"/>
      <c r="AA16" s="1577">
        <v>1</v>
      </c>
      <c r="AB16" s="1577">
        <v>1</v>
      </c>
      <c r="AC16" s="1577">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503"/>
      <c r="Q17" s="1573" t="str">
        <f>B17</f>
        <v>交通便捷度</v>
      </c>
      <c r="R17" s="1574" t="s">
        <v>8</v>
      </c>
      <c r="S17" s="1575">
        <f>F17</f>
        <v>100</v>
      </c>
      <c r="T17" s="1574" t="s">
        <v>8</v>
      </c>
      <c r="U17" s="1575">
        <f>H17</f>
        <v>100</v>
      </c>
      <c r="V17" s="1574" t="s">
        <v>8</v>
      </c>
      <c r="W17" s="1575">
        <f>J17</f>
        <v>100</v>
      </c>
      <c r="X17" s="1568"/>
      <c r="Y17" s="350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503"/>
      <c r="Q18" s="1573"/>
      <c r="R18" s="1574"/>
      <c r="S18" s="1575"/>
      <c r="T18" s="1574"/>
      <c r="U18" s="1575"/>
      <c r="V18" s="1574"/>
      <c r="W18" s="1575"/>
      <c r="X18" s="1568"/>
      <c r="Y18" s="3503"/>
      <c r="Z18" s="1576"/>
      <c r="AA18" s="1577">
        <v>1</v>
      </c>
      <c r="AB18" s="1577">
        <v>1</v>
      </c>
      <c r="AC18" s="1577">
        <v>1</v>
      </c>
    </row>
    <row r="19" spans="1:29" ht="15">
      <c r="A19" s="532"/>
      <c r="B19" s="2582"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503"/>
      <c r="Q19" s="1573" t="str">
        <f>B19</f>
        <v>公共配套设施</v>
      </c>
      <c r="R19" s="1574" t="s">
        <v>8</v>
      </c>
      <c r="S19" s="1575">
        <f>F19</f>
        <v>100</v>
      </c>
      <c r="T19" s="1574" t="s">
        <v>8</v>
      </c>
      <c r="U19" s="1575">
        <f>H19</f>
        <v>100</v>
      </c>
      <c r="V19" s="1574" t="s">
        <v>8</v>
      </c>
      <c r="W19" s="1575">
        <f>J19</f>
        <v>100</v>
      </c>
      <c r="X19" s="1568"/>
      <c r="Y19" s="350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503"/>
      <c r="Q20" s="1573"/>
      <c r="R20" s="1574"/>
      <c r="S20" s="1575"/>
      <c r="T20" s="1574"/>
      <c r="U20" s="1575"/>
      <c r="V20" s="1574"/>
      <c r="W20" s="1575"/>
      <c r="X20" s="1568"/>
      <c r="Y20" s="3503"/>
      <c r="Z20" s="1576"/>
      <c r="AA20" s="1577">
        <v>1</v>
      </c>
      <c r="AB20" s="1577">
        <v>1</v>
      </c>
      <c r="AC20" s="1577">
        <v>1</v>
      </c>
    </row>
    <row r="21" spans="1:29" ht="15">
      <c r="A21" s="532"/>
      <c r="B21" s="2570"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503"/>
      <c r="Q21" s="2558" t="str">
        <f>B21</f>
        <v>基础设施水平</v>
      </c>
      <c r="R21" s="1574" t="s">
        <v>8</v>
      </c>
      <c r="S21" s="1575">
        <f>F21</f>
        <v>100</v>
      </c>
      <c r="T21" s="1574" t="s">
        <v>8</v>
      </c>
      <c r="U21" s="1575">
        <f>H21</f>
        <v>100</v>
      </c>
      <c r="V21" s="1574" t="s">
        <v>8</v>
      </c>
      <c r="W21" s="1575">
        <f>J21</f>
        <v>100</v>
      </c>
      <c r="X21" s="2560"/>
      <c r="Y21" s="3503"/>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503"/>
      <c r="Q22" s="2558"/>
      <c r="R22" s="1574"/>
      <c r="S22" s="1575"/>
      <c r="T22" s="1574"/>
      <c r="U22" s="1575"/>
      <c r="V22" s="1574"/>
      <c r="W22" s="1575"/>
      <c r="X22" s="2560"/>
      <c r="Y22" s="3503"/>
      <c r="Z22" s="2559"/>
      <c r="AA22" s="1577">
        <v>1</v>
      </c>
      <c r="AB22" s="1577">
        <v>1</v>
      </c>
      <c r="AC22" s="1577">
        <v>1</v>
      </c>
    </row>
    <row r="23" spans="1:29" ht="28.5">
      <c r="A23" s="532"/>
      <c r="B23" s="560" t="s">
        <v>776</v>
      </c>
      <c r="C23" s="573" t="str">
        <f>估价对象房地状况!C9</f>
        <v>自然较好，人文较差，总体一般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503"/>
      <c r="Q23" s="1573" t="str">
        <f>B23</f>
        <v>环境质量</v>
      </c>
      <c r="R23" s="1574" t="s">
        <v>8</v>
      </c>
      <c r="S23" s="1575">
        <f>F23</f>
        <v>100</v>
      </c>
      <c r="T23" s="1574" t="s">
        <v>8</v>
      </c>
      <c r="U23" s="1575">
        <f>H23</f>
        <v>100</v>
      </c>
      <c r="V23" s="1574" t="s">
        <v>8</v>
      </c>
      <c r="W23" s="1575">
        <f>J23</f>
        <v>100</v>
      </c>
      <c r="X23" s="1568"/>
      <c r="Y23" s="350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503"/>
      <c r="Q24" s="1573"/>
      <c r="R24" s="1574"/>
      <c r="S24" s="1575"/>
      <c r="T24" s="1574"/>
      <c r="U24" s="1575"/>
      <c r="V24" s="1574"/>
      <c r="W24" s="1575"/>
      <c r="X24" s="1568"/>
      <c r="Y24" s="3503"/>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503"/>
      <c r="Q25" s="1573" t="str">
        <f>B25</f>
        <v>毗邻道路的类型与等级</v>
      </c>
      <c r="R25" s="1574" t="s">
        <v>8</v>
      </c>
      <c r="S25" s="1575">
        <f>F25</f>
        <v>100</v>
      </c>
      <c r="T25" s="1574" t="s">
        <v>8</v>
      </c>
      <c r="U25" s="1575">
        <f>H25</f>
        <v>100</v>
      </c>
      <c r="V25" s="1574" t="s">
        <v>8</v>
      </c>
      <c r="W25" s="1575">
        <f>J25</f>
        <v>100</v>
      </c>
      <c r="X25" s="1568"/>
      <c r="Y25" s="350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503"/>
      <c r="Q26" s="1573"/>
      <c r="R26" s="1574"/>
      <c r="S26" s="1575"/>
      <c r="T26" s="1574"/>
      <c r="U26" s="1575"/>
      <c r="V26" s="1574"/>
      <c r="W26" s="1575"/>
      <c r="X26" s="1568"/>
      <c r="Y26" s="3503"/>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503"/>
      <c r="Q27" s="1573" t="str">
        <f t="shared" ref="Q27:Q47" si="11">B27</f>
        <v>楼层</v>
      </c>
      <c r="R27" s="1574" t="s">
        <v>8</v>
      </c>
      <c r="S27" s="1575">
        <f>F27</f>
        <v>100</v>
      </c>
      <c r="T27" s="1574" t="s">
        <v>8</v>
      </c>
      <c r="U27" s="1575">
        <f>H27</f>
        <v>100</v>
      </c>
      <c r="V27" s="1574" t="s">
        <v>8</v>
      </c>
      <c r="W27" s="1575">
        <f>J27</f>
        <v>100</v>
      </c>
      <c r="X27" s="1568"/>
      <c r="Y27" s="3503"/>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503"/>
      <c r="Q28" s="1151" t="str">
        <f t="shared" si="11"/>
        <v>朝向</v>
      </c>
      <c r="R28" s="1569" t="s">
        <v>8</v>
      </c>
      <c r="S28" s="1570">
        <f>F28</f>
        <v>100</v>
      </c>
      <c r="T28" s="1569" t="s">
        <v>8</v>
      </c>
      <c r="U28" s="1570">
        <f>H28</f>
        <v>100</v>
      </c>
      <c r="V28" s="1569" t="s">
        <v>8</v>
      </c>
      <c r="W28" s="1570">
        <f>J28</f>
        <v>100</v>
      </c>
      <c r="X28" s="1571"/>
      <c r="Y28" s="350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503"/>
      <c r="Q29" s="1573">
        <f t="shared" si="11"/>
        <v>111</v>
      </c>
      <c r="R29" s="1574" t="s">
        <v>8</v>
      </c>
      <c r="S29" s="1575">
        <f t="shared" ref="S29:S47" si="12">F29</f>
        <v>100</v>
      </c>
      <c r="T29" s="1574" t="s">
        <v>8</v>
      </c>
      <c r="U29" s="1575">
        <f t="shared" ref="U29:U47" si="13">H29</f>
        <v>100</v>
      </c>
      <c r="V29" s="1574" t="s">
        <v>8</v>
      </c>
      <c r="W29" s="1575">
        <f t="shared" ref="W29:W47" si="14">J29</f>
        <v>100</v>
      </c>
      <c r="X29" s="1568"/>
      <c r="Y29" s="350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503"/>
      <c r="Q30" s="1573">
        <f t="shared" si="11"/>
        <v>111</v>
      </c>
      <c r="R30" s="1574" t="s">
        <v>8</v>
      </c>
      <c r="S30" s="1575">
        <f t="shared" si="12"/>
        <v>100</v>
      </c>
      <c r="T30" s="1574" t="s">
        <v>8</v>
      </c>
      <c r="U30" s="1575">
        <f t="shared" si="13"/>
        <v>100</v>
      </c>
      <c r="V30" s="1574" t="s">
        <v>8</v>
      </c>
      <c r="W30" s="1575">
        <f t="shared" si="14"/>
        <v>100</v>
      </c>
      <c r="X30" s="1568"/>
      <c r="Y30" s="350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503"/>
      <c r="Q31" s="1573">
        <f t="shared" si="11"/>
        <v>111</v>
      </c>
      <c r="R31" s="1574" t="s">
        <v>8</v>
      </c>
      <c r="S31" s="1575">
        <f t="shared" si="12"/>
        <v>100</v>
      </c>
      <c r="T31" s="1574" t="s">
        <v>8</v>
      </c>
      <c r="U31" s="1575">
        <f t="shared" si="13"/>
        <v>100</v>
      </c>
      <c r="V31" s="1574" t="s">
        <v>8</v>
      </c>
      <c r="W31" s="1575">
        <f t="shared" si="14"/>
        <v>100</v>
      </c>
      <c r="X31" s="1568"/>
      <c r="Y31" s="350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503"/>
      <c r="Q32" s="1573">
        <f t="shared" si="11"/>
        <v>111</v>
      </c>
      <c r="R32" s="1574" t="s">
        <v>8</v>
      </c>
      <c r="S32" s="1575">
        <f t="shared" si="12"/>
        <v>100</v>
      </c>
      <c r="T32" s="1574" t="s">
        <v>8</v>
      </c>
      <c r="U32" s="1575">
        <f t="shared" si="13"/>
        <v>100</v>
      </c>
      <c r="V32" s="1574" t="s">
        <v>8</v>
      </c>
      <c r="W32" s="1575">
        <f t="shared" si="14"/>
        <v>100</v>
      </c>
      <c r="X32" s="1568"/>
      <c r="Y32" s="3503"/>
      <c r="Z32" s="1576">
        <f t="shared" si="15"/>
        <v>111</v>
      </c>
      <c r="AA32" s="1577">
        <f t="shared" si="3"/>
        <v>1</v>
      </c>
      <c r="AB32" s="1577">
        <f t="shared" si="4"/>
        <v>1</v>
      </c>
      <c r="AC32" s="1577">
        <f t="shared" si="5"/>
        <v>1</v>
      </c>
    </row>
    <row r="33" spans="1:29" ht="15">
      <c r="A33" s="2885" t="s">
        <v>2752</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504" t="s">
        <v>548</v>
      </c>
      <c r="Q33" s="1573" t="str">
        <f t="shared" si="11"/>
        <v>建筑类型</v>
      </c>
      <c r="R33" s="1574" t="s">
        <v>8</v>
      </c>
      <c r="S33" s="1575">
        <f t="shared" si="12"/>
        <v>100</v>
      </c>
      <c r="T33" s="1574" t="s">
        <v>8</v>
      </c>
      <c r="U33" s="1575">
        <f t="shared" si="13"/>
        <v>100</v>
      </c>
      <c r="V33" s="1574" t="s">
        <v>8</v>
      </c>
      <c r="W33" s="1575">
        <f t="shared" si="14"/>
        <v>100</v>
      </c>
      <c r="X33" s="1568"/>
      <c r="Y33" s="3505"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505"/>
      <c r="Q34" s="1606" t="str">
        <f t="shared" si="11"/>
        <v>项目建筑规模</v>
      </c>
      <c r="R34" s="1578" t="s">
        <v>8</v>
      </c>
      <c r="S34" s="1579" t="e">
        <f t="shared" si="12"/>
        <v>#N/A</v>
      </c>
      <c r="T34" s="1578" t="s">
        <v>8</v>
      </c>
      <c r="U34" s="1579" t="e">
        <f t="shared" si="13"/>
        <v>#N/A</v>
      </c>
      <c r="V34" s="1578" t="s">
        <v>8</v>
      </c>
      <c r="W34" s="1579" t="e">
        <f t="shared" si="14"/>
        <v>#N/A</v>
      </c>
      <c r="X34" s="1580"/>
      <c r="Y34" s="3505"/>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505"/>
      <c r="Q35" s="1573" t="str">
        <f t="shared" si="11"/>
        <v>建筑结构</v>
      </c>
      <c r="R35" s="1574" t="s">
        <v>8</v>
      </c>
      <c r="S35" s="1575">
        <f t="shared" si="12"/>
        <v>100</v>
      </c>
      <c r="T35" s="1574" t="s">
        <v>8</v>
      </c>
      <c r="U35" s="1575">
        <f t="shared" si="13"/>
        <v>100</v>
      </c>
      <c r="V35" s="1574" t="s">
        <v>8</v>
      </c>
      <c r="W35" s="1575">
        <f t="shared" si="14"/>
        <v>100</v>
      </c>
      <c r="X35" s="1568"/>
      <c r="Y35" s="3505"/>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505"/>
      <c r="Q36" s="1573" t="str">
        <f t="shared" si="11"/>
        <v>公共部分装修</v>
      </c>
      <c r="R36" s="1574" t="s">
        <v>8</v>
      </c>
      <c r="S36" s="1575">
        <f t="shared" si="12"/>
        <v>100</v>
      </c>
      <c r="T36" s="1574" t="s">
        <v>8</v>
      </c>
      <c r="U36" s="1575">
        <f t="shared" si="13"/>
        <v>100</v>
      </c>
      <c r="V36" s="1574" t="s">
        <v>8</v>
      </c>
      <c r="W36" s="1575">
        <f t="shared" si="14"/>
        <v>100</v>
      </c>
      <c r="X36" s="1568"/>
      <c r="Y36" s="3505"/>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505"/>
      <c r="Q37" s="1573" t="str">
        <f t="shared" si="11"/>
        <v>成新度</v>
      </c>
      <c r="R37" s="1574" t="s">
        <v>8</v>
      </c>
      <c r="S37" s="1575" t="e">
        <f t="shared" si="12"/>
        <v>#N/A</v>
      </c>
      <c r="T37" s="1574" t="s">
        <v>8</v>
      </c>
      <c r="U37" s="1575" t="e">
        <f t="shared" si="13"/>
        <v>#N/A</v>
      </c>
      <c r="V37" s="1574" t="s">
        <v>8</v>
      </c>
      <c r="W37" s="1575" t="e">
        <f t="shared" si="14"/>
        <v>#N/A</v>
      </c>
      <c r="X37" s="1568"/>
      <c r="Y37" s="3505"/>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505"/>
      <c r="Q38" s="1151" t="str">
        <f t="shared" si="11"/>
        <v>写字楼等级</v>
      </c>
      <c r="R38" s="1569" t="s">
        <v>8</v>
      </c>
      <c r="S38" s="1570">
        <f t="shared" si="12"/>
        <v>100</v>
      </c>
      <c r="T38" s="1569" t="s">
        <v>8</v>
      </c>
      <c r="U38" s="1570">
        <f t="shared" si="13"/>
        <v>100</v>
      </c>
      <c r="V38" s="1569" t="s">
        <v>8</v>
      </c>
      <c r="W38" s="1570">
        <f t="shared" si="14"/>
        <v>100</v>
      </c>
      <c r="X38" s="1571"/>
      <c r="Y38" s="3505"/>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505" t="s">
        <v>548</v>
      </c>
      <c r="Q39" s="1573" t="str">
        <f t="shared" si="11"/>
        <v>物业管理</v>
      </c>
      <c r="R39" s="1574" t="s">
        <v>8</v>
      </c>
      <c r="S39" s="1575">
        <f t="shared" si="12"/>
        <v>100</v>
      </c>
      <c r="T39" s="1574" t="s">
        <v>8</v>
      </c>
      <c r="U39" s="1575">
        <f t="shared" si="13"/>
        <v>100</v>
      </c>
      <c r="V39" s="1574" t="s">
        <v>8</v>
      </c>
      <c r="W39" s="1575">
        <f t="shared" si="14"/>
        <v>100</v>
      </c>
      <c r="X39" s="1568"/>
      <c r="Y39" s="3505" t="s">
        <v>548</v>
      </c>
      <c r="Z39" s="1576" t="str">
        <f t="shared" si="15"/>
        <v>物业管理</v>
      </c>
      <c r="AA39" s="1577">
        <f t="shared" si="3"/>
        <v>1</v>
      </c>
      <c r="AB39" s="1577">
        <f t="shared" si="4"/>
        <v>1</v>
      </c>
      <c r="AC39" s="1577">
        <f t="shared" si="5"/>
        <v>1</v>
      </c>
    </row>
    <row r="40" spans="1:29" ht="15">
      <c r="A40" s="594"/>
      <c r="B40" s="1895"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505"/>
      <c r="Q40" s="1573" t="str">
        <f t="shared" si="11"/>
        <v>市政基础设施</v>
      </c>
      <c r="R40" s="1574" t="s">
        <v>8</v>
      </c>
      <c r="S40" s="1575">
        <f t="shared" si="12"/>
        <v>100</v>
      </c>
      <c r="T40" s="1574" t="s">
        <v>8</v>
      </c>
      <c r="U40" s="1575">
        <f t="shared" si="13"/>
        <v>100</v>
      </c>
      <c r="V40" s="1574" t="s">
        <v>8</v>
      </c>
      <c r="W40" s="1575">
        <f t="shared" si="14"/>
        <v>100</v>
      </c>
      <c r="X40" s="1568"/>
      <c r="Y40" s="3505"/>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505"/>
      <c r="Q41" s="1573" t="str">
        <f t="shared" si="11"/>
        <v>层高</v>
      </c>
      <c r="R41" s="1574" t="s">
        <v>8</v>
      </c>
      <c r="S41" s="1575">
        <f t="shared" si="12"/>
        <v>100</v>
      </c>
      <c r="T41" s="1574" t="s">
        <v>8</v>
      </c>
      <c r="U41" s="1575">
        <f t="shared" si="13"/>
        <v>100</v>
      </c>
      <c r="V41" s="1574" t="s">
        <v>8</v>
      </c>
      <c r="W41" s="1575">
        <f t="shared" si="14"/>
        <v>100</v>
      </c>
      <c r="X41" s="1568"/>
      <c r="Y41" s="3505"/>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505"/>
      <c r="Q42" s="1606" t="str">
        <f t="shared" si="11"/>
        <v>单套建筑面积</v>
      </c>
      <c r="R42" s="1578" t="s">
        <v>8</v>
      </c>
      <c r="S42" s="1579">
        <f t="shared" si="12"/>
        <v>100</v>
      </c>
      <c r="T42" s="1578" t="s">
        <v>8</v>
      </c>
      <c r="U42" s="1579">
        <f t="shared" si="13"/>
        <v>100</v>
      </c>
      <c r="V42" s="1578" t="s">
        <v>8</v>
      </c>
      <c r="W42" s="1579">
        <f t="shared" si="14"/>
        <v>100</v>
      </c>
      <c r="X42" s="1580"/>
      <c r="Y42" s="3505"/>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505"/>
      <c r="Q43" s="1573" t="str">
        <f t="shared" si="11"/>
        <v>内部装修</v>
      </c>
      <c r="R43" s="1574" t="s">
        <v>8</v>
      </c>
      <c r="S43" s="1575">
        <f t="shared" si="12"/>
        <v>100</v>
      </c>
      <c r="T43" s="1574" t="s">
        <v>8</v>
      </c>
      <c r="U43" s="1575">
        <f t="shared" si="13"/>
        <v>100</v>
      </c>
      <c r="V43" s="1574" t="s">
        <v>8</v>
      </c>
      <c r="W43" s="1575">
        <f t="shared" si="14"/>
        <v>100</v>
      </c>
      <c r="X43" s="1568"/>
      <c r="Y43" s="3505"/>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505"/>
      <c r="Q44" s="1573" t="str">
        <f t="shared" si="11"/>
        <v>内部装修维护情况</v>
      </c>
      <c r="R44" s="1574" t="s">
        <v>8</v>
      </c>
      <c r="S44" s="1575">
        <f t="shared" si="12"/>
        <v>100</v>
      </c>
      <c r="T44" s="1574" t="s">
        <v>8</v>
      </c>
      <c r="U44" s="1575">
        <f t="shared" si="13"/>
        <v>100</v>
      </c>
      <c r="V44" s="1574" t="s">
        <v>8</v>
      </c>
      <c r="W44" s="1575">
        <f t="shared" si="14"/>
        <v>100</v>
      </c>
      <c r="X44" s="1568"/>
      <c r="Y44" s="350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505"/>
      <c r="Q45" s="1151">
        <f t="shared" si="11"/>
        <v>111</v>
      </c>
      <c r="R45" s="1569" t="s">
        <v>8</v>
      </c>
      <c r="S45" s="1570">
        <f t="shared" si="12"/>
        <v>100</v>
      </c>
      <c r="T45" s="1569" t="s">
        <v>8</v>
      </c>
      <c r="U45" s="1570">
        <f t="shared" si="13"/>
        <v>100</v>
      </c>
      <c r="V45" s="1569" t="s">
        <v>8</v>
      </c>
      <c r="W45" s="1570">
        <f t="shared" si="14"/>
        <v>100</v>
      </c>
      <c r="X45" s="1571"/>
      <c r="Y45" s="350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505"/>
      <c r="Q46" s="1573">
        <f t="shared" si="11"/>
        <v>111</v>
      </c>
      <c r="R46" s="1574" t="s">
        <v>8</v>
      </c>
      <c r="S46" s="1575">
        <f t="shared" si="12"/>
        <v>100</v>
      </c>
      <c r="T46" s="1574" t="s">
        <v>8</v>
      </c>
      <c r="U46" s="1575">
        <f t="shared" si="13"/>
        <v>100</v>
      </c>
      <c r="V46" s="1574" t="s">
        <v>8</v>
      </c>
      <c r="W46" s="1575">
        <f t="shared" si="14"/>
        <v>100</v>
      </c>
      <c r="X46" s="1568"/>
      <c r="Y46" s="350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85"/>
      <c r="Q47" s="1573">
        <f t="shared" si="11"/>
        <v>111</v>
      </c>
      <c r="R47" s="1574" t="s">
        <v>8</v>
      </c>
      <c r="S47" s="1575">
        <f t="shared" si="12"/>
        <v>100</v>
      </c>
      <c r="T47" s="1574" t="s">
        <v>8</v>
      </c>
      <c r="U47" s="1575">
        <f t="shared" si="13"/>
        <v>100</v>
      </c>
      <c r="V47" s="1574" t="s">
        <v>8</v>
      </c>
      <c r="W47" s="1575">
        <f t="shared" si="14"/>
        <v>100</v>
      </c>
      <c r="X47" s="1568"/>
      <c r="Y47" s="3585"/>
      <c r="Z47" s="1576">
        <f t="shared" si="15"/>
        <v>111</v>
      </c>
      <c r="AA47" s="1577">
        <f t="shared" si="3"/>
        <v>1</v>
      </c>
      <c r="AB47" s="1577">
        <f t="shared" si="4"/>
        <v>1</v>
      </c>
      <c r="AC47" s="1577">
        <f t="shared" si="5"/>
        <v>1</v>
      </c>
    </row>
    <row r="48" spans="1:29" ht="15">
      <c r="A48" s="607" t="s">
        <v>734</v>
      </c>
      <c r="B48" s="887"/>
      <c r="C48" s="2606" t="s">
        <v>1</v>
      </c>
      <c r="D48" s="2607"/>
      <c r="E48" s="2608"/>
      <c r="F48" s="2609"/>
      <c r="G48" s="2610"/>
      <c r="H48" s="2611"/>
      <c r="I48" s="2608"/>
      <c r="J48" s="2611"/>
      <c r="K48" s="1612"/>
      <c r="L48" s="2144"/>
      <c r="M48" s="2134"/>
      <c r="N48" s="2134"/>
      <c r="O48" s="2134"/>
      <c r="P48" s="3465" t="str">
        <f>A48</f>
        <v>成交单价（元/平方米）</v>
      </c>
      <c r="Q48" s="3467"/>
      <c r="R48" s="3584">
        <f>E48</f>
        <v>0</v>
      </c>
      <c r="S48" s="3584"/>
      <c r="T48" s="3584">
        <f>G48</f>
        <v>0</v>
      </c>
      <c r="U48" s="3584"/>
      <c r="V48" s="3584">
        <f>I48</f>
        <v>0</v>
      </c>
      <c r="W48" s="3584"/>
      <c r="X48" s="1560"/>
      <c r="Y48" s="1582"/>
      <c r="Z48" s="1560"/>
      <c r="AA48" s="1560"/>
      <c r="AB48" s="1560"/>
      <c r="AC48" s="1560"/>
    </row>
    <row r="49" spans="1:29" ht="15.75" thickBot="1">
      <c r="A49" s="615" t="s">
        <v>2757</v>
      </c>
      <c r="B49" s="888"/>
      <c r="C49" s="2612" t="e">
        <f>R50</f>
        <v>#DIV/0!</v>
      </c>
      <c r="D49" s="2613"/>
      <c r="E49" s="2614" t="e">
        <f>R49</f>
        <v>#DIV/0!</v>
      </c>
      <c r="F49" s="2614"/>
      <c r="G49" s="2612" t="e">
        <f>T49</f>
        <v>#DIV/0!</v>
      </c>
      <c r="H49" s="2613"/>
      <c r="I49" s="2614" t="e">
        <f>V49</f>
        <v>#DIV/0!</v>
      </c>
      <c r="J49" s="2613"/>
      <c r="K49" s="1613"/>
      <c r="L49" s="2144"/>
      <c r="M49" s="2134"/>
      <c r="N49" s="2134"/>
      <c r="O49" s="2134"/>
      <c r="P49" s="3465" t="str">
        <f>A49</f>
        <v>比较价格（元/平方米）</v>
      </c>
      <c r="Q49" s="3467"/>
      <c r="R49" s="3584" t="e">
        <f>IF(F1="售价",ROUND(PRODUCT(R48,AA7:AA47),0),ROUND(PRODUCT(R48,AA7:AA47),1))</f>
        <v>#DIV/0!</v>
      </c>
      <c r="S49" s="3584"/>
      <c r="T49" s="3584" t="e">
        <f>IF(F1="售价",ROUND(PRODUCT(T48,AB7:AB47),0),ROUND(PRODUCT(T48,AB7:AB47),1))</f>
        <v>#DIV/0!</v>
      </c>
      <c r="U49" s="3584"/>
      <c r="V49" s="3584" t="e">
        <f>IF(F1="售价",ROUND(PRODUCT(V48,AC7:AC47),0),ROUND(PRODUCT(V48,AC7:AC47),1))</f>
        <v>#DIV/0!</v>
      </c>
      <c r="W49" s="3584"/>
      <c r="X49" s="1560"/>
      <c r="Y49" s="1560"/>
      <c r="Z49" s="1560"/>
      <c r="AA49" s="1560"/>
      <c r="AB49" s="1560"/>
      <c r="AC49" s="1560"/>
    </row>
    <row r="50" spans="1:29" ht="15.75" thickBot="1">
      <c r="A50" s="621" t="s">
        <v>2920</v>
      </c>
      <c r="B50" s="622"/>
      <c r="C50" s="2615" t="e">
        <f>R50</f>
        <v>#DIV/0!</v>
      </c>
      <c r="D50" s="2615"/>
      <c r="E50" s="2615"/>
      <c r="F50" s="2615"/>
      <c r="G50" s="2615"/>
      <c r="H50" s="2615"/>
      <c r="I50" s="2615"/>
      <c r="J50" s="2615"/>
      <c r="K50" s="1614"/>
      <c r="L50" s="2144"/>
      <c r="M50" s="2134"/>
      <c r="N50" s="2134"/>
      <c r="O50" s="2134"/>
      <c r="P50" s="3593" t="str">
        <f>A50</f>
        <v>估价对象XX用房的比较价格（楼面单价，元/平方米）</v>
      </c>
      <c r="Q50" s="3465"/>
      <c r="R50" s="3583" t="e">
        <f>IF(F1="售价",ROUND(AVERAGE(R49:V49),0),ROUND(AVERAGE(R49:V49),1))</f>
        <v>#DIV/0!</v>
      </c>
      <c r="S50" s="3583"/>
      <c r="T50" s="3583"/>
      <c r="U50" s="3583"/>
      <c r="V50" s="3583"/>
      <c r="W50" s="3583"/>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572</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527</v>
      </c>
      <c r="B59" s="646"/>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573</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529</v>
      </c>
      <c r="B62" s="648"/>
      <c r="C62" s="660" t="s">
        <v>574</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575</v>
      </c>
      <c r="B64" s="665" t="s">
        <v>532</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537</v>
      </c>
      <c r="B77" s="665" t="s">
        <v>583</v>
      </c>
      <c r="C77" s="703" t="s">
        <v>577</v>
      </c>
      <c r="D77" s="703" t="s">
        <v>578</v>
      </c>
      <c r="E77" s="703" t="s">
        <v>579</v>
      </c>
      <c r="F77" s="703" t="s">
        <v>580</v>
      </c>
      <c r="G77" s="703" t="s">
        <v>581</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584</v>
      </c>
      <c r="C79" s="708" t="s">
        <v>577</v>
      </c>
      <c r="D79" s="708" t="s">
        <v>578</v>
      </c>
      <c r="E79" s="708" t="s">
        <v>579</v>
      </c>
      <c r="F79" s="708" t="s">
        <v>580</v>
      </c>
      <c r="G79" s="708" t="s">
        <v>581</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2554</v>
      </c>
      <c r="C81" s="708" t="s">
        <v>577</v>
      </c>
      <c r="D81" s="708" t="s">
        <v>578</v>
      </c>
      <c r="E81" s="708" t="s">
        <v>579</v>
      </c>
      <c r="F81" s="708" t="s">
        <v>580</v>
      </c>
      <c r="G81" s="708" t="s">
        <v>581</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2555</v>
      </c>
      <c r="C83" s="2577" t="s">
        <v>2556</v>
      </c>
      <c r="D83" s="2577" t="s">
        <v>2557</v>
      </c>
      <c r="E83" s="2577" t="s">
        <v>2558</v>
      </c>
      <c r="F83" s="2577" t="s">
        <v>2559</v>
      </c>
      <c r="G83" s="2577" t="s">
        <v>2560</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782</v>
      </c>
      <c r="C85" s="708" t="s">
        <v>577</v>
      </c>
      <c r="D85" s="708" t="s">
        <v>578</v>
      </c>
      <c r="E85" s="708" t="s">
        <v>579</v>
      </c>
      <c r="F85" s="708" t="s">
        <v>580</v>
      </c>
      <c r="G85" s="708" t="s">
        <v>581</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783</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549</v>
      </c>
      <c r="B101" s="665" t="s">
        <v>745</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747</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749</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784</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751</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2553</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785</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773</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753</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成都聚锦商务有限公司：</v>
      </c>
    </row>
    <row r="4" spans="1:4" ht="56.25">
      <c r="A4" s="1791" t="str">
        <f>"受贵公司委托，我公司对"&amp;项目基本情况!K2&amp;项目基本情况!B9&amp;"进行了预评估。"</f>
        <v>受贵公司委托，我公司对四川省成都市郫都区（原郫县）红光镇护国村一社、郫筒镇鹃城村十社2号地出让国有建设用地使用权抵押价格进行了预评估。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聚锦商务有限公司使用的、位于四川省成都市郫都区（原郫县）红光镇护国村一社、郫筒镇鹃城村十社2号地出让国有建设用地使用权。根据，估价对象（分摊）出让国有建设用地使用权面积为73464.09平方米。根据，估价对象规划建筑面积为252351.54平方米。</v>
      </c>
    </row>
    <row r="7" spans="1:4" ht="93.75">
      <c r="A7" s="2851" t="s">
        <v>2745</v>
      </c>
    </row>
    <row r="8" spans="1:4" ht="18.75">
      <c r="A8" s="1794" t="s">
        <v>1905</v>
      </c>
    </row>
    <row r="9" spans="1:4" ht="75">
      <c r="A9" s="1796" t="str">
        <f>IF(项目基本情况!B8="抵押",IF(项目基本情况!B5=项目基本情况!B6,定义!C51,定义!B51),定义!D51)</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2019年3月5日（评估专业人员勘察现场之日）</v>
      </c>
    </row>
    <row r="12" spans="1:4" ht="18.75">
      <c r="A12" s="1797" t="s">
        <v>2023</v>
      </c>
    </row>
    <row r="13" spans="1:4" ht="18.75">
      <c r="A13" s="1791" t="s">
        <v>2069</v>
      </c>
    </row>
    <row r="14" spans="1:4" ht="37.5">
      <c r="A14" s="1791" t="str">
        <f>"根据"&amp;项目基本情况!F12&amp;"，本次评估估价对象证载（地类）用途为"&amp;项目基本情况!B12&amp;"。"</f>
        <v>根据《国有土地使用证》郫国用（2016）第906号]，本次评估估价对象证载（地类）用途为住宅。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根据，估价对象（分摊）出让国有建设用地使用权面积为73464.09平方米。根据，估价对象规划建筑面积为252351.54平方米。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53" t="s">
        <v>2746</v>
      </c>
    </row>
    <row r="24" spans="1:1" ht="18.75">
      <c r="A24" s="1791" t="s">
        <v>2073</v>
      </c>
    </row>
    <row r="25" spans="1:1" ht="93.75">
      <c r="A25" s="1791" t="str">
        <f>定义!C53</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785"/>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465</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519</v>
      </c>
      <c r="B4" s="513"/>
      <c r="C4" s="3473" t="s">
        <v>520</v>
      </c>
      <c r="D4" s="3474"/>
      <c r="E4" s="3512" t="s">
        <v>521</v>
      </c>
      <c r="F4" s="3513"/>
      <c r="G4" s="3473" t="s">
        <v>522</v>
      </c>
      <c r="H4" s="3474"/>
      <c r="I4" s="3473" t="s">
        <v>523</v>
      </c>
      <c r="J4" s="3474"/>
      <c r="K4" s="514" t="s">
        <v>524</v>
      </c>
      <c r="L4" s="2133"/>
      <c r="M4" s="2134"/>
      <c r="N4" s="2134"/>
      <c r="O4" s="2134"/>
      <c r="P4" s="3475" t="s">
        <v>525</v>
      </c>
      <c r="Q4" s="3476"/>
      <c r="R4" s="3481" t="s">
        <v>521</v>
      </c>
      <c r="S4" s="3482"/>
      <c r="T4" s="3481" t="s">
        <v>522</v>
      </c>
      <c r="U4" s="3482"/>
      <c r="V4" s="3468" t="s">
        <v>523</v>
      </c>
      <c r="W4" s="3468"/>
      <c r="X4" s="1568"/>
      <c r="Y4" s="3481" t="s">
        <v>525</v>
      </c>
      <c r="Z4" s="3482"/>
      <c r="AA4" s="3470" t="s">
        <v>521</v>
      </c>
      <c r="AB4" s="3471" t="s">
        <v>522</v>
      </c>
      <c r="AC4" s="3470" t="s">
        <v>523</v>
      </c>
    </row>
    <row r="5" spans="1:29" ht="15">
      <c r="A5" s="515"/>
      <c r="B5" s="516"/>
      <c r="C5" s="3506" t="s">
        <v>2914</v>
      </c>
      <c r="D5" s="3507"/>
      <c r="E5" s="3514" t="s">
        <v>2915</v>
      </c>
      <c r="F5" s="3515"/>
      <c r="G5" s="3506" t="s">
        <v>2916</v>
      </c>
      <c r="H5" s="3507"/>
      <c r="I5" s="3506" t="s">
        <v>2917</v>
      </c>
      <c r="J5" s="3507"/>
      <c r="K5" s="514"/>
      <c r="L5" s="2133"/>
      <c r="M5" s="2134"/>
      <c r="N5" s="2134"/>
      <c r="O5" s="2134"/>
      <c r="P5" s="3477"/>
      <c r="Q5" s="3478"/>
      <c r="R5" s="3483"/>
      <c r="S5" s="3484"/>
      <c r="T5" s="3483"/>
      <c r="U5" s="3484"/>
      <c r="V5" s="3468"/>
      <c r="W5" s="3468"/>
      <c r="X5" s="1568"/>
      <c r="Y5" s="3483"/>
      <c r="Z5" s="3484"/>
      <c r="AA5" s="3471"/>
      <c r="AB5" s="3471"/>
      <c r="AC5" s="3471"/>
    </row>
    <row r="6" spans="1:29" ht="15.75" thickBot="1">
      <c r="A6" s="517"/>
      <c r="B6" s="518"/>
      <c r="C6" s="3508" t="s">
        <v>2918</v>
      </c>
      <c r="D6" s="3509"/>
      <c r="E6" s="3510" t="s">
        <v>2918</v>
      </c>
      <c r="F6" s="3511"/>
      <c r="G6" s="3508" t="s">
        <v>2918</v>
      </c>
      <c r="H6" s="3509"/>
      <c r="I6" s="3508" t="s">
        <v>2918</v>
      </c>
      <c r="J6" s="3509"/>
      <c r="K6" s="514" t="s">
        <v>526</v>
      </c>
      <c r="L6" s="2133"/>
      <c r="M6" s="2134"/>
      <c r="N6" s="2134"/>
      <c r="O6" s="2134"/>
      <c r="P6" s="3479"/>
      <c r="Q6" s="3480"/>
      <c r="R6" s="3483"/>
      <c r="S6" s="3484"/>
      <c r="T6" s="3485"/>
      <c r="U6" s="3486"/>
      <c r="V6" s="3468"/>
      <c r="W6" s="3468"/>
      <c r="X6" s="1568"/>
      <c r="Y6" s="3485"/>
      <c r="Z6" s="3486"/>
      <c r="AA6" s="3472"/>
      <c r="AB6" s="3472"/>
      <c r="AC6" s="3472"/>
    </row>
    <row r="7" spans="1:29" s="1220" customFormat="1" ht="15.75" thickBot="1">
      <c r="A7" s="2890"/>
      <c r="B7" s="2897" t="s">
        <v>527</v>
      </c>
      <c r="C7" s="519">
        <f>'数据-取费表'!B2</f>
        <v>43529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99" t="s">
        <v>528</v>
      </c>
      <c r="Q7" s="3501"/>
      <c r="R7" s="1569" t="s">
        <v>8</v>
      </c>
      <c r="S7" s="1570">
        <f t="shared" ref="S7:S15" si="0">F7</f>
        <v>0</v>
      </c>
      <c r="T7" s="1569" t="s">
        <v>8</v>
      </c>
      <c r="U7" s="1570">
        <f t="shared" ref="U7:U15" si="1">H7</f>
        <v>0</v>
      </c>
      <c r="V7" s="1569" t="s">
        <v>8</v>
      </c>
      <c r="W7" s="1570">
        <f t="shared" ref="W7:W15" si="2">J7</f>
        <v>0</v>
      </c>
      <c r="X7" s="1571"/>
      <c r="Y7" s="3499" t="s">
        <v>528</v>
      </c>
      <c r="Z7" s="3500"/>
      <c r="AA7" s="1572" t="e">
        <f>D7/F7</f>
        <v>#DIV/0!</v>
      </c>
      <c r="AB7" s="1572" t="e">
        <f>D7/H7</f>
        <v>#DIV/0!</v>
      </c>
      <c r="AC7" s="1572" t="e">
        <f>D7/J7</f>
        <v>#DIV/0!</v>
      </c>
    </row>
    <row r="8" spans="1:29" s="1220" customFormat="1" ht="15.75" thickBot="1">
      <c r="A8" s="2891"/>
      <c r="B8" s="2898" t="s">
        <v>529</v>
      </c>
      <c r="C8" s="525" t="s">
        <v>574</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99" t="s">
        <v>531</v>
      </c>
      <c r="Q8" s="3500"/>
      <c r="R8" s="1569" t="s">
        <v>8</v>
      </c>
      <c r="S8" s="1570">
        <f t="shared" si="0"/>
        <v>0</v>
      </c>
      <c r="T8" s="1569" t="s">
        <v>8</v>
      </c>
      <c r="U8" s="1570">
        <f t="shared" si="1"/>
        <v>0</v>
      </c>
      <c r="V8" s="1569" t="s">
        <v>8</v>
      </c>
      <c r="W8" s="1570">
        <f t="shared" si="2"/>
        <v>0</v>
      </c>
      <c r="X8" s="1571"/>
      <c r="Y8" s="3499" t="s">
        <v>531</v>
      </c>
      <c r="Z8" s="3500"/>
      <c r="AA8" s="1572" t="e">
        <f t="shared" ref="AA8:AA40" si="3">D8/F8</f>
        <v>#DIV/0!</v>
      </c>
      <c r="AB8" s="1572" t="e">
        <f t="shared" ref="AB8:AB40" si="4">D8/H8</f>
        <v>#DIV/0!</v>
      </c>
      <c r="AC8" s="1572" t="e">
        <f t="shared" ref="AC8:AC40" si="5">D8/J8</f>
        <v>#DIV/0!</v>
      </c>
    </row>
    <row r="9" spans="1:29" s="1220" customFormat="1" ht="15">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67" t="s">
        <v>533</v>
      </c>
      <c r="Q9" s="1151" t="str">
        <f t="shared" ref="Q9:Q15" si="6">B9</f>
        <v>用途</v>
      </c>
      <c r="R9" s="1569" t="s">
        <v>8</v>
      </c>
      <c r="S9" s="1570">
        <f t="shared" si="0"/>
        <v>100</v>
      </c>
      <c r="T9" s="1569" t="s">
        <v>8</v>
      </c>
      <c r="U9" s="1570">
        <f t="shared" si="1"/>
        <v>100</v>
      </c>
      <c r="V9" s="1569" t="s">
        <v>8</v>
      </c>
      <c r="W9" s="1570">
        <f t="shared" si="2"/>
        <v>100</v>
      </c>
      <c r="X9" s="1571"/>
      <c r="Y9" s="3374" t="s">
        <v>534</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67"/>
      <c r="Q10" s="1151" t="str">
        <f t="shared" si="6"/>
        <v>土地使用年限（年）</v>
      </c>
      <c r="R10" s="1569" t="s">
        <v>8</v>
      </c>
      <c r="S10" s="1570">
        <f t="shared" si="0"/>
        <v>100</v>
      </c>
      <c r="T10" s="1569" t="s">
        <v>8</v>
      </c>
      <c r="U10" s="1570">
        <f t="shared" si="1"/>
        <v>100</v>
      </c>
      <c r="V10" s="1569" t="s">
        <v>8</v>
      </c>
      <c r="W10" s="1570">
        <f t="shared" si="2"/>
        <v>100</v>
      </c>
      <c r="X10" s="1571"/>
      <c r="Y10" s="3374"/>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67"/>
      <c r="Q11" s="1151" t="str">
        <f t="shared" si="6"/>
        <v>容积率</v>
      </c>
      <c r="R11" s="1569" t="s">
        <v>8</v>
      </c>
      <c r="S11" s="1570" t="e">
        <f t="shared" si="0"/>
        <v>#N/A</v>
      </c>
      <c r="T11" s="1569" t="s">
        <v>8</v>
      </c>
      <c r="U11" s="1570" t="e">
        <f t="shared" si="1"/>
        <v>#N/A</v>
      </c>
      <c r="V11" s="1569" t="s">
        <v>8</v>
      </c>
      <c r="W11" s="1570" t="e">
        <f t="shared" si="2"/>
        <v>#N/A</v>
      </c>
      <c r="X11" s="1571"/>
      <c r="Y11" s="3374"/>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67"/>
      <c r="Q12" s="1151">
        <f t="shared" si="6"/>
        <v>111</v>
      </c>
      <c r="R12" s="1569" t="s">
        <v>8</v>
      </c>
      <c r="S12" s="1570">
        <f t="shared" si="0"/>
        <v>100</v>
      </c>
      <c r="T12" s="1569" t="s">
        <v>8</v>
      </c>
      <c r="U12" s="1570">
        <f t="shared" si="1"/>
        <v>100</v>
      </c>
      <c r="V12" s="1569" t="s">
        <v>8</v>
      </c>
      <c r="W12" s="1570">
        <f t="shared" si="2"/>
        <v>100</v>
      </c>
      <c r="X12" s="1571"/>
      <c r="Y12" s="3374"/>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67"/>
      <c r="Q13" s="1151">
        <f t="shared" si="6"/>
        <v>111</v>
      </c>
      <c r="R13" s="1569" t="s">
        <v>8</v>
      </c>
      <c r="S13" s="1570">
        <f t="shared" si="0"/>
        <v>100</v>
      </c>
      <c r="T13" s="1569" t="s">
        <v>8</v>
      </c>
      <c r="U13" s="1570">
        <f t="shared" si="1"/>
        <v>100</v>
      </c>
      <c r="V13" s="1569" t="s">
        <v>8</v>
      </c>
      <c r="W13" s="1570">
        <f t="shared" si="2"/>
        <v>100</v>
      </c>
      <c r="X13" s="1571"/>
      <c r="Y13" s="3374"/>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67"/>
      <c r="Q14" s="1151">
        <f t="shared" si="6"/>
        <v>111</v>
      </c>
      <c r="R14" s="1569" t="s">
        <v>8</v>
      </c>
      <c r="S14" s="1570">
        <f t="shared" si="0"/>
        <v>100</v>
      </c>
      <c r="T14" s="1569" t="s">
        <v>8</v>
      </c>
      <c r="U14" s="1570">
        <f t="shared" si="1"/>
        <v>100</v>
      </c>
      <c r="V14" s="1569" t="s">
        <v>8</v>
      </c>
      <c r="W14" s="1570">
        <f t="shared" si="2"/>
        <v>100</v>
      </c>
      <c r="X14" s="1571"/>
      <c r="Y14" s="3374"/>
      <c r="Z14" s="1150">
        <f t="shared" si="7"/>
        <v>111</v>
      </c>
      <c r="AA14" s="1572">
        <f t="shared" si="3"/>
        <v>1</v>
      </c>
      <c r="AB14" s="1572">
        <f t="shared" si="4"/>
        <v>1</v>
      </c>
      <c r="AC14" s="1572">
        <f t="shared" si="5"/>
        <v>1</v>
      </c>
    </row>
    <row r="15" spans="1:29" ht="15">
      <c r="A15" s="2888" t="s">
        <v>2751</v>
      </c>
      <c r="B15" s="166" t="s">
        <v>787</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502" t="s">
        <v>538</v>
      </c>
      <c r="Q15" s="1573" t="str">
        <f t="shared" si="6"/>
        <v>产业集聚程度</v>
      </c>
      <c r="R15" s="1574" t="s">
        <v>8</v>
      </c>
      <c r="S15" s="1575">
        <f t="shared" si="0"/>
        <v>100</v>
      </c>
      <c r="T15" s="1574" t="s">
        <v>8</v>
      </c>
      <c r="U15" s="1575">
        <f t="shared" si="1"/>
        <v>100</v>
      </c>
      <c r="V15" s="1574" t="s">
        <v>8</v>
      </c>
      <c r="W15" s="1575">
        <f t="shared" si="2"/>
        <v>100</v>
      </c>
      <c r="X15" s="1568"/>
      <c r="Y15" s="3502"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503"/>
      <c r="Q16" s="1573"/>
      <c r="R16" s="1574"/>
      <c r="S16" s="1575"/>
      <c r="T16" s="1574"/>
      <c r="U16" s="1575"/>
      <c r="V16" s="1574"/>
      <c r="W16" s="1575"/>
      <c r="X16" s="1568"/>
      <c r="Y16" s="3503"/>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503"/>
      <c r="Q17" s="1573" t="str">
        <f>B17</f>
        <v>交通便捷度</v>
      </c>
      <c r="R17" s="1574" t="s">
        <v>8</v>
      </c>
      <c r="S17" s="1575">
        <f>F17</f>
        <v>100</v>
      </c>
      <c r="T17" s="1574" t="s">
        <v>8</v>
      </c>
      <c r="U17" s="1575">
        <f>H17</f>
        <v>100</v>
      </c>
      <c r="V17" s="1574" t="s">
        <v>8</v>
      </c>
      <c r="W17" s="1575">
        <f>J17</f>
        <v>100</v>
      </c>
      <c r="X17" s="1568"/>
      <c r="Y17" s="350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503"/>
      <c r="Q18" s="1573"/>
      <c r="R18" s="1574"/>
      <c r="S18" s="1575"/>
      <c r="T18" s="1574"/>
      <c r="U18" s="1575"/>
      <c r="V18" s="1574"/>
      <c r="W18" s="1575"/>
      <c r="X18" s="1568"/>
      <c r="Y18" s="3503"/>
      <c r="Z18" s="1576"/>
      <c r="AA18" s="1577">
        <v>1</v>
      </c>
      <c r="AB18" s="1577">
        <v>1</v>
      </c>
      <c r="AC18" s="1577">
        <v>1</v>
      </c>
    </row>
    <row r="19" spans="1:29" ht="15">
      <c r="A19" s="532"/>
      <c r="B19" s="2582" t="s">
        <v>2543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503"/>
      <c r="Q19" s="1573" t="str">
        <f>B19</f>
        <v>公共配套设施</v>
      </c>
      <c r="R19" s="1574" t="s">
        <v>8</v>
      </c>
      <c r="S19" s="1575">
        <f>F19</f>
        <v>100</v>
      </c>
      <c r="T19" s="1574" t="s">
        <v>8</v>
      </c>
      <c r="U19" s="1575">
        <f>H19</f>
        <v>100</v>
      </c>
      <c r="V19" s="1574" t="s">
        <v>8</v>
      </c>
      <c r="W19" s="1575">
        <f>J19</f>
        <v>100</v>
      </c>
      <c r="X19" s="1568"/>
      <c r="Y19" s="350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503"/>
      <c r="Q20" s="1573"/>
      <c r="R20" s="1574"/>
      <c r="S20" s="1575"/>
      <c r="T20" s="1574"/>
      <c r="U20" s="1575"/>
      <c r="V20" s="1574"/>
      <c r="W20" s="1575"/>
      <c r="X20" s="1568"/>
      <c r="Y20" s="3503"/>
      <c r="Z20" s="1576"/>
      <c r="AA20" s="1577">
        <v>1</v>
      </c>
      <c r="AB20" s="1577">
        <v>1</v>
      </c>
      <c r="AC20" s="1577">
        <v>1</v>
      </c>
    </row>
    <row r="21" spans="1:29" ht="15">
      <c r="A21" s="532"/>
      <c r="B21" s="2570" t="s">
        <v>2555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503"/>
      <c r="Q21" s="2558" t="str">
        <f>B21</f>
        <v>基础设施水平</v>
      </c>
      <c r="R21" s="1574" t="s">
        <v>8</v>
      </c>
      <c r="S21" s="1575">
        <f>F21</f>
        <v>100</v>
      </c>
      <c r="T21" s="1574" t="s">
        <v>8</v>
      </c>
      <c r="U21" s="1575">
        <f>H21</f>
        <v>100</v>
      </c>
      <c r="V21" s="1574" t="s">
        <v>8</v>
      </c>
      <c r="W21" s="1575">
        <f>J21</f>
        <v>100</v>
      </c>
      <c r="X21" s="2560"/>
      <c r="Y21" s="3503"/>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503"/>
      <c r="Q22" s="2558"/>
      <c r="R22" s="1574"/>
      <c r="S22" s="1575"/>
      <c r="T22" s="1574"/>
      <c r="U22" s="1575"/>
      <c r="V22" s="1574"/>
      <c r="W22" s="1575"/>
      <c r="X22" s="2560"/>
      <c r="Y22" s="3503"/>
      <c r="Z22" s="2559"/>
      <c r="AA22" s="1577">
        <v>1</v>
      </c>
      <c r="AB22" s="1577">
        <v>1</v>
      </c>
      <c r="AC22" s="1577">
        <v>1</v>
      </c>
    </row>
    <row r="23" spans="1:29" ht="15">
      <c r="A23" s="532"/>
      <c r="B23" s="871" t="s">
        <v>776</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503"/>
      <c r="Q23" s="1573" t="str">
        <f>B23</f>
        <v>环境质量</v>
      </c>
      <c r="R23" s="1574" t="s">
        <v>8</v>
      </c>
      <c r="S23" s="1575">
        <f>F23</f>
        <v>100</v>
      </c>
      <c r="T23" s="1574" t="s">
        <v>8</v>
      </c>
      <c r="U23" s="1575">
        <f>H23</f>
        <v>100</v>
      </c>
      <c r="V23" s="1574" t="s">
        <v>8</v>
      </c>
      <c r="W23" s="1575">
        <f>J23</f>
        <v>100</v>
      </c>
      <c r="X23" s="1568"/>
      <c r="Y23" s="350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503"/>
      <c r="Q24" s="1573"/>
      <c r="R24" s="1574"/>
      <c r="S24" s="1575"/>
      <c r="T24" s="1574"/>
      <c r="U24" s="1575"/>
      <c r="V24" s="1574"/>
      <c r="W24" s="1575"/>
      <c r="X24" s="1568"/>
      <c r="Y24" s="350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503"/>
      <c r="Q25" s="1573">
        <f>B25</f>
        <v>111</v>
      </c>
      <c r="R25" s="1574" t="s">
        <v>8</v>
      </c>
      <c r="S25" s="1575">
        <f>F25</f>
        <v>100</v>
      </c>
      <c r="T25" s="1574" t="s">
        <v>8</v>
      </c>
      <c r="U25" s="1575">
        <f>H25</f>
        <v>100</v>
      </c>
      <c r="V25" s="1574" t="s">
        <v>8</v>
      </c>
      <c r="W25" s="1575">
        <f>J25</f>
        <v>100</v>
      </c>
      <c r="X25" s="1568"/>
      <c r="Y25" s="350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503"/>
      <c r="Q26" s="1573">
        <f t="shared" ref="Q26:Q40" si="11">B26</f>
        <v>111</v>
      </c>
      <c r="R26" s="1574" t="s">
        <v>8</v>
      </c>
      <c r="S26" s="1575">
        <f>F26</f>
        <v>100</v>
      </c>
      <c r="T26" s="1574" t="s">
        <v>8</v>
      </c>
      <c r="U26" s="1575">
        <f>H26</f>
        <v>100</v>
      </c>
      <c r="V26" s="1574" t="s">
        <v>8</v>
      </c>
      <c r="W26" s="1575">
        <f>J26</f>
        <v>100</v>
      </c>
      <c r="X26" s="1568"/>
      <c r="Y26" s="350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503"/>
      <c r="Q27" s="1151">
        <f t="shared" si="11"/>
        <v>111</v>
      </c>
      <c r="R27" s="1569" t="s">
        <v>8</v>
      </c>
      <c r="S27" s="1570">
        <f>F27</f>
        <v>100</v>
      </c>
      <c r="T27" s="1569" t="s">
        <v>8</v>
      </c>
      <c r="U27" s="1570">
        <f>H27</f>
        <v>100</v>
      </c>
      <c r="V27" s="1569" t="s">
        <v>8</v>
      </c>
      <c r="W27" s="1570">
        <f>J27</f>
        <v>100</v>
      </c>
      <c r="X27" s="1571"/>
      <c r="Y27" s="350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503"/>
      <c r="Q28" s="1573">
        <f t="shared" si="11"/>
        <v>111</v>
      </c>
      <c r="R28" s="1574" t="s">
        <v>8</v>
      </c>
      <c r="S28" s="1575">
        <f t="shared" ref="S28:S40" si="12">F28</f>
        <v>100</v>
      </c>
      <c r="T28" s="1574" t="s">
        <v>8</v>
      </c>
      <c r="U28" s="1575">
        <f t="shared" ref="U28:U40" si="13">H28</f>
        <v>100</v>
      </c>
      <c r="V28" s="1574" t="s">
        <v>8</v>
      </c>
      <c r="W28" s="1575">
        <f t="shared" ref="W28:W40" si="14">J28</f>
        <v>100</v>
      </c>
      <c r="X28" s="1568"/>
      <c r="Y28" s="3503"/>
      <c r="Z28" s="1576">
        <f t="shared" ref="Z28:Z40" si="15">Q28</f>
        <v>111</v>
      </c>
      <c r="AA28" s="1577">
        <f t="shared" si="3"/>
        <v>1</v>
      </c>
      <c r="AB28" s="1577">
        <f t="shared" si="4"/>
        <v>1</v>
      </c>
      <c r="AC28" s="1577">
        <f t="shared" si="5"/>
        <v>1</v>
      </c>
    </row>
    <row r="29" spans="1:29" ht="15">
      <c r="A29" s="2885" t="s">
        <v>2752</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504" t="s">
        <v>548</v>
      </c>
      <c r="Q29" s="1573" t="str">
        <f t="shared" si="11"/>
        <v>建筑类型</v>
      </c>
      <c r="R29" s="1574" t="s">
        <v>8</v>
      </c>
      <c r="S29" s="1575">
        <f t="shared" si="12"/>
        <v>100</v>
      </c>
      <c r="T29" s="1574" t="s">
        <v>8</v>
      </c>
      <c r="U29" s="1575">
        <f t="shared" si="13"/>
        <v>100</v>
      </c>
      <c r="V29" s="1574" t="s">
        <v>8</v>
      </c>
      <c r="W29" s="1575">
        <f t="shared" si="14"/>
        <v>100</v>
      </c>
      <c r="X29" s="1568"/>
      <c r="Y29" s="3505"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505"/>
      <c r="Q30" s="1606" t="str">
        <f t="shared" si="11"/>
        <v>项目建筑规模</v>
      </c>
      <c r="R30" s="1578" t="s">
        <v>8</v>
      </c>
      <c r="S30" s="1579" t="e">
        <f t="shared" si="12"/>
        <v>#N/A</v>
      </c>
      <c r="T30" s="1578" t="s">
        <v>8</v>
      </c>
      <c r="U30" s="1579" t="e">
        <f t="shared" si="13"/>
        <v>#N/A</v>
      </c>
      <c r="V30" s="1578" t="s">
        <v>8</v>
      </c>
      <c r="W30" s="1579" t="e">
        <f t="shared" si="14"/>
        <v>#N/A</v>
      </c>
      <c r="X30" s="1580"/>
      <c r="Y30" s="3505"/>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505"/>
      <c r="Q31" s="1573" t="str">
        <f t="shared" si="11"/>
        <v>建筑结构</v>
      </c>
      <c r="R31" s="1574" t="s">
        <v>8</v>
      </c>
      <c r="S31" s="1575">
        <f t="shared" si="12"/>
        <v>100</v>
      </c>
      <c r="T31" s="1574" t="s">
        <v>8</v>
      </c>
      <c r="U31" s="1575">
        <f t="shared" si="13"/>
        <v>100</v>
      </c>
      <c r="V31" s="1574" t="s">
        <v>8</v>
      </c>
      <c r="W31" s="1575">
        <f t="shared" si="14"/>
        <v>100</v>
      </c>
      <c r="X31" s="1568"/>
      <c r="Y31" s="3505"/>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505"/>
      <c r="Q32" s="1573" t="str">
        <f t="shared" si="11"/>
        <v>公共部分装修</v>
      </c>
      <c r="R32" s="1574" t="s">
        <v>8</v>
      </c>
      <c r="S32" s="1575">
        <f t="shared" si="12"/>
        <v>100</v>
      </c>
      <c r="T32" s="1574" t="s">
        <v>8</v>
      </c>
      <c r="U32" s="1575">
        <f t="shared" si="13"/>
        <v>100</v>
      </c>
      <c r="V32" s="1574" t="s">
        <v>8</v>
      </c>
      <c r="W32" s="1575">
        <f t="shared" si="14"/>
        <v>100</v>
      </c>
      <c r="X32" s="1568"/>
      <c r="Y32" s="3505"/>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505"/>
      <c r="Q33" s="1573" t="str">
        <f t="shared" si="11"/>
        <v>成新度</v>
      </c>
      <c r="R33" s="1574" t="s">
        <v>8</v>
      </c>
      <c r="S33" s="1575" t="e">
        <f t="shared" si="12"/>
        <v>#N/A</v>
      </c>
      <c r="T33" s="1574" t="s">
        <v>8</v>
      </c>
      <c r="U33" s="1575" t="e">
        <f t="shared" si="13"/>
        <v>#N/A</v>
      </c>
      <c r="V33" s="1574" t="s">
        <v>8</v>
      </c>
      <c r="W33" s="1575" t="e">
        <f t="shared" si="14"/>
        <v>#N/A</v>
      </c>
      <c r="X33" s="1568"/>
      <c r="Y33" s="3505"/>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505"/>
      <c r="Q34" s="1151" t="str">
        <f t="shared" si="11"/>
        <v>物业管理</v>
      </c>
      <c r="R34" s="1569" t="s">
        <v>8</v>
      </c>
      <c r="S34" s="1570">
        <f t="shared" si="12"/>
        <v>100</v>
      </c>
      <c r="T34" s="1569" t="s">
        <v>8</v>
      </c>
      <c r="U34" s="1570">
        <f t="shared" si="13"/>
        <v>100</v>
      </c>
      <c r="V34" s="1569" t="s">
        <v>8</v>
      </c>
      <c r="W34" s="1570">
        <f t="shared" si="14"/>
        <v>100</v>
      </c>
      <c r="X34" s="1571"/>
      <c r="Y34" s="3505"/>
      <c r="Z34" s="1150" t="str">
        <f t="shared" si="15"/>
        <v>物业管理</v>
      </c>
      <c r="AA34" s="1572">
        <f t="shared" si="3"/>
        <v>1</v>
      </c>
      <c r="AB34" s="1572">
        <f t="shared" si="4"/>
        <v>1</v>
      </c>
      <c r="AC34" s="1572">
        <f t="shared" si="5"/>
        <v>1</v>
      </c>
    </row>
    <row r="35" spans="1:29" ht="15">
      <c r="A35" s="594"/>
      <c r="B35" s="1895"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505" t="s">
        <v>548</v>
      </c>
      <c r="Q35" s="1573" t="str">
        <f t="shared" si="11"/>
        <v>市政基础设施</v>
      </c>
      <c r="R35" s="1574" t="s">
        <v>8</v>
      </c>
      <c r="S35" s="1575">
        <f t="shared" si="12"/>
        <v>100</v>
      </c>
      <c r="T35" s="1574" t="s">
        <v>8</v>
      </c>
      <c r="U35" s="1575">
        <f t="shared" si="13"/>
        <v>100</v>
      </c>
      <c r="V35" s="1574" t="s">
        <v>8</v>
      </c>
      <c r="W35" s="1575">
        <f t="shared" si="14"/>
        <v>100</v>
      </c>
      <c r="X35" s="1568"/>
      <c r="Y35" s="3505"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505"/>
      <c r="Q36" s="1573" t="str">
        <f t="shared" si="11"/>
        <v>内部装修</v>
      </c>
      <c r="R36" s="1574" t="s">
        <v>8</v>
      </c>
      <c r="S36" s="1575">
        <f t="shared" si="12"/>
        <v>100</v>
      </c>
      <c r="T36" s="1574" t="s">
        <v>8</v>
      </c>
      <c r="U36" s="1575">
        <f t="shared" si="13"/>
        <v>100</v>
      </c>
      <c r="V36" s="1574" t="s">
        <v>8</v>
      </c>
      <c r="W36" s="1575">
        <f t="shared" si="14"/>
        <v>100</v>
      </c>
      <c r="X36" s="1568"/>
      <c r="Y36" s="3505"/>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505"/>
      <c r="Q37" s="1573" t="str">
        <f t="shared" si="11"/>
        <v>内部装修状况</v>
      </c>
      <c r="R37" s="1574" t="s">
        <v>8</v>
      </c>
      <c r="S37" s="1575">
        <f t="shared" si="12"/>
        <v>100</v>
      </c>
      <c r="T37" s="1574" t="s">
        <v>8</v>
      </c>
      <c r="U37" s="1575">
        <f t="shared" si="13"/>
        <v>100</v>
      </c>
      <c r="V37" s="1574" t="s">
        <v>8</v>
      </c>
      <c r="W37" s="1575">
        <f t="shared" si="14"/>
        <v>100</v>
      </c>
      <c r="X37" s="1568"/>
      <c r="Y37" s="350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505"/>
      <c r="Q38" s="1606">
        <f t="shared" si="11"/>
        <v>111</v>
      </c>
      <c r="R38" s="1578" t="s">
        <v>8</v>
      </c>
      <c r="S38" s="1579">
        <f t="shared" si="12"/>
        <v>100</v>
      </c>
      <c r="T38" s="1578" t="s">
        <v>8</v>
      </c>
      <c r="U38" s="1579">
        <f t="shared" si="13"/>
        <v>100</v>
      </c>
      <c r="V38" s="1578" t="s">
        <v>8</v>
      </c>
      <c r="W38" s="1579">
        <f t="shared" si="14"/>
        <v>100</v>
      </c>
      <c r="X38" s="1580"/>
      <c r="Y38" s="350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505"/>
      <c r="Q39" s="1573">
        <f t="shared" si="11"/>
        <v>111</v>
      </c>
      <c r="R39" s="1574" t="s">
        <v>8</v>
      </c>
      <c r="S39" s="1575">
        <f t="shared" si="12"/>
        <v>100</v>
      </c>
      <c r="T39" s="1574" t="s">
        <v>8</v>
      </c>
      <c r="U39" s="1575">
        <f t="shared" si="13"/>
        <v>100</v>
      </c>
      <c r="V39" s="1574" t="s">
        <v>8</v>
      </c>
      <c r="W39" s="1575">
        <f t="shared" si="14"/>
        <v>100</v>
      </c>
      <c r="X39" s="1568"/>
      <c r="Y39" s="350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85"/>
      <c r="Q40" s="1573">
        <f t="shared" si="11"/>
        <v>111</v>
      </c>
      <c r="R40" s="1574" t="s">
        <v>8</v>
      </c>
      <c r="S40" s="1575">
        <f t="shared" si="12"/>
        <v>100</v>
      </c>
      <c r="T40" s="1574" t="s">
        <v>8</v>
      </c>
      <c r="U40" s="1575">
        <f t="shared" si="13"/>
        <v>100</v>
      </c>
      <c r="V40" s="1574" t="s">
        <v>8</v>
      </c>
      <c r="W40" s="1575">
        <f t="shared" si="14"/>
        <v>100</v>
      </c>
      <c r="X40" s="1568"/>
      <c r="Y40" s="3585"/>
      <c r="Z40" s="1576">
        <f t="shared" si="15"/>
        <v>111</v>
      </c>
      <c r="AA40" s="1577">
        <f t="shared" si="3"/>
        <v>1</v>
      </c>
      <c r="AB40" s="1577">
        <f t="shared" si="4"/>
        <v>1</v>
      </c>
      <c r="AC40" s="1577">
        <f t="shared" si="5"/>
        <v>1</v>
      </c>
    </row>
    <row r="41" spans="1:29" ht="15">
      <c r="A41" s="607" t="s">
        <v>734</v>
      </c>
      <c r="B41" s="887"/>
      <c r="C41" s="2606" t="s">
        <v>1</v>
      </c>
      <c r="D41" s="2607"/>
      <c r="E41" s="2608"/>
      <c r="F41" s="2609"/>
      <c r="G41" s="2610"/>
      <c r="H41" s="2611"/>
      <c r="I41" s="2608"/>
      <c r="J41" s="2611"/>
      <c r="K41" s="1612"/>
      <c r="L41" s="2144"/>
      <c r="M41" s="2145"/>
      <c r="N41" s="2134"/>
      <c r="O41" s="2145"/>
      <c r="P41" s="3467" t="str">
        <f>A41</f>
        <v>成交单价（元/平方米）</v>
      </c>
      <c r="Q41" s="3467"/>
      <c r="R41" s="3584">
        <f>E41</f>
        <v>0</v>
      </c>
      <c r="S41" s="3584"/>
      <c r="T41" s="3584">
        <f>G41</f>
        <v>0</v>
      </c>
      <c r="U41" s="3584"/>
      <c r="V41" s="3584">
        <f>I41</f>
        <v>0</v>
      </c>
      <c r="W41" s="3584"/>
      <c r="X41" s="1560"/>
      <c r="Y41" s="1582"/>
      <c r="Z41" s="1560"/>
      <c r="AA41" s="1560"/>
      <c r="AB41" s="1560"/>
      <c r="AC41" s="1560"/>
    </row>
    <row r="42" spans="1:29" ht="15.75" thickBot="1">
      <c r="A42" s="615" t="s">
        <v>2757</v>
      </c>
      <c r="B42" s="888"/>
      <c r="C42" s="2612" t="e">
        <f>R43</f>
        <v>#DIV/0!</v>
      </c>
      <c r="D42" s="2613"/>
      <c r="E42" s="2614" t="e">
        <f>R42</f>
        <v>#DIV/0!</v>
      </c>
      <c r="F42" s="2614"/>
      <c r="G42" s="2612" t="e">
        <f>T42</f>
        <v>#DIV/0!</v>
      </c>
      <c r="H42" s="2613"/>
      <c r="I42" s="2614" t="e">
        <f>V42</f>
        <v>#DIV/0!</v>
      </c>
      <c r="J42" s="2613"/>
      <c r="K42" s="1613"/>
      <c r="L42" s="2144"/>
      <c r="M42" s="2145"/>
      <c r="N42" s="2134"/>
      <c r="O42" s="2145"/>
      <c r="P42" s="3467" t="str">
        <f>A42</f>
        <v>比较价格（元/平方米）</v>
      </c>
      <c r="Q42" s="3467"/>
      <c r="R42" s="3584" t="e">
        <f>IF(F1="售价",ROUND(PRODUCT(R41,AA7:AA40),0),ROUND(PRODUCT(R41,AA7:AA40),1))</f>
        <v>#DIV/0!</v>
      </c>
      <c r="S42" s="3584"/>
      <c r="T42" s="3584" t="e">
        <f>IF(F1="售价",ROUND(PRODUCT(T41,AB7:AB40),0),ROUND(PRODUCT(T41,AB7:AB40),1))</f>
        <v>#DIV/0!</v>
      </c>
      <c r="U42" s="3584"/>
      <c r="V42" s="3584" t="e">
        <f>IF(F1="售价",ROUND(PRODUCT(V41,AC7:AC40),0),ROUND(PRODUCT(V41,AC7:AC40),1))</f>
        <v>#DIV/0!</v>
      </c>
      <c r="W42" s="3584"/>
      <c r="X42" s="1560"/>
      <c r="Y42" s="1560"/>
      <c r="Z42" s="1560"/>
      <c r="AA42" s="1560"/>
      <c r="AB42" s="1560"/>
      <c r="AC42" s="1560"/>
    </row>
    <row r="43" spans="1:29" ht="15.75" thickBot="1">
      <c r="A43" s="621" t="s">
        <v>2920</v>
      </c>
      <c r="B43" s="622"/>
      <c r="C43" s="2615" t="e">
        <f>R43</f>
        <v>#DIV/0!</v>
      </c>
      <c r="D43" s="2615"/>
      <c r="E43" s="2615"/>
      <c r="F43" s="2615"/>
      <c r="G43" s="2615"/>
      <c r="H43" s="2615"/>
      <c r="I43" s="2615"/>
      <c r="J43" s="2615"/>
      <c r="K43" s="1614"/>
      <c r="L43" s="2144"/>
      <c r="M43" s="2145"/>
      <c r="N43" s="2145"/>
      <c r="O43" s="2145"/>
      <c r="P43" s="3464" t="str">
        <f>A43</f>
        <v>估价对象XX用房的比较价格（楼面单价，元/平方米）</v>
      </c>
      <c r="Q43" s="3465"/>
      <c r="R43" s="3583" t="e">
        <f>IF(F1="售价",ROUND(AVERAGE(R42:V42),0),ROUND(AVERAGE(R42:V42),1))</f>
        <v>#DIV/0!</v>
      </c>
      <c r="S43" s="3583"/>
      <c r="T43" s="3583"/>
      <c r="U43" s="3583"/>
      <c r="V43" s="3583"/>
      <c r="W43" s="3583"/>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572</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527</v>
      </c>
      <c r="B52" s="646"/>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573</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529</v>
      </c>
      <c r="B55" s="648"/>
      <c r="C55" s="660" t="s">
        <v>574</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575</v>
      </c>
      <c r="B57" s="665" t="s">
        <v>532</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537</v>
      </c>
      <c r="B70" s="665" t="s">
        <v>583</v>
      </c>
      <c r="C70" s="703" t="s">
        <v>577</v>
      </c>
      <c r="D70" s="703" t="s">
        <v>578</v>
      </c>
      <c r="E70" s="703" t="s">
        <v>579</v>
      </c>
      <c r="F70" s="703" t="s">
        <v>580</v>
      </c>
      <c r="G70" s="703" t="s">
        <v>581</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584</v>
      </c>
      <c r="C72" s="708" t="s">
        <v>577</v>
      </c>
      <c r="D72" s="708" t="s">
        <v>578</v>
      </c>
      <c r="E72" s="708" t="s">
        <v>579</v>
      </c>
      <c r="F72" s="708" t="s">
        <v>580</v>
      </c>
      <c r="G72" s="708" t="s">
        <v>581</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2554</v>
      </c>
      <c r="C74" s="708" t="s">
        <v>577</v>
      </c>
      <c r="D74" s="708" t="s">
        <v>578</v>
      </c>
      <c r="E74" s="708" t="s">
        <v>579</v>
      </c>
      <c r="F74" s="708" t="s">
        <v>580</v>
      </c>
      <c r="G74" s="708" t="s">
        <v>581</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2555</v>
      </c>
      <c r="C76" s="2577" t="s">
        <v>2556</v>
      </c>
      <c r="D76" s="2577" t="s">
        <v>2557</v>
      </c>
      <c r="E76" s="2577" t="s">
        <v>2558</v>
      </c>
      <c r="F76" s="2577" t="s">
        <v>2559</v>
      </c>
      <c r="G76" s="2577" t="s">
        <v>2560</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782</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549</v>
      </c>
      <c r="B88" s="665" t="s">
        <v>745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749</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751</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2553</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753</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85"/>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848" t="s">
        <v>2074</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795</v>
      </c>
      <c r="B4" s="513"/>
      <c r="C4" s="3473" t="s">
        <v>796</v>
      </c>
      <c r="D4" s="3474"/>
      <c r="E4" s="3473" t="s">
        <v>797</v>
      </c>
      <c r="F4" s="3474"/>
      <c r="G4" s="3473" t="s">
        <v>798</v>
      </c>
      <c r="H4" s="3474"/>
      <c r="I4" s="3473" t="s">
        <v>799</v>
      </c>
      <c r="J4" s="3474"/>
      <c r="K4" s="514" t="s">
        <v>800</v>
      </c>
      <c r="L4" s="2133"/>
      <c r="M4" s="2134"/>
      <c r="N4" s="2134"/>
      <c r="O4" s="2134"/>
      <c r="P4" s="3475" t="s">
        <v>801</v>
      </c>
      <c r="Q4" s="3476"/>
      <c r="R4" s="3481" t="s">
        <v>797</v>
      </c>
      <c r="S4" s="3482"/>
      <c r="T4" s="3481" t="s">
        <v>798</v>
      </c>
      <c r="U4" s="3482"/>
      <c r="V4" s="3468" t="s">
        <v>799</v>
      </c>
      <c r="W4" s="3468"/>
      <c r="X4" s="1568"/>
      <c r="Y4" s="3481" t="s">
        <v>801</v>
      </c>
      <c r="Z4" s="3482"/>
      <c r="AA4" s="3470" t="s">
        <v>797</v>
      </c>
      <c r="AB4" s="3471" t="s">
        <v>798</v>
      </c>
      <c r="AC4" s="3470" t="s">
        <v>799</v>
      </c>
    </row>
    <row r="5" spans="1:29" ht="15">
      <c r="A5" s="515"/>
      <c r="B5" s="516"/>
      <c r="C5" s="3506" t="s">
        <v>2914</v>
      </c>
      <c r="D5" s="3507"/>
      <c r="E5" s="3506" t="s">
        <v>2915</v>
      </c>
      <c r="F5" s="3507"/>
      <c r="G5" s="3506" t="s">
        <v>2916</v>
      </c>
      <c r="H5" s="3507"/>
      <c r="I5" s="3506" t="s">
        <v>2917</v>
      </c>
      <c r="J5" s="3507"/>
      <c r="K5" s="514"/>
      <c r="L5" s="2133"/>
      <c r="M5" s="2134"/>
      <c r="N5" s="2134"/>
      <c r="O5" s="2134"/>
      <c r="P5" s="3477"/>
      <c r="Q5" s="3478"/>
      <c r="R5" s="3483"/>
      <c r="S5" s="3484"/>
      <c r="T5" s="3483"/>
      <c r="U5" s="3484"/>
      <c r="V5" s="3468"/>
      <c r="W5" s="3468"/>
      <c r="X5" s="1568"/>
      <c r="Y5" s="3483"/>
      <c r="Z5" s="3484"/>
      <c r="AA5" s="3471"/>
      <c r="AB5" s="3471"/>
      <c r="AC5" s="3471"/>
    </row>
    <row r="6" spans="1:29" ht="15.75" thickBot="1">
      <c r="A6" s="517"/>
      <c r="B6" s="518"/>
      <c r="C6" s="3508" t="s">
        <v>2918</v>
      </c>
      <c r="D6" s="3509"/>
      <c r="E6" s="3597" t="s">
        <v>2918</v>
      </c>
      <c r="F6" s="3598"/>
      <c r="G6" s="3508" t="s">
        <v>2918</v>
      </c>
      <c r="H6" s="3509"/>
      <c r="I6" s="3508" t="s">
        <v>2918</v>
      </c>
      <c r="J6" s="3509"/>
      <c r="K6" s="514" t="s">
        <v>526</v>
      </c>
      <c r="L6" s="2133"/>
      <c r="M6" s="2134"/>
      <c r="N6" s="2134"/>
      <c r="O6" s="2134"/>
      <c r="P6" s="3479"/>
      <c r="Q6" s="3480"/>
      <c r="R6" s="3483"/>
      <c r="S6" s="3484"/>
      <c r="T6" s="3485"/>
      <c r="U6" s="3486"/>
      <c r="V6" s="3468"/>
      <c r="W6" s="3468"/>
      <c r="X6" s="1568"/>
      <c r="Y6" s="3485"/>
      <c r="Z6" s="3486"/>
      <c r="AA6" s="3472"/>
      <c r="AB6" s="3472"/>
      <c r="AC6" s="3472"/>
    </row>
    <row r="7" spans="1:29" s="1220" customFormat="1" ht="15.75" thickBot="1">
      <c r="A7" s="2890"/>
      <c r="B7" s="2897" t="s">
        <v>527</v>
      </c>
      <c r="C7" s="519">
        <f>'数据-取费表'!B2</f>
        <v>43529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99" t="s">
        <v>528</v>
      </c>
      <c r="Q7" s="3501"/>
      <c r="R7" s="1569" t="s">
        <v>8</v>
      </c>
      <c r="S7" s="1570">
        <f t="shared" ref="S7:S14" si="0">F7</f>
        <v>0</v>
      </c>
      <c r="T7" s="1569" t="s">
        <v>8</v>
      </c>
      <c r="U7" s="1570">
        <f t="shared" ref="U7:U14" si="1">H7</f>
        <v>0</v>
      </c>
      <c r="V7" s="1569" t="s">
        <v>8</v>
      </c>
      <c r="W7" s="1570">
        <f t="shared" ref="W7:W14" si="2">J7</f>
        <v>0</v>
      </c>
      <c r="X7" s="1571"/>
      <c r="Y7" s="3499" t="s">
        <v>528</v>
      </c>
      <c r="Z7" s="3500"/>
      <c r="AA7" s="1572" t="e">
        <f>D7/F7</f>
        <v>#DIV/0!</v>
      </c>
      <c r="AB7" s="1572" t="e">
        <f>D7/H7</f>
        <v>#DIV/0!</v>
      </c>
      <c r="AC7" s="1572" t="e">
        <f>D7/J7</f>
        <v>#DIV/0!</v>
      </c>
    </row>
    <row r="8" spans="1:29" s="1220" customFormat="1" ht="15.75" thickBot="1">
      <c r="A8" s="2891"/>
      <c r="B8" s="2898" t="s">
        <v>529</v>
      </c>
      <c r="C8" s="525" t="s">
        <v>574</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99" t="s">
        <v>531</v>
      </c>
      <c r="Q8" s="3500"/>
      <c r="R8" s="1569" t="s">
        <v>8</v>
      </c>
      <c r="S8" s="1570">
        <f t="shared" si="0"/>
        <v>0</v>
      </c>
      <c r="T8" s="1569" t="s">
        <v>8</v>
      </c>
      <c r="U8" s="1570">
        <f t="shared" si="1"/>
        <v>0</v>
      </c>
      <c r="V8" s="1569" t="s">
        <v>8</v>
      </c>
      <c r="W8" s="1570">
        <f t="shared" si="2"/>
        <v>0</v>
      </c>
      <c r="X8" s="1571"/>
      <c r="Y8" s="3499" t="s">
        <v>531</v>
      </c>
      <c r="Z8" s="3500"/>
      <c r="AA8" s="1572" t="e">
        <f t="shared" ref="AA8:AA36" si="3">D8/F8</f>
        <v>#DIV/0!</v>
      </c>
      <c r="AB8" s="1572" t="e">
        <f t="shared" ref="AB8:AB36" si="4">D8/H8</f>
        <v>#DIV/0!</v>
      </c>
      <c r="AC8" s="1572" t="e">
        <f t="shared" ref="AC8:AC36" si="5">D8/J8</f>
        <v>#DIV/0!</v>
      </c>
    </row>
    <row r="9" spans="1:29" s="1220" customFormat="1" ht="15">
      <c r="A9" s="2892"/>
      <c r="B9" s="2899"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67" t="s">
        <v>533</v>
      </c>
      <c r="Q9" s="1151" t="str">
        <f t="shared" ref="Q9:Q14" si="6">B9</f>
        <v>用途</v>
      </c>
      <c r="R9" s="1569" t="s">
        <v>8</v>
      </c>
      <c r="S9" s="1570">
        <f t="shared" si="0"/>
        <v>100</v>
      </c>
      <c r="T9" s="1569" t="s">
        <v>8</v>
      </c>
      <c r="U9" s="1570">
        <f t="shared" si="1"/>
        <v>100</v>
      </c>
      <c r="V9" s="1569" t="s">
        <v>8</v>
      </c>
      <c r="W9" s="1570">
        <f t="shared" si="2"/>
        <v>100</v>
      </c>
      <c r="X9" s="1571"/>
      <c r="Y9" s="3374" t="s">
        <v>534</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67"/>
      <c r="Q10" s="1151" t="str">
        <f t="shared" si="6"/>
        <v>土地使用年限（年）</v>
      </c>
      <c r="R10" s="1569" t="s">
        <v>8</v>
      </c>
      <c r="S10" s="1570">
        <f t="shared" si="0"/>
        <v>100</v>
      </c>
      <c r="T10" s="1569" t="s">
        <v>8</v>
      </c>
      <c r="U10" s="1570">
        <f t="shared" si="1"/>
        <v>100</v>
      </c>
      <c r="V10" s="1569" t="s">
        <v>8</v>
      </c>
      <c r="W10" s="1570">
        <f t="shared" si="2"/>
        <v>100</v>
      </c>
      <c r="X10" s="1571"/>
      <c r="Y10" s="3374"/>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67"/>
      <c r="Q11" s="1151">
        <f t="shared" si="6"/>
        <v>111</v>
      </c>
      <c r="R11" s="1569" t="s">
        <v>8</v>
      </c>
      <c r="S11" s="1570">
        <f t="shared" si="0"/>
        <v>100</v>
      </c>
      <c r="T11" s="1569" t="s">
        <v>8</v>
      </c>
      <c r="U11" s="1570">
        <f t="shared" si="1"/>
        <v>100</v>
      </c>
      <c r="V11" s="1569" t="s">
        <v>8</v>
      </c>
      <c r="W11" s="1570">
        <f t="shared" si="2"/>
        <v>100</v>
      </c>
      <c r="X11" s="1571"/>
      <c r="Y11" s="3374"/>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67"/>
      <c r="Q12" s="1151">
        <f t="shared" si="6"/>
        <v>111</v>
      </c>
      <c r="R12" s="1569" t="s">
        <v>8</v>
      </c>
      <c r="S12" s="1570">
        <f t="shared" si="0"/>
        <v>100</v>
      </c>
      <c r="T12" s="1569" t="s">
        <v>8</v>
      </c>
      <c r="U12" s="1570">
        <f t="shared" si="1"/>
        <v>100</v>
      </c>
      <c r="V12" s="1569" t="s">
        <v>8</v>
      </c>
      <c r="W12" s="1570">
        <f t="shared" si="2"/>
        <v>100</v>
      </c>
      <c r="X12" s="1571"/>
      <c r="Y12" s="3374"/>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67"/>
      <c r="Q13" s="1151">
        <f t="shared" si="6"/>
        <v>111</v>
      </c>
      <c r="R13" s="1569" t="s">
        <v>8</v>
      </c>
      <c r="S13" s="1570">
        <f t="shared" si="0"/>
        <v>100</v>
      </c>
      <c r="T13" s="1569" t="s">
        <v>8</v>
      </c>
      <c r="U13" s="1570">
        <f t="shared" si="1"/>
        <v>100</v>
      </c>
      <c r="V13" s="1569" t="s">
        <v>8</v>
      </c>
      <c r="W13" s="1570">
        <f t="shared" si="2"/>
        <v>100</v>
      </c>
      <c r="X13" s="1571"/>
      <c r="Y13" s="3374"/>
      <c r="Z13" s="1150">
        <f t="shared" si="7"/>
        <v>111</v>
      </c>
      <c r="AA13" s="1572">
        <f t="shared" si="3"/>
        <v>1</v>
      </c>
      <c r="AB13" s="1572">
        <f t="shared" si="4"/>
        <v>1</v>
      </c>
      <c r="AC13" s="1572">
        <f t="shared" si="5"/>
        <v>1</v>
      </c>
    </row>
    <row r="14" spans="1:29" ht="15">
      <c r="A14" s="2888" t="s">
        <v>2751</v>
      </c>
      <c r="B14" s="547" t="s">
        <v>541</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502" t="s">
        <v>538</v>
      </c>
      <c r="Q14" s="1573" t="str">
        <f t="shared" si="6"/>
        <v>交通便捷度</v>
      </c>
      <c r="R14" s="1574" t="s">
        <v>8</v>
      </c>
      <c r="S14" s="1575">
        <f t="shared" si="0"/>
        <v>100</v>
      </c>
      <c r="T14" s="1574" t="s">
        <v>8</v>
      </c>
      <c r="U14" s="1575">
        <f t="shared" si="1"/>
        <v>100</v>
      </c>
      <c r="V14" s="1574" t="s">
        <v>8</v>
      </c>
      <c r="W14" s="1575">
        <f t="shared" si="2"/>
        <v>100</v>
      </c>
      <c r="X14" s="1568"/>
      <c r="Y14" s="3502"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503"/>
      <c r="Q15" s="1573"/>
      <c r="R15" s="1574"/>
      <c r="S15" s="1575"/>
      <c r="T15" s="1574"/>
      <c r="U15" s="1575"/>
      <c r="V15" s="1574"/>
      <c r="W15" s="1575"/>
      <c r="X15" s="1568"/>
      <c r="Y15" s="3503"/>
      <c r="Z15" s="1576"/>
      <c r="AA15" s="1577">
        <v>1</v>
      </c>
      <c r="AB15" s="1577">
        <v>1</v>
      </c>
      <c r="AC15" s="1577">
        <v>1</v>
      </c>
    </row>
    <row r="16" spans="1:29" ht="15">
      <c r="A16" s="515"/>
      <c r="B16" s="2582"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503"/>
      <c r="Q16" s="1573" t="str">
        <f>B16</f>
        <v>公共配套设施</v>
      </c>
      <c r="R16" s="1574" t="s">
        <v>8</v>
      </c>
      <c r="S16" s="1575">
        <f>F16</f>
        <v>100</v>
      </c>
      <c r="T16" s="1574" t="s">
        <v>8</v>
      </c>
      <c r="U16" s="1575">
        <f>H16</f>
        <v>100</v>
      </c>
      <c r="V16" s="1574" t="s">
        <v>8</v>
      </c>
      <c r="W16" s="1575">
        <f>J16</f>
        <v>100</v>
      </c>
      <c r="X16" s="1568"/>
      <c r="Y16" s="350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503"/>
      <c r="Q17" s="1573"/>
      <c r="R17" s="1574"/>
      <c r="S17" s="1575"/>
      <c r="T17" s="1574"/>
      <c r="U17" s="1575"/>
      <c r="V17" s="1574"/>
      <c r="W17" s="1575"/>
      <c r="X17" s="1568"/>
      <c r="Y17" s="3503"/>
      <c r="Z17" s="1576"/>
      <c r="AA17" s="1577">
        <v>1</v>
      </c>
      <c r="AB17" s="1577">
        <v>1</v>
      </c>
      <c r="AC17" s="1577">
        <v>1</v>
      </c>
    </row>
    <row r="18" spans="1:29" ht="15">
      <c r="A18" s="515"/>
      <c r="B18" s="2570"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503"/>
      <c r="Q18" s="2558" t="str">
        <f>B18</f>
        <v>基础设施水平</v>
      </c>
      <c r="R18" s="1574" t="s">
        <v>8</v>
      </c>
      <c r="S18" s="1575">
        <f>F18</f>
        <v>100</v>
      </c>
      <c r="T18" s="1574" t="s">
        <v>8</v>
      </c>
      <c r="U18" s="1575">
        <f>H18</f>
        <v>100</v>
      </c>
      <c r="V18" s="1574" t="s">
        <v>8</v>
      </c>
      <c r="W18" s="1575">
        <f>J18</f>
        <v>100</v>
      </c>
      <c r="X18" s="2560"/>
      <c r="Y18" s="3503"/>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503"/>
      <c r="Q19" s="2558"/>
      <c r="R19" s="1574"/>
      <c r="S19" s="1575"/>
      <c r="T19" s="1574"/>
      <c r="U19" s="1575"/>
      <c r="V19" s="1574"/>
      <c r="W19" s="1575"/>
      <c r="X19" s="2560"/>
      <c r="Y19" s="3503"/>
      <c r="Z19" s="2559"/>
      <c r="AA19" s="1577">
        <v>1</v>
      </c>
      <c r="AB19" s="1577">
        <v>1</v>
      </c>
      <c r="AC19" s="1577">
        <v>1</v>
      </c>
    </row>
    <row r="20" spans="1:29" ht="28.5">
      <c r="A20" s="515"/>
      <c r="B20" s="560" t="s">
        <v>802</v>
      </c>
      <c r="C20" s="872" t="str">
        <f>IF(B1="工业",估价对象房地状况!G7,估价对象房地状况!C9)</f>
        <v>自然较好，人文较差，总体一般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503"/>
      <c r="Q20" s="1573" t="str">
        <f>B20</f>
        <v>自然及人文环境</v>
      </c>
      <c r="R20" s="1574" t="s">
        <v>8</v>
      </c>
      <c r="S20" s="1575">
        <f>F20</f>
        <v>100</v>
      </c>
      <c r="T20" s="1574" t="s">
        <v>8</v>
      </c>
      <c r="U20" s="1575">
        <f>H20</f>
        <v>100</v>
      </c>
      <c r="V20" s="1574" t="s">
        <v>8</v>
      </c>
      <c r="W20" s="1575">
        <f>J20</f>
        <v>100</v>
      </c>
      <c r="X20" s="1568"/>
      <c r="Y20" s="350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503"/>
      <c r="Q21" s="1573"/>
      <c r="R21" s="1574"/>
      <c r="S21" s="1575"/>
      <c r="T21" s="1574"/>
      <c r="U21" s="1575"/>
      <c r="V21" s="1574"/>
      <c r="W21" s="1575"/>
      <c r="X21" s="1568"/>
      <c r="Y21" s="3503"/>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503"/>
      <c r="Q22" s="1573" t="str">
        <f>B22</f>
        <v>楼层</v>
      </c>
      <c r="R22" s="1574" t="s">
        <v>8</v>
      </c>
      <c r="S22" s="1575">
        <f>F22</f>
        <v>100</v>
      </c>
      <c r="T22" s="1574" t="s">
        <v>8</v>
      </c>
      <c r="U22" s="1575">
        <f>H22</f>
        <v>100</v>
      </c>
      <c r="V22" s="1574" t="s">
        <v>8</v>
      </c>
      <c r="W22" s="1575">
        <f>J22</f>
        <v>100</v>
      </c>
      <c r="X22" s="1568"/>
      <c r="Y22" s="350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503"/>
      <c r="Q23" s="1573">
        <f>B23</f>
        <v>111</v>
      </c>
      <c r="R23" s="1574" t="s">
        <v>8</v>
      </c>
      <c r="S23" s="1575">
        <f>F23</f>
        <v>100</v>
      </c>
      <c r="T23" s="1574" t="s">
        <v>8</v>
      </c>
      <c r="U23" s="1575">
        <f>H23</f>
        <v>100</v>
      </c>
      <c r="V23" s="1574" t="s">
        <v>8</v>
      </c>
      <c r="W23" s="1575">
        <f>J23</f>
        <v>100</v>
      </c>
      <c r="X23" s="1568"/>
      <c r="Y23" s="350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503"/>
      <c r="Q24" s="1573">
        <f t="shared" ref="Q24:Q36" si="11">B24</f>
        <v>111</v>
      </c>
      <c r="R24" s="1574" t="s">
        <v>8</v>
      </c>
      <c r="S24" s="1575">
        <f>F24</f>
        <v>100</v>
      </c>
      <c r="T24" s="1574" t="s">
        <v>8</v>
      </c>
      <c r="U24" s="1575">
        <f>H24</f>
        <v>100</v>
      </c>
      <c r="V24" s="1574" t="s">
        <v>8</v>
      </c>
      <c r="W24" s="1575">
        <f>J24</f>
        <v>100</v>
      </c>
      <c r="X24" s="1568"/>
      <c r="Y24" s="350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503"/>
      <c r="Q25" s="1151">
        <f t="shared" si="11"/>
        <v>111</v>
      </c>
      <c r="R25" s="1569" t="s">
        <v>8</v>
      </c>
      <c r="S25" s="1570">
        <f>F25</f>
        <v>100</v>
      </c>
      <c r="T25" s="1569" t="s">
        <v>8</v>
      </c>
      <c r="U25" s="1570">
        <f>H25</f>
        <v>100</v>
      </c>
      <c r="V25" s="1569" t="s">
        <v>8</v>
      </c>
      <c r="W25" s="1570">
        <f>J25</f>
        <v>100</v>
      </c>
      <c r="X25" s="1571"/>
      <c r="Y25" s="3503"/>
      <c r="Z25" s="1150">
        <f>Q25</f>
        <v>111</v>
      </c>
      <c r="AA25" s="1577">
        <f>D25/F25</f>
        <v>1</v>
      </c>
      <c r="AB25" s="1577">
        <f>D25/H25</f>
        <v>1</v>
      </c>
      <c r="AC25" s="1577">
        <f>D25/J25</f>
        <v>1</v>
      </c>
    </row>
    <row r="26" spans="1:29" ht="15">
      <c r="A26" s="2885" t="s">
        <v>2752</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504"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05"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505"/>
      <c r="Q27" s="1606" t="str">
        <f t="shared" si="11"/>
        <v>项目停车位配比</v>
      </c>
      <c r="R27" s="1578" t="s">
        <v>8</v>
      </c>
      <c r="S27" s="1579">
        <f t="shared" si="12"/>
        <v>100</v>
      </c>
      <c r="T27" s="1578" t="s">
        <v>8</v>
      </c>
      <c r="U27" s="1579">
        <f t="shared" si="13"/>
        <v>100</v>
      </c>
      <c r="V27" s="1578" t="s">
        <v>8</v>
      </c>
      <c r="W27" s="1579">
        <f t="shared" si="14"/>
        <v>100</v>
      </c>
      <c r="X27" s="1580"/>
      <c r="Y27" s="3505"/>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505"/>
      <c r="Q28" s="1573" t="str">
        <f t="shared" si="11"/>
        <v>公共部分装修</v>
      </c>
      <c r="R28" s="1574" t="s">
        <v>8</v>
      </c>
      <c r="S28" s="1575">
        <f t="shared" si="12"/>
        <v>100</v>
      </c>
      <c r="T28" s="1574" t="s">
        <v>8</v>
      </c>
      <c r="U28" s="1575">
        <f t="shared" si="13"/>
        <v>100</v>
      </c>
      <c r="V28" s="1574" t="s">
        <v>8</v>
      </c>
      <c r="W28" s="1575">
        <f t="shared" si="14"/>
        <v>100</v>
      </c>
      <c r="X28" s="1568"/>
      <c r="Y28" s="3505"/>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505"/>
      <c r="Q29" s="1573" t="str">
        <f t="shared" si="11"/>
        <v>成新率</v>
      </c>
      <c r="R29" s="1574" t="s">
        <v>8</v>
      </c>
      <c r="S29" s="1575" t="e">
        <f t="shared" si="12"/>
        <v>#N/A</v>
      </c>
      <c r="T29" s="1574" t="s">
        <v>8</v>
      </c>
      <c r="U29" s="1575" t="e">
        <f t="shared" si="13"/>
        <v>#N/A</v>
      </c>
      <c r="V29" s="1574" t="s">
        <v>8</v>
      </c>
      <c r="W29" s="1575" t="e">
        <f t="shared" si="14"/>
        <v>#N/A</v>
      </c>
      <c r="X29" s="1568"/>
      <c r="Y29" s="3505"/>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505"/>
      <c r="Q30" s="1573" t="str">
        <f t="shared" si="11"/>
        <v>物业等级</v>
      </c>
      <c r="R30" s="1574" t="s">
        <v>8</v>
      </c>
      <c r="S30" s="1575">
        <f t="shared" si="12"/>
        <v>100</v>
      </c>
      <c r="T30" s="1574" t="s">
        <v>8</v>
      </c>
      <c r="U30" s="1575">
        <f t="shared" si="13"/>
        <v>100</v>
      </c>
      <c r="V30" s="1574" t="s">
        <v>8</v>
      </c>
      <c r="W30" s="1575">
        <f t="shared" si="14"/>
        <v>100</v>
      </c>
      <c r="X30" s="1568"/>
      <c r="Y30" s="3505"/>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505"/>
      <c r="Q31" s="1151" t="str">
        <f t="shared" si="11"/>
        <v>停车位面积</v>
      </c>
      <c r="R31" s="1569" t="s">
        <v>8</v>
      </c>
      <c r="S31" s="1570" t="e">
        <f t="shared" si="12"/>
        <v>#N/A</v>
      </c>
      <c r="T31" s="1569" t="s">
        <v>8</v>
      </c>
      <c r="U31" s="1570" t="e">
        <f t="shared" si="13"/>
        <v>#N/A</v>
      </c>
      <c r="V31" s="1569" t="s">
        <v>8</v>
      </c>
      <c r="W31" s="1570" t="e">
        <f t="shared" si="14"/>
        <v>#N/A</v>
      </c>
      <c r="X31" s="1571"/>
      <c r="Y31" s="3505"/>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505" t="s">
        <v>548</v>
      </c>
      <c r="Q32" s="1573" t="str">
        <f t="shared" si="11"/>
        <v>车位类型</v>
      </c>
      <c r="R32" s="1574" t="s">
        <v>8</v>
      </c>
      <c r="S32" s="1575">
        <f t="shared" si="12"/>
        <v>100</v>
      </c>
      <c r="T32" s="1574" t="s">
        <v>8</v>
      </c>
      <c r="U32" s="1575">
        <f t="shared" si="13"/>
        <v>100</v>
      </c>
      <c r="V32" s="1574" t="s">
        <v>8</v>
      </c>
      <c r="W32" s="1575">
        <f t="shared" si="14"/>
        <v>100</v>
      </c>
      <c r="X32" s="1568"/>
      <c r="Y32" s="3505"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505"/>
      <c r="Q33" s="1573" t="str">
        <f t="shared" si="11"/>
        <v>是否直接入户</v>
      </c>
      <c r="R33" s="1574" t="s">
        <v>8</v>
      </c>
      <c r="S33" s="1575">
        <f t="shared" si="12"/>
        <v>100</v>
      </c>
      <c r="T33" s="1574" t="s">
        <v>8</v>
      </c>
      <c r="U33" s="1575">
        <f t="shared" si="13"/>
        <v>100</v>
      </c>
      <c r="V33" s="1574" t="s">
        <v>8</v>
      </c>
      <c r="W33" s="1575">
        <f t="shared" si="14"/>
        <v>100</v>
      </c>
      <c r="X33" s="1568"/>
      <c r="Y33" s="350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505"/>
      <c r="Q34" s="1573">
        <f t="shared" si="11"/>
        <v>111</v>
      </c>
      <c r="R34" s="1574" t="s">
        <v>8</v>
      </c>
      <c r="S34" s="1575">
        <f t="shared" si="12"/>
        <v>100</v>
      </c>
      <c r="T34" s="1574" t="s">
        <v>8</v>
      </c>
      <c r="U34" s="1575">
        <f t="shared" si="13"/>
        <v>100</v>
      </c>
      <c r="V34" s="1574" t="s">
        <v>8</v>
      </c>
      <c r="W34" s="1575">
        <f t="shared" si="14"/>
        <v>100</v>
      </c>
      <c r="X34" s="1568"/>
      <c r="Y34" s="350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505"/>
      <c r="Q35" s="1606">
        <f t="shared" si="11"/>
        <v>111</v>
      </c>
      <c r="R35" s="1578" t="s">
        <v>8</v>
      </c>
      <c r="S35" s="1579">
        <f t="shared" si="12"/>
        <v>100</v>
      </c>
      <c r="T35" s="1578" t="s">
        <v>8</v>
      </c>
      <c r="U35" s="1579">
        <f t="shared" si="13"/>
        <v>100</v>
      </c>
      <c r="V35" s="1578" t="s">
        <v>8</v>
      </c>
      <c r="W35" s="1579">
        <f t="shared" si="14"/>
        <v>100</v>
      </c>
      <c r="X35" s="1580"/>
      <c r="Y35" s="350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505"/>
      <c r="Q36" s="1573">
        <f t="shared" si="11"/>
        <v>111</v>
      </c>
      <c r="R36" s="1574" t="s">
        <v>8</v>
      </c>
      <c r="S36" s="1575">
        <f t="shared" si="12"/>
        <v>100</v>
      </c>
      <c r="T36" s="1574" t="s">
        <v>8</v>
      </c>
      <c r="U36" s="1575">
        <f t="shared" si="13"/>
        <v>100</v>
      </c>
      <c r="V36" s="1574" t="s">
        <v>8</v>
      </c>
      <c r="W36" s="1575">
        <f t="shared" si="14"/>
        <v>100</v>
      </c>
      <c r="X36" s="1568"/>
      <c r="Y36" s="3505"/>
      <c r="Z36" s="1576">
        <f t="shared" si="15"/>
        <v>111</v>
      </c>
      <c r="AA36" s="1577">
        <f t="shared" si="3"/>
        <v>1</v>
      </c>
      <c r="AB36" s="1577">
        <f t="shared" si="4"/>
        <v>1</v>
      </c>
      <c r="AC36" s="1577">
        <f t="shared" si="5"/>
        <v>1</v>
      </c>
    </row>
    <row r="37" spans="1:29" ht="15">
      <c r="A37" s="1846" t="s">
        <v>2075</v>
      </c>
      <c r="B37" s="1847" t="s">
        <v>2076</v>
      </c>
      <c r="C37" s="2606" t="s">
        <v>1</v>
      </c>
      <c r="D37" s="2607"/>
      <c r="E37" s="2608"/>
      <c r="F37" s="2609"/>
      <c r="G37" s="2610"/>
      <c r="H37" s="2611"/>
      <c r="I37" s="2608"/>
      <c r="J37" s="2611"/>
      <c r="K37" s="1612"/>
      <c r="L37" s="2144"/>
      <c r="M37" s="2145"/>
      <c r="N37" s="2134"/>
      <c r="O37" s="2145"/>
      <c r="P37" s="3467" t="str">
        <f>A37</f>
        <v>成交单价</v>
      </c>
      <c r="Q37" s="3467"/>
      <c r="R37" s="3584">
        <f>E37</f>
        <v>0</v>
      </c>
      <c r="S37" s="3584"/>
      <c r="T37" s="3584">
        <f>G37</f>
        <v>0</v>
      </c>
      <c r="U37" s="3584"/>
      <c r="V37" s="3584">
        <f>I37</f>
        <v>0</v>
      </c>
      <c r="W37" s="3584"/>
      <c r="X37" s="1560"/>
      <c r="Y37" s="1582"/>
      <c r="Z37" s="1560"/>
      <c r="AA37" s="1560"/>
      <c r="AB37" s="1560"/>
      <c r="AC37" s="1560"/>
    </row>
    <row r="38" spans="1:29" ht="15.75" thickBot="1">
      <c r="A38" s="615" t="s">
        <v>2757</v>
      </c>
      <c r="B38" s="888"/>
      <c r="C38" s="2612" t="e">
        <f>R39</f>
        <v>#DIV/0!</v>
      </c>
      <c r="D38" s="2613"/>
      <c r="E38" s="2614" t="e">
        <f>R38</f>
        <v>#DIV/0!</v>
      </c>
      <c r="F38" s="2614"/>
      <c r="G38" s="2612" t="e">
        <f>T38</f>
        <v>#DIV/0!</v>
      </c>
      <c r="H38" s="2613"/>
      <c r="I38" s="2614" t="e">
        <f>V38</f>
        <v>#DIV/0!</v>
      </c>
      <c r="J38" s="2613"/>
      <c r="K38" s="1613"/>
      <c r="L38" s="2144"/>
      <c r="M38" s="2145"/>
      <c r="N38" s="2145"/>
      <c r="O38" s="2145"/>
      <c r="P38" s="3467" t="str">
        <f>A38</f>
        <v>比较价格（元/平方米）</v>
      </c>
      <c r="Q38" s="3467"/>
      <c r="R38" s="3584" t="e">
        <f>IF(F1="售价",ROUND(PRODUCT(R37,AA7:AA36),0),ROUND(PRODUCT(R37,AA7:AA36),1))</f>
        <v>#DIV/0!</v>
      </c>
      <c r="S38" s="3584"/>
      <c r="T38" s="3584" t="e">
        <f>IF(F1="售价",ROUND(PRODUCT(T37,AB7:AB36),0),ROUND(PRODUCT(T37,AB7:AB36),1))</f>
        <v>#DIV/0!</v>
      </c>
      <c r="U38" s="3584"/>
      <c r="V38" s="3584" t="e">
        <f>IF(F1="售价",ROUND(PRODUCT(V37,AC7:AC36),0),ROUND(PRODUCT(V37,AC7:AC36),1))</f>
        <v>#DIV/0!</v>
      </c>
      <c r="W38" s="3584"/>
      <c r="X38" s="1560"/>
      <c r="Y38" s="1560"/>
      <c r="Z38" s="1560"/>
      <c r="AA38" s="1560"/>
      <c r="AB38" s="1560"/>
      <c r="AC38" s="1560"/>
    </row>
    <row r="39" spans="1:29" ht="15.75" thickBot="1">
      <c r="A39" s="621" t="s">
        <v>2920</v>
      </c>
      <c r="B39" s="622"/>
      <c r="C39" s="2615" t="e">
        <f>R39</f>
        <v>#DIV/0!</v>
      </c>
      <c r="D39" s="2615"/>
      <c r="E39" s="2615"/>
      <c r="F39" s="2615"/>
      <c r="G39" s="2615"/>
      <c r="H39" s="2615"/>
      <c r="I39" s="2615"/>
      <c r="J39" s="2615"/>
      <c r="K39" s="1614"/>
      <c r="L39" s="2144"/>
      <c r="M39" s="2145"/>
      <c r="N39" s="2145"/>
      <c r="O39" s="2145"/>
      <c r="P39" s="3464" t="str">
        <f>A39</f>
        <v>估价对象XX用房的比较价格（楼面单价，元/平方米）</v>
      </c>
      <c r="Q39" s="3465"/>
      <c r="R39" s="3583" t="e">
        <f>IF(F1="售价",ROUND(AVERAGE(R38:V38),0),ROUND(AVERAGE(R38:V38),1))</f>
        <v>#DIV/0!</v>
      </c>
      <c r="S39" s="3583"/>
      <c r="T39" s="3583"/>
      <c r="U39" s="3583"/>
      <c r="V39" s="3583"/>
      <c r="W39" s="3583"/>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572</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527</v>
      </c>
      <c r="B48" s="646"/>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573</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529</v>
      </c>
      <c r="B51" s="648"/>
      <c r="C51" s="660" t="s">
        <v>574</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575</v>
      </c>
      <c r="B53" s="665" t="s">
        <v>532</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2554</v>
      </c>
      <c r="C65" s="708" t="s">
        <v>577</v>
      </c>
      <c r="D65" s="708" t="s">
        <v>578</v>
      </c>
      <c r="E65" s="708" t="s">
        <v>579</v>
      </c>
      <c r="F65" s="708" t="s">
        <v>580</v>
      </c>
      <c r="G65" s="708" t="s">
        <v>581</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2555</v>
      </c>
      <c r="C67" s="2577" t="s">
        <v>2556</v>
      </c>
      <c r="D67" s="2577" t="s">
        <v>2557</v>
      </c>
      <c r="E67" s="2577" t="s">
        <v>2558</v>
      </c>
      <c r="F67" s="2577" t="s">
        <v>2559</v>
      </c>
      <c r="G67" s="2577" t="s">
        <v>2560</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708" t="s">
        <v>577</v>
      </c>
      <c r="D69" s="708" t="s">
        <v>578</v>
      </c>
      <c r="E69" s="708" t="s">
        <v>579</v>
      </c>
      <c r="F69" s="708" t="s">
        <v>580</v>
      </c>
      <c r="G69" s="708" t="s">
        <v>581</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743</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549</v>
      </c>
      <c r="B79" s="665" t="s">
        <v>812</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813</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749</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818</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85"/>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795</v>
      </c>
      <c r="B4" s="513"/>
      <c r="C4" s="3473" t="s">
        <v>796</v>
      </c>
      <c r="D4" s="3474"/>
      <c r="E4" s="3512" t="s">
        <v>797</v>
      </c>
      <c r="F4" s="3513"/>
      <c r="G4" s="3473" t="s">
        <v>798</v>
      </c>
      <c r="H4" s="3474"/>
      <c r="I4" s="3473" t="s">
        <v>799</v>
      </c>
      <c r="J4" s="3474"/>
      <c r="K4" s="514" t="s">
        <v>800</v>
      </c>
      <c r="L4" s="2133"/>
      <c r="M4" s="2134"/>
      <c r="N4" s="2134"/>
      <c r="O4" s="2134"/>
      <c r="P4" s="3475" t="s">
        <v>801</v>
      </c>
      <c r="Q4" s="3476"/>
      <c r="R4" s="3481" t="s">
        <v>797</v>
      </c>
      <c r="S4" s="3482"/>
      <c r="T4" s="3481" t="s">
        <v>798</v>
      </c>
      <c r="U4" s="3482"/>
      <c r="V4" s="3468" t="s">
        <v>799</v>
      </c>
      <c r="W4" s="3468"/>
      <c r="X4" s="1568"/>
      <c r="Y4" s="3481" t="s">
        <v>801</v>
      </c>
      <c r="Z4" s="3482"/>
      <c r="AA4" s="3470" t="s">
        <v>797</v>
      </c>
      <c r="AB4" s="3471" t="s">
        <v>798</v>
      </c>
      <c r="AC4" s="3470" t="s">
        <v>799</v>
      </c>
    </row>
    <row r="5" spans="1:29" ht="15">
      <c r="A5" s="515"/>
      <c r="B5" s="516"/>
      <c r="C5" s="3506" t="s">
        <v>2914</v>
      </c>
      <c r="D5" s="3507"/>
      <c r="E5" s="3514" t="s">
        <v>2915</v>
      </c>
      <c r="F5" s="3515"/>
      <c r="G5" s="3506" t="s">
        <v>2916</v>
      </c>
      <c r="H5" s="3507"/>
      <c r="I5" s="3506" t="s">
        <v>2917</v>
      </c>
      <c r="J5" s="3507"/>
      <c r="K5" s="514"/>
      <c r="L5" s="2133"/>
      <c r="M5" s="2134"/>
      <c r="N5" s="2134"/>
      <c r="O5" s="2134"/>
      <c r="P5" s="3477"/>
      <c r="Q5" s="3478"/>
      <c r="R5" s="3483"/>
      <c r="S5" s="3484"/>
      <c r="T5" s="3483"/>
      <c r="U5" s="3484"/>
      <c r="V5" s="3468"/>
      <c r="W5" s="3468"/>
      <c r="X5" s="1568"/>
      <c r="Y5" s="3483"/>
      <c r="Z5" s="3484"/>
      <c r="AA5" s="3471"/>
      <c r="AB5" s="3471"/>
      <c r="AC5" s="3471"/>
    </row>
    <row r="6" spans="1:29" ht="15.75" thickBot="1">
      <c r="A6" s="517"/>
      <c r="B6" s="518"/>
      <c r="C6" s="3508" t="s">
        <v>2918</v>
      </c>
      <c r="D6" s="3509"/>
      <c r="E6" s="3510" t="s">
        <v>2918</v>
      </c>
      <c r="F6" s="3511"/>
      <c r="G6" s="3508" t="s">
        <v>2918</v>
      </c>
      <c r="H6" s="3509"/>
      <c r="I6" s="3508" t="s">
        <v>2918</v>
      </c>
      <c r="J6" s="3509"/>
      <c r="K6" s="514" t="s">
        <v>526</v>
      </c>
      <c r="L6" s="2133"/>
      <c r="M6" s="2134"/>
      <c r="N6" s="2134"/>
      <c r="O6" s="2134"/>
      <c r="P6" s="3479"/>
      <c r="Q6" s="3480"/>
      <c r="R6" s="3483"/>
      <c r="S6" s="3484"/>
      <c r="T6" s="3485"/>
      <c r="U6" s="3486"/>
      <c r="V6" s="3468"/>
      <c r="W6" s="3468"/>
      <c r="X6" s="1568"/>
      <c r="Y6" s="3485"/>
      <c r="Z6" s="3486"/>
      <c r="AA6" s="3472"/>
      <c r="AB6" s="3472"/>
      <c r="AC6" s="3472"/>
    </row>
    <row r="7" spans="1:29" s="1220" customFormat="1" ht="15.75" thickBot="1">
      <c r="A7" s="2890"/>
      <c r="B7" s="2897" t="s">
        <v>527</v>
      </c>
      <c r="C7" s="519">
        <f>'数据-取费表'!B2</f>
        <v>43529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99" t="s">
        <v>528</v>
      </c>
      <c r="Q7" s="3501"/>
      <c r="R7" s="1569" t="s">
        <v>8</v>
      </c>
      <c r="S7" s="1570">
        <f t="shared" ref="S7:S14" si="0">F7</f>
        <v>0</v>
      </c>
      <c r="T7" s="1569" t="s">
        <v>8</v>
      </c>
      <c r="U7" s="1570">
        <f t="shared" ref="U7:U14" si="1">H7</f>
        <v>0</v>
      </c>
      <c r="V7" s="1569" t="s">
        <v>8</v>
      </c>
      <c r="W7" s="1570">
        <f t="shared" ref="W7:W14" si="2">J7</f>
        <v>0</v>
      </c>
      <c r="X7" s="1571"/>
      <c r="Y7" s="3499" t="s">
        <v>528</v>
      </c>
      <c r="Z7" s="3500"/>
      <c r="AA7" s="1572" t="e">
        <f>D7/F7</f>
        <v>#DIV/0!</v>
      </c>
      <c r="AB7" s="1572" t="e">
        <f>D7/H7</f>
        <v>#DIV/0!</v>
      </c>
      <c r="AC7" s="1572" t="e">
        <f>D7/J7</f>
        <v>#DIV/0!</v>
      </c>
    </row>
    <row r="8" spans="1:29" s="1220" customFormat="1" ht="15.75" thickBot="1">
      <c r="A8" s="2891"/>
      <c r="B8" s="2898" t="s">
        <v>529</v>
      </c>
      <c r="C8" s="525" t="s">
        <v>574</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99" t="s">
        <v>531</v>
      </c>
      <c r="Q8" s="3500"/>
      <c r="R8" s="1569" t="s">
        <v>8</v>
      </c>
      <c r="S8" s="1570">
        <f t="shared" si="0"/>
        <v>0</v>
      </c>
      <c r="T8" s="1569" t="s">
        <v>8</v>
      </c>
      <c r="U8" s="1570">
        <f t="shared" si="1"/>
        <v>0</v>
      </c>
      <c r="V8" s="1569" t="s">
        <v>8</v>
      </c>
      <c r="W8" s="1570">
        <f t="shared" si="2"/>
        <v>0</v>
      </c>
      <c r="X8" s="1571"/>
      <c r="Y8" s="3499" t="s">
        <v>531</v>
      </c>
      <c r="Z8" s="3500"/>
      <c r="AA8" s="1572" t="e">
        <f t="shared" ref="AA8:AA34" si="3">D8/F8</f>
        <v>#DIV/0!</v>
      </c>
      <c r="AB8" s="1572" t="e">
        <f t="shared" ref="AB8:AB34" si="4">D8/H8</f>
        <v>#DIV/0!</v>
      </c>
      <c r="AC8" s="1572" t="e">
        <f t="shared" ref="AC8:AC34" si="5">D8/J8</f>
        <v>#DIV/0!</v>
      </c>
    </row>
    <row r="9" spans="1:29" s="1220" customFormat="1" ht="15">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67" t="s">
        <v>533</v>
      </c>
      <c r="Q9" s="1151" t="str">
        <f t="shared" ref="Q9:Q14" si="6">B9</f>
        <v>用途</v>
      </c>
      <c r="R9" s="1569" t="s">
        <v>8</v>
      </c>
      <c r="S9" s="1570">
        <f t="shared" si="0"/>
        <v>100</v>
      </c>
      <c r="T9" s="1569" t="s">
        <v>8</v>
      </c>
      <c r="U9" s="1570">
        <f t="shared" si="1"/>
        <v>100</v>
      </c>
      <c r="V9" s="1569" t="s">
        <v>8</v>
      </c>
      <c r="W9" s="1570">
        <f t="shared" si="2"/>
        <v>100</v>
      </c>
      <c r="X9" s="1571"/>
      <c r="Y9" s="3374" t="s">
        <v>534</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67"/>
      <c r="Q10" s="1151" t="str">
        <f t="shared" si="6"/>
        <v>土地使用年限（年）</v>
      </c>
      <c r="R10" s="1569" t="s">
        <v>8</v>
      </c>
      <c r="S10" s="1570">
        <f t="shared" si="0"/>
        <v>100</v>
      </c>
      <c r="T10" s="1569" t="s">
        <v>8</v>
      </c>
      <c r="U10" s="1570">
        <f t="shared" si="1"/>
        <v>100</v>
      </c>
      <c r="V10" s="1569" t="s">
        <v>8</v>
      </c>
      <c r="W10" s="1570">
        <f t="shared" si="2"/>
        <v>100</v>
      </c>
      <c r="X10" s="1571"/>
      <c r="Y10" s="3374"/>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67"/>
      <c r="Q11" s="1151">
        <f t="shared" si="6"/>
        <v>111</v>
      </c>
      <c r="R11" s="1569" t="s">
        <v>8</v>
      </c>
      <c r="S11" s="1570">
        <f t="shared" si="0"/>
        <v>100</v>
      </c>
      <c r="T11" s="1569" t="s">
        <v>8</v>
      </c>
      <c r="U11" s="1570">
        <f t="shared" si="1"/>
        <v>100</v>
      </c>
      <c r="V11" s="1569" t="s">
        <v>8</v>
      </c>
      <c r="W11" s="1570">
        <f t="shared" si="2"/>
        <v>100</v>
      </c>
      <c r="X11" s="1571"/>
      <c r="Y11" s="3374"/>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67"/>
      <c r="Q12" s="1151">
        <f t="shared" si="6"/>
        <v>111</v>
      </c>
      <c r="R12" s="1569" t="s">
        <v>8</v>
      </c>
      <c r="S12" s="1570">
        <f t="shared" si="0"/>
        <v>100</v>
      </c>
      <c r="T12" s="1569" t="s">
        <v>8</v>
      </c>
      <c r="U12" s="1570">
        <f t="shared" si="1"/>
        <v>100</v>
      </c>
      <c r="V12" s="1569" t="s">
        <v>8</v>
      </c>
      <c r="W12" s="1570">
        <f t="shared" si="2"/>
        <v>100</v>
      </c>
      <c r="X12" s="1571"/>
      <c r="Y12" s="3374"/>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67"/>
      <c r="Q13" s="1151">
        <f t="shared" si="6"/>
        <v>111</v>
      </c>
      <c r="R13" s="1569" t="s">
        <v>8</v>
      </c>
      <c r="S13" s="1570">
        <f t="shared" si="0"/>
        <v>100</v>
      </c>
      <c r="T13" s="1569" t="s">
        <v>8</v>
      </c>
      <c r="U13" s="1570">
        <f t="shared" si="1"/>
        <v>100</v>
      </c>
      <c r="V13" s="1569" t="s">
        <v>8</v>
      </c>
      <c r="W13" s="1570">
        <f t="shared" si="2"/>
        <v>100</v>
      </c>
      <c r="X13" s="1571"/>
      <c r="Y13" s="3374"/>
      <c r="Z13" s="1150">
        <f t="shared" si="7"/>
        <v>111</v>
      </c>
      <c r="AA13" s="1572">
        <f t="shared" si="3"/>
        <v>1</v>
      </c>
      <c r="AB13" s="1572">
        <f t="shared" si="4"/>
        <v>1</v>
      </c>
      <c r="AC13" s="1572">
        <f t="shared" si="5"/>
        <v>1</v>
      </c>
    </row>
    <row r="14" spans="1:29" ht="15">
      <c r="A14" s="2888" t="s">
        <v>2751</v>
      </c>
      <c r="B14" s="166" t="s">
        <v>541</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502" t="s">
        <v>538</v>
      </c>
      <c r="Q14" s="1573" t="str">
        <f t="shared" si="6"/>
        <v>交通便捷度</v>
      </c>
      <c r="R14" s="1574" t="s">
        <v>8</v>
      </c>
      <c r="S14" s="1575">
        <f t="shared" si="0"/>
        <v>100</v>
      </c>
      <c r="T14" s="1574" t="s">
        <v>8</v>
      </c>
      <c r="U14" s="1575">
        <f t="shared" si="1"/>
        <v>100</v>
      </c>
      <c r="V14" s="1574" t="s">
        <v>8</v>
      </c>
      <c r="W14" s="1575">
        <f t="shared" si="2"/>
        <v>100</v>
      </c>
      <c r="X14" s="1568"/>
      <c r="Y14" s="3502"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503"/>
      <c r="Q15" s="1573"/>
      <c r="R15" s="1574"/>
      <c r="S15" s="1575"/>
      <c r="T15" s="1574"/>
      <c r="U15" s="1575"/>
      <c r="V15" s="1574"/>
      <c r="W15" s="1575"/>
      <c r="X15" s="1568"/>
      <c r="Y15" s="3503"/>
      <c r="Z15" s="1576"/>
      <c r="AA15" s="1577">
        <v>1</v>
      </c>
      <c r="AB15" s="1577">
        <v>1</v>
      </c>
      <c r="AC15" s="1577">
        <v>1</v>
      </c>
    </row>
    <row r="16" spans="1:29" ht="15">
      <c r="A16" s="532"/>
      <c r="B16" s="2582"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503"/>
      <c r="Q16" s="1573" t="str">
        <f>B16</f>
        <v>公共配套设施</v>
      </c>
      <c r="R16" s="1574" t="s">
        <v>8</v>
      </c>
      <c r="S16" s="1575">
        <f>F16</f>
        <v>100</v>
      </c>
      <c r="T16" s="1574" t="s">
        <v>8</v>
      </c>
      <c r="U16" s="1575">
        <f>H16</f>
        <v>100</v>
      </c>
      <c r="V16" s="1574" t="s">
        <v>8</v>
      </c>
      <c r="W16" s="1575">
        <f>J16</f>
        <v>100</v>
      </c>
      <c r="X16" s="1568"/>
      <c r="Y16" s="350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503"/>
      <c r="Q17" s="1573"/>
      <c r="R17" s="1574"/>
      <c r="S17" s="1575"/>
      <c r="T17" s="1574"/>
      <c r="U17" s="1575"/>
      <c r="V17" s="1574"/>
      <c r="W17" s="1575"/>
      <c r="X17" s="1568"/>
      <c r="Y17" s="3503"/>
      <c r="Z17" s="1576"/>
      <c r="AA17" s="1577">
        <v>1</v>
      </c>
      <c r="AB17" s="1577">
        <v>1</v>
      </c>
      <c r="AC17" s="1577">
        <v>1</v>
      </c>
    </row>
    <row r="18" spans="1:29" ht="15">
      <c r="A18" s="532"/>
      <c r="B18" s="2570"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503"/>
      <c r="Q18" s="2558" t="str">
        <f>B18</f>
        <v>基础设施水平</v>
      </c>
      <c r="R18" s="1574" t="s">
        <v>8</v>
      </c>
      <c r="S18" s="1575">
        <f>F18</f>
        <v>100</v>
      </c>
      <c r="T18" s="1574" t="s">
        <v>8</v>
      </c>
      <c r="U18" s="1575">
        <f>H18</f>
        <v>100</v>
      </c>
      <c r="V18" s="1574" t="s">
        <v>8</v>
      </c>
      <c r="W18" s="1575">
        <f>J18</f>
        <v>100</v>
      </c>
      <c r="X18" s="2560"/>
      <c r="Y18" s="3503"/>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503"/>
      <c r="Q19" s="2558"/>
      <c r="R19" s="1574"/>
      <c r="S19" s="1575"/>
      <c r="T19" s="1574"/>
      <c r="U19" s="1575"/>
      <c r="V19" s="1574"/>
      <c r="W19" s="1575"/>
      <c r="X19" s="2560"/>
      <c r="Y19" s="3503"/>
      <c r="Z19" s="2559"/>
      <c r="AA19" s="1577">
        <v>1</v>
      </c>
      <c r="AB19" s="1577">
        <v>1</v>
      </c>
      <c r="AC19" s="1577">
        <v>1</v>
      </c>
    </row>
    <row r="20" spans="1:29" ht="28.5">
      <c r="A20" s="532"/>
      <c r="B20" s="871" t="s">
        <v>802</v>
      </c>
      <c r="C20" s="872" t="str">
        <f>IF(B1="工业",估价对象房地状况!G7,估价对象房地状况!C9)</f>
        <v>自然较好，人文较差，总体一般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503"/>
      <c r="Q20" s="1573" t="str">
        <f>B20</f>
        <v>自然及人文环境</v>
      </c>
      <c r="R20" s="1574" t="s">
        <v>8</v>
      </c>
      <c r="S20" s="1575">
        <f>F20</f>
        <v>100</v>
      </c>
      <c r="T20" s="1574" t="s">
        <v>8</v>
      </c>
      <c r="U20" s="1575">
        <f>H20</f>
        <v>100</v>
      </c>
      <c r="V20" s="1574" t="s">
        <v>8</v>
      </c>
      <c r="W20" s="1575">
        <f>J20</f>
        <v>100</v>
      </c>
      <c r="X20" s="1568"/>
      <c r="Y20" s="350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503"/>
      <c r="Q21" s="1573"/>
      <c r="R21" s="1574"/>
      <c r="S21" s="1575"/>
      <c r="T21" s="1574"/>
      <c r="U21" s="1575"/>
      <c r="V21" s="1574"/>
      <c r="W21" s="1575"/>
      <c r="X21" s="1568"/>
      <c r="Y21" s="3503"/>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503"/>
      <c r="Q22" s="1573" t="str">
        <f>B22</f>
        <v>楼层</v>
      </c>
      <c r="R22" s="1574" t="s">
        <v>8</v>
      </c>
      <c r="S22" s="1575">
        <f>F22</f>
        <v>100</v>
      </c>
      <c r="T22" s="1574" t="s">
        <v>8</v>
      </c>
      <c r="U22" s="1575">
        <f>H22</f>
        <v>100</v>
      </c>
      <c r="V22" s="1574" t="s">
        <v>8</v>
      </c>
      <c r="W22" s="1575">
        <f>J22</f>
        <v>100</v>
      </c>
      <c r="X22" s="1568"/>
      <c r="Y22" s="350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503"/>
      <c r="Q23" s="1573">
        <f>B23</f>
        <v>111</v>
      </c>
      <c r="R23" s="1574" t="s">
        <v>8</v>
      </c>
      <c r="S23" s="1575">
        <f>F23</f>
        <v>100</v>
      </c>
      <c r="T23" s="1574" t="s">
        <v>8</v>
      </c>
      <c r="U23" s="1575">
        <f>H23</f>
        <v>100</v>
      </c>
      <c r="V23" s="1574" t="s">
        <v>8</v>
      </c>
      <c r="W23" s="1575">
        <f>J23</f>
        <v>100</v>
      </c>
      <c r="X23" s="1568"/>
      <c r="Y23" s="350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503"/>
      <c r="Q24" s="1573">
        <f t="shared" ref="Q24:Q34" si="11">B24</f>
        <v>111</v>
      </c>
      <c r="R24" s="1574" t="s">
        <v>8</v>
      </c>
      <c r="S24" s="1575">
        <f>F24</f>
        <v>100</v>
      </c>
      <c r="T24" s="1574" t="s">
        <v>8</v>
      </c>
      <c r="U24" s="1575">
        <f>H24</f>
        <v>100</v>
      </c>
      <c r="V24" s="1574" t="s">
        <v>8</v>
      </c>
      <c r="W24" s="1575">
        <f>J24</f>
        <v>100</v>
      </c>
      <c r="X24" s="1568"/>
      <c r="Y24" s="350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503"/>
      <c r="Q25" s="1151">
        <f t="shared" si="11"/>
        <v>111</v>
      </c>
      <c r="R25" s="1569" t="s">
        <v>8</v>
      </c>
      <c r="S25" s="1570">
        <f>F25</f>
        <v>100</v>
      </c>
      <c r="T25" s="1569" t="s">
        <v>8</v>
      </c>
      <c r="U25" s="1570">
        <f>H25</f>
        <v>100</v>
      </c>
      <c r="V25" s="1569" t="s">
        <v>8</v>
      </c>
      <c r="W25" s="1570">
        <f>J25</f>
        <v>100</v>
      </c>
      <c r="X25" s="1571"/>
      <c r="Y25" s="3503"/>
      <c r="Z25" s="1150">
        <f>Q25</f>
        <v>111</v>
      </c>
      <c r="AA25" s="1577">
        <f>D25/F25</f>
        <v>1</v>
      </c>
      <c r="AB25" s="1577">
        <f>D25/H25</f>
        <v>1</v>
      </c>
      <c r="AC25" s="1577">
        <f>D25/J25</f>
        <v>1</v>
      </c>
    </row>
    <row r="26" spans="1:29" ht="15">
      <c r="A26" s="2885" t="s">
        <v>2752</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504"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05"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505"/>
      <c r="Q27" s="1606" t="str">
        <f t="shared" si="11"/>
        <v>成新率</v>
      </c>
      <c r="R27" s="1578" t="s">
        <v>8</v>
      </c>
      <c r="S27" s="1579" t="e">
        <f t="shared" si="12"/>
        <v>#N/A</v>
      </c>
      <c r="T27" s="1578" t="s">
        <v>8</v>
      </c>
      <c r="U27" s="1579" t="e">
        <f t="shared" si="13"/>
        <v>#N/A</v>
      </c>
      <c r="V27" s="1578" t="s">
        <v>8</v>
      </c>
      <c r="W27" s="1579" t="e">
        <f t="shared" si="14"/>
        <v>#N/A</v>
      </c>
      <c r="X27" s="1580"/>
      <c r="Y27" s="3505"/>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505"/>
      <c r="Q28" s="1573" t="str">
        <f t="shared" si="11"/>
        <v>物业等级</v>
      </c>
      <c r="R28" s="1574" t="s">
        <v>8</v>
      </c>
      <c r="S28" s="1575">
        <f t="shared" si="12"/>
        <v>100</v>
      </c>
      <c r="T28" s="1574" t="s">
        <v>8</v>
      </c>
      <c r="U28" s="1575">
        <f t="shared" si="13"/>
        <v>100</v>
      </c>
      <c r="V28" s="1574" t="s">
        <v>8</v>
      </c>
      <c r="W28" s="1575">
        <f t="shared" si="14"/>
        <v>100</v>
      </c>
      <c r="X28" s="1568"/>
      <c r="Y28" s="3505"/>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505"/>
      <c r="Q29" s="1573" t="str">
        <f t="shared" si="11"/>
        <v>有无电梯</v>
      </c>
      <c r="R29" s="1574" t="s">
        <v>8</v>
      </c>
      <c r="S29" s="1575">
        <f t="shared" si="12"/>
        <v>100</v>
      </c>
      <c r="T29" s="1574" t="s">
        <v>8</v>
      </c>
      <c r="U29" s="1575">
        <f t="shared" si="13"/>
        <v>100</v>
      </c>
      <c r="V29" s="1574" t="s">
        <v>8</v>
      </c>
      <c r="W29" s="1575">
        <f t="shared" si="14"/>
        <v>100</v>
      </c>
      <c r="X29" s="1568"/>
      <c r="Y29" s="3505"/>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505"/>
      <c r="Q30" s="1573" t="str">
        <f t="shared" si="11"/>
        <v>建筑面积</v>
      </c>
      <c r="R30" s="1574" t="s">
        <v>8</v>
      </c>
      <c r="S30" s="1575" t="e">
        <f t="shared" si="12"/>
        <v>#N/A</v>
      </c>
      <c r="T30" s="1574" t="s">
        <v>8</v>
      </c>
      <c r="U30" s="1575" t="e">
        <f t="shared" si="13"/>
        <v>#N/A</v>
      </c>
      <c r="V30" s="1574" t="s">
        <v>8</v>
      </c>
      <c r="W30" s="1575" t="e">
        <f t="shared" si="14"/>
        <v>#N/A</v>
      </c>
      <c r="X30" s="1568"/>
      <c r="Y30" s="3505"/>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505"/>
      <c r="Q31" s="1151" t="str">
        <f t="shared" si="11"/>
        <v>是否封闭</v>
      </c>
      <c r="R31" s="1569" t="s">
        <v>8</v>
      </c>
      <c r="S31" s="1570">
        <f t="shared" si="12"/>
        <v>100</v>
      </c>
      <c r="T31" s="1569" t="s">
        <v>8</v>
      </c>
      <c r="U31" s="1570">
        <f t="shared" si="13"/>
        <v>100</v>
      </c>
      <c r="V31" s="1569" t="s">
        <v>8</v>
      </c>
      <c r="W31" s="1570">
        <f t="shared" si="14"/>
        <v>100</v>
      </c>
      <c r="X31" s="1571"/>
      <c r="Y31" s="350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505" t="s">
        <v>548</v>
      </c>
      <c r="Q32" s="1573">
        <f t="shared" si="11"/>
        <v>111</v>
      </c>
      <c r="R32" s="1574" t="s">
        <v>8</v>
      </c>
      <c r="S32" s="1575">
        <f t="shared" si="12"/>
        <v>100</v>
      </c>
      <c r="T32" s="1574" t="s">
        <v>8</v>
      </c>
      <c r="U32" s="1575">
        <f t="shared" si="13"/>
        <v>100</v>
      </c>
      <c r="V32" s="1574" t="s">
        <v>8</v>
      </c>
      <c r="W32" s="1575">
        <f t="shared" si="14"/>
        <v>100</v>
      </c>
      <c r="X32" s="1568"/>
      <c r="Y32" s="3505"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505"/>
      <c r="Q33" s="1573">
        <f t="shared" si="11"/>
        <v>111</v>
      </c>
      <c r="R33" s="1574" t="s">
        <v>8</v>
      </c>
      <c r="S33" s="1575">
        <f t="shared" si="12"/>
        <v>100</v>
      </c>
      <c r="T33" s="1574" t="s">
        <v>8</v>
      </c>
      <c r="U33" s="1575">
        <f t="shared" si="13"/>
        <v>100</v>
      </c>
      <c r="V33" s="1574" t="s">
        <v>8</v>
      </c>
      <c r="W33" s="1575">
        <f t="shared" si="14"/>
        <v>100</v>
      </c>
      <c r="X33" s="1568"/>
      <c r="Y33" s="350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505"/>
      <c r="Q34" s="1573">
        <f t="shared" si="11"/>
        <v>111</v>
      </c>
      <c r="R34" s="1574" t="s">
        <v>8</v>
      </c>
      <c r="S34" s="1575">
        <f t="shared" si="12"/>
        <v>100</v>
      </c>
      <c r="T34" s="1574" t="s">
        <v>8</v>
      </c>
      <c r="U34" s="1575">
        <f t="shared" si="13"/>
        <v>100</v>
      </c>
      <c r="V34" s="1574" t="s">
        <v>8</v>
      </c>
      <c r="W34" s="1575">
        <f t="shared" si="14"/>
        <v>100</v>
      </c>
      <c r="X34" s="1568"/>
      <c r="Y34" s="3505"/>
      <c r="Z34" s="1576">
        <f t="shared" si="15"/>
        <v>111</v>
      </c>
      <c r="AA34" s="1577">
        <f t="shared" si="3"/>
        <v>1</v>
      </c>
      <c r="AB34" s="1577">
        <f t="shared" si="4"/>
        <v>1</v>
      </c>
      <c r="AC34" s="1577">
        <f t="shared" si="5"/>
        <v>1</v>
      </c>
    </row>
    <row r="35" spans="1:29" ht="15">
      <c r="A35" s="607" t="s">
        <v>734</v>
      </c>
      <c r="B35" s="887"/>
      <c r="C35" s="2606" t="s">
        <v>1</v>
      </c>
      <c r="D35" s="2607"/>
      <c r="E35" s="2608"/>
      <c r="F35" s="2609"/>
      <c r="G35" s="2610"/>
      <c r="H35" s="2611"/>
      <c r="I35" s="2608"/>
      <c r="J35" s="2611"/>
      <c r="K35" s="1612"/>
      <c r="L35" s="2144"/>
      <c r="M35" s="2145"/>
      <c r="N35" s="2134"/>
      <c r="O35" s="2145"/>
      <c r="P35" s="3467" t="str">
        <f>A35</f>
        <v>成交单价（元/平方米）</v>
      </c>
      <c r="Q35" s="3467"/>
      <c r="R35" s="3584">
        <f>E35</f>
        <v>0</v>
      </c>
      <c r="S35" s="3584"/>
      <c r="T35" s="3584">
        <f>G35</f>
        <v>0</v>
      </c>
      <c r="U35" s="3584"/>
      <c r="V35" s="3584">
        <f>I35</f>
        <v>0</v>
      </c>
      <c r="W35" s="3584"/>
      <c r="X35" s="1560"/>
      <c r="Y35" s="1582"/>
      <c r="Z35" s="1560"/>
      <c r="AA35" s="1560"/>
      <c r="AB35" s="1560"/>
      <c r="AC35" s="1560"/>
    </row>
    <row r="36" spans="1:29" ht="15.75" thickBot="1">
      <c r="A36" s="615" t="s">
        <v>2757</v>
      </c>
      <c r="B36" s="888"/>
      <c r="C36" s="2612" t="e">
        <f>R37</f>
        <v>#DIV/0!</v>
      </c>
      <c r="D36" s="2613"/>
      <c r="E36" s="2614" t="e">
        <f>R36</f>
        <v>#DIV/0!</v>
      </c>
      <c r="F36" s="2614"/>
      <c r="G36" s="2612" t="e">
        <f>T36</f>
        <v>#DIV/0!</v>
      </c>
      <c r="H36" s="2613"/>
      <c r="I36" s="2614" t="e">
        <f>V36</f>
        <v>#DIV/0!</v>
      </c>
      <c r="J36" s="2613"/>
      <c r="K36" s="1613"/>
      <c r="L36" s="2144"/>
      <c r="M36" s="2145"/>
      <c r="N36" s="2134"/>
      <c r="O36" s="2145"/>
      <c r="P36" s="3467" t="str">
        <f>A36</f>
        <v>比较价格（元/平方米）</v>
      </c>
      <c r="Q36" s="3467"/>
      <c r="R36" s="3584" t="e">
        <f>IF(F1="售价",ROUND(PRODUCT(R35,AA7:AA34),0),ROUND(PRODUCT(R35,AA7:AA34),1))</f>
        <v>#DIV/0!</v>
      </c>
      <c r="S36" s="3584"/>
      <c r="T36" s="3584" t="e">
        <f>IF(F1="售价",ROUND(PRODUCT(T35,AB7:AB34),0),ROUND(PRODUCT(T35,AB7:AB34),1))</f>
        <v>#DIV/0!</v>
      </c>
      <c r="U36" s="3584"/>
      <c r="V36" s="3584" t="e">
        <f>IF(F1="售价",ROUND(PRODUCT(V35,AC7:AC34),0),ROUND(PRODUCT(V35,AC7:AC34),1))</f>
        <v>#DIV/0!</v>
      </c>
      <c r="W36" s="3584"/>
      <c r="X36" s="1560"/>
      <c r="Y36" s="1560"/>
      <c r="Z36" s="1560"/>
      <c r="AA36" s="1560"/>
      <c r="AB36" s="1560"/>
      <c r="AC36" s="1560"/>
    </row>
    <row r="37" spans="1:29" ht="15.75" thickBot="1">
      <c r="A37" s="621" t="s">
        <v>2920</v>
      </c>
      <c r="B37" s="622"/>
      <c r="C37" s="2615" t="e">
        <f>R37</f>
        <v>#DIV/0!</v>
      </c>
      <c r="D37" s="2615"/>
      <c r="E37" s="2615"/>
      <c r="F37" s="2615"/>
      <c r="G37" s="2615"/>
      <c r="H37" s="2615"/>
      <c r="I37" s="2615"/>
      <c r="J37" s="2615"/>
      <c r="K37" s="1614"/>
      <c r="L37" s="2144"/>
      <c r="M37" s="2145"/>
      <c r="N37" s="2145"/>
      <c r="O37" s="2145"/>
      <c r="P37" s="3464" t="str">
        <f>A37</f>
        <v>估价对象XX用房的比较价格（楼面单价，元/平方米）</v>
      </c>
      <c r="Q37" s="3465"/>
      <c r="R37" s="3583" t="e">
        <f>IF(F1="售价",ROUND(AVERAGE(R36:V36),0),ROUND(AVERAGE(R36:V36),1))</f>
        <v>#DIV/0!</v>
      </c>
      <c r="S37" s="3583"/>
      <c r="T37" s="3583"/>
      <c r="U37" s="3583"/>
      <c r="V37" s="3583"/>
      <c r="W37" s="3583"/>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572</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527</v>
      </c>
      <c r="B46" s="646"/>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573</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529</v>
      </c>
      <c r="B49" s="648"/>
      <c r="C49" s="660" t="s">
        <v>574</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575</v>
      </c>
      <c r="B51" s="665" t="s">
        <v>532</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2554</v>
      </c>
      <c r="C63" s="708" t="s">
        <v>577</v>
      </c>
      <c r="D63" s="708" t="s">
        <v>578</v>
      </c>
      <c r="E63" s="708" t="s">
        <v>579</v>
      </c>
      <c r="F63" s="708" t="s">
        <v>580</v>
      </c>
      <c r="G63" s="708" t="s">
        <v>581</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2555</v>
      </c>
      <c r="C65" s="2577" t="s">
        <v>2556</v>
      </c>
      <c r="D65" s="2577" t="s">
        <v>2557</v>
      </c>
      <c r="E65" s="2577" t="s">
        <v>2558</v>
      </c>
      <c r="F65" s="2577" t="s">
        <v>2559</v>
      </c>
      <c r="G65" s="2577" t="s">
        <v>2560</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742</v>
      </c>
      <c r="C67" s="708" t="s">
        <v>577</v>
      </c>
      <c r="D67" s="708" t="s">
        <v>578</v>
      </c>
      <c r="E67" s="708" t="s">
        <v>579</v>
      </c>
      <c r="F67" s="708" t="s">
        <v>580</v>
      </c>
      <c r="G67" s="708" t="s">
        <v>581</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549</v>
      </c>
      <c r="B77" s="665" t="s">
        <v>749</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815</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823</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825</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2301</v>
      </c>
      <c r="C1" s="3602" t="s">
        <v>2302</v>
      </c>
      <c r="D1" s="3603"/>
      <c r="E1" s="3603"/>
      <c r="F1" s="3603"/>
      <c r="G1" s="3603"/>
      <c r="H1" s="3603"/>
      <c r="I1" s="3603"/>
      <c r="J1" s="3603"/>
      <c r="K1" s="3603"/>
      <c r="L1" s="3603"/>
      <c r="M1" s="3603"/>
      <c r="N1" s="3603"/>
      <c r="O1" s="3603"/>
      <c r="P1" s="3603"/>
      <c r="Q1" s="3603"/>
      <c r="R1" s="3603"/>
      <c r="S1" s="3604"/>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1" t="s">
        <v>2913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3" t="s">
        <v>2912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3" t="s">
        <v>2911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2"/>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1" t="s">
        <v>2926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1" t="s">
        <v>2910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1" t="s">
        <v>2909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826</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827</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828</v>
      </c>
      <c r="B22" s="53">
        <f>SUM(B24:B10000)</f>
        <v>0</v>
      </c>
      <c r="C22" s="3599" t="s">
        <v>20</v>
      </c>
      <c r="D22" s="3600"/>
      <c r="E22" s="3600"/>
      <c r="F22" s="3600"/>
      <c r="G22" s="3600"/>
      <c r="H22" s="3600"/>
      <c r="I22" s="3600"/>
      <c r="J22" s="3600"/>
      <c r="K22" s="3600"/>
      <c r="L22" s="3600"/>
      <c r="M22" s="3600"/>
      <c r="N22" s="3600"/>
      <c r="O22" s="3600"/>
      <c r="P22" s="3600"/>
      <c r="Q22" s="3601"/>
      <c r="R22" s="490"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2785</v>
      </c>
      <c r="C1" s="2982">
        <f>项目基本情况!D3</f>
        <v>43529</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2816</v>
      </c>
      <c r="C2" s="2983">
        <f>'数据-取费表'!B22</f>
        <v>2</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8" t="s">
        <v>2036</v>
      </c>
      <c r="B1" s="3258"/>
      <c r="C1" s="3258"/>
      <c r="D1" s="3258"/>
      <c r="E1" s="3258"/>
      <c r="F1" s="3258"/>
      <c r="G1" s="3258"/>
      <c r="H1" s="3258"/>
      <c r="I1" s="3258"/>
      <c r="J1" s="3258"/>
      <c r="K1" s="3258"/>
      <c r="L1" s="3258"/>
      <c r="M1" s="3258"/>
      <c r="N1" s="3258"/>
      <c r="O1" s="3258"/>
      <c r="P1" s="3258"/>
      <c r="Q1" s="3258"/>
      <c r="R1" s="3258"/>
    </row>
    <row r="2" spans="1:18">
      <c r="A2" s="1807" t="s">
        <v>2038</v>
      </c>
      <c r="B2" s="1807"/>
      <c r="C2" s="1807"/>
      <c r="D2" s="1807"/>
      <c r="E2" s="1807"/>
      <c r="F2" s="1807"/>
      <c r="G2" s="1807"/>
      <c r="H2" s="1807"/>
      <c r="I2" s="1808"/>
      <c r="J2" s="1808"/>
      <c r="K2" s="1809" t="str">
        <f>"估价期日："&amp;TEXT(项目基本情况!D3,"yyyy年m月d日;;")</f>
        <v>估价期日：2019年3月5日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59" t="s">
        <v>2027</v>
      </c>
      <c r="B3" s="3259" t="s">
        <v>2728</v>
      </c>
      <c r="C3" s="3260" t="s">
        <v>2028</v>
      </c>
      <c r="D3" s="3259" t="s">
        <v>2732</v>
      </c>
      <c r="E3" s="3262" t="s">
        <v>2029</v>
      </c>
      <c r="F3" s="3262"/>
      <c r="G3" s="3262"/>
      <c r="H3" s="3262" t="s">
        <v>2030</v>
      </c>
      <c r="I3" s="3262"/>
      <c r="J3" s="3262"/>
      <c r="K3" s="3260" t="s">
        <v>2031</v>
      </c>
      <c r="L3" s="3260" t="s">
        <v>2032</v>
      </c>
      <c r="M3" s="3259" t="s">
        <v>2729</v>
      </c>
      <c r="N3" s="3261" t="str">
        <f>"（分摊）"&amp;项目基本情况!B16&amp;"国有建设用地使用权面积/㎡"</f>
        <v>（分摊）出让国有建设用地使用权面积/㎡</v>
      </c>
      <c r="O3" s="3259" t="s">
        <v>2061</v>
      </c>
      <c r="P3" s="3260" t="s">
        <v>2041</v>
      </c>
      <c r="Q3" s="3260" t="s">
        <v>2062</v>
      </c>
      <c r="R3" s="3260" t="s">
        <v>2033</v>
      </c>
    </row>
    <row r="4" spans="1:18" ht="36.75" customHeight="1">
      <c r="A4" s="3259"/>
      <c r="B4" s="3259"/>
      <c r="C4" s="3260"/>
      <c r="D4" s="3259"/>
      <c r="E4" s="2628" t="s">
        <v>2040</v>
      </c>
      <c r="F4" s="2628" t="s">
        <v>2741</v>
      </c>
      <c r="G4" s="2628" t="s">
        <v>2034</v>
      </c>
      <c r="H4" s="2628" t="s">
        <v>2035</v>
      </c>
      <c r="I4" s="2628" t="s">
        <v>2742</v>
      </c>
      <c r="J4" s="2628" t="s">
        <v>2034</v>
      </c>
      <c r="K4" s="3260"/>
      <c r="L4" s="3260"/>
      <c r="M4" s="3259"/>
      <c r="N4" s="3261"/>
      <c r="O4" s="3259"/>
      <c r="P4" s="3260"/>
      <c r="Q4" s="3260"/>
      <c r="R4" s="3260"/>
    </row>
    <row r="5" spans="1:18" ht="135" customHeight="1">
      <c r="A5" s="1943" t="s">
        <v>2652</v>
      </c>
      <c r="B5" s="2845" t="s">
        <v>2650</v>
      </c>
      <c r="C5" s="2627">
        <v>22</v>
      </c>
      <c r="D5" s="2626" t="s">
        <v>2651</v>
      </c>
      <c r="E5" s="1810" t="str">
        <f>项目基本情况!B12</f>
        <v>住宅</v>
      </c>
      <c r="F5" s="2626">
        <v>258</v>
      </c>
      <c r="G5" s="1810" t="str">
        <f>项目基本情况!B13</f>
        <v>住宅、商业、地下车库</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73464.09</v>
      </c>
      <c r="O5" s="1810">
        <f>项目基本情况!C21</f>
        <v>252351.54</v>
      </c>
      <c r="P5" s="1810">
        <f ca="1">结果表!E42</f>
        <v>12574</v>
      </c>
      <c r="Q5" s="1810">
        <f ca="1">结果表!D42</f>
        <v>3661</v>
      </c>
      <c r="R5" s="1811">
        <f ca="1">结果表!C42</f>
        <v>92374</v>
      </c>
    </row>
    <row r="6" spans="1:18">
      <c r="A6" s="3263" t="str">
        <f>IF(项目基本情况!B9="市场价格","——","抵押价格")</f>
        <v>抵押价格</v>
      </c>
      <c r="B6" s="3264"/>
      <c r="C6" s="3264"/>
      <c r="D6" s="3264"/>
      <c r="E6" s="3264"/>
      <c r="F6" s="3264"/>
      <c r="G6" s="3264"/>
      <c r="H6" s="3264"/>
      <c r="I6" s="3264"/>
      <c r="J6" s="3264"/>
      <c r="K6" s="3264"/>
      <c r="L6" s="3264"/>
      <c r="M6" s="3264"/>
      <c r="N6" s="3264"/>
      <c r="O6" s="3264"/>
      <c r="P6" s="3264"/>
      <c r="Q6" s="3265"/>
      <c r="R6" s="1812">
        <f ca="1">结果表!O39</f>
        <v>92374</v>
      </c>
    </row>
    <row r="7" spans="1:18">
      <c r="A7" s="3263" t="str">
        <f>IF(项目基本情况!B9="市场价格","——",IF(项目基本情况!E8="已注销及未注销","抵押担保权已注销时的抵押价格","——"))</f>
        <v>——</v>
      </c>
      <c r="B7" s="3264"/>
      <c r="C7" s="3264"/>
      <c r="D7" s="3264"/>
      <c r="E7" s="3264"/>
      <c r="F7" s="3264"/>
      <c r="G7" s="3264"/>
      <c r="H7" s="3264"/>
      <c r="I7" s="3264"/>
      <c r="J7" s="3264"/>
      <c r="K7" s="3264"/>
      <c r="L7" s="3264"/>
      <c r="M7" s="3264"/>
      <c r="N7" s="3264"/>
      <c r="O7" s="3264"/>
      <c r="P7" s="3264"/>
      <c r="Q7" s="3265"/>
      <c r="R7" s="1812" t="str">
        <f>结果表!O40</f>
        <v>——</v>
      </c>
    </row>
    <row r="8" spans="1:18">
      <c r="A8" s="3263" t="str">
        <f>IF(项目基本情况!B9="市场价格","——",项目基本情况!E9)</f>
        <v>抵押净值</v>
      </c>
      <c r="B8" s="3264"/>
      <c r="C8" s="3264"/>
      <c r="D8" s="3264"/>
      <c r="E8" s="3264"/>
      <c r="F8" s="3264"/>
      <c r="G8" s="3264"/>
      <c r="H8" s="3264"/>
      <c r="I8" s="3264"/>
      <c r="J8" s="3264"/>
      <c r="K8" s="3264"/>
      <c r="L8" s="3264"/>
      <c r="M8" s="3264"/>
      <c r="N8" s="3264"/>
      <c r="O8" s="3264"/>
      <c r="P8" s="3264"/>
      <c r="Q8" s="3265"/>
      <c r="R8" s="1812">
        <f ca="1">结果表!O41</f>
        <v>34842</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67" t="s">
        <v>2063</v>
      </c>
      <c r="B1" s="3267"/>
      <c r="C1" s="3267"/>
      <c r="D1" s="3267"/>
    </row>
    <row r="2" spans="1:4" ht="47.25" customHeight="1">
      <c r="A2" s="3268" t="str">
        <f>"1.权利限制："&amp;项目基本情况!L24&amp;"未设定租赁等其他他项权利。"</f>
        <v>1.权利限制：根据估价对象《不动产权证书》原件、《国有土地使用权》复印件，截至估价期日，估价对象抵押权未见登记。未设定租赁等其他他项权利。</v>
      </c>
      <c r="B2" s="3268"/>
      <c r="C2" s="3268"/>
      <c r="D2" s="3268"/>
    </row>
    <row r="3" spans="1:4" ht="48" customHeight="1">
      <c r="A3" s="326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67"/>
      <c r="C3" s="3267"/>
      <c r="D3" s="3267"/>
    </row>
    <row r="4" spans="1:4" ht="36.75" customHeight="1">
      <c r="A4" s="3267" t="str">
        <f>"3.估价规划限制条件：详见"&amp;项目基本情况!E21&amp;"。"</f>
        <v>3.估价规划限制条件：详见。</v>
      </c>
      <c r="B4" s="3267"/>
      <c r="C4" s="3267"/>
      <c r="D4" s="3267"/>
    </row>
    <row r="5" spans="1:4">
      <c r="A5" s="3266" t="s">
        <v>2064</v>
      </c>
      <c r="B5" s="3266"/>
      <c r="C5" s="3266"/>
      <c r="D5" s="3266"/>
    </row>
    <row r="6" spans="1:4">
      <c r="A6" s="3267" t="s">
        <v>2042</v>
      </c>
      <c r="B6" s="3267"/>
      <c r="C6" s="3267"/>
      <c r="D6" s="3267"/>
    </row>
    <row r="7" spans="1:4" ht="33" customHeight="1">
      <c r="A7" s="3267" t="s">
        <v>2572</v>
      </c>
      <c r="B7" s="3267"/>
      <c r="C7" s="3267"/>
      <c r="D7" s="3267"/>
    </row>
    <row r="8" spans="1:4" ht="32.25" customHeight="1">
      <c r="A8" s="32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7"/>
      <c r="C8" s="3267"/>
      <c r="D8" s="3267"/>
    </row>
    <row r="9" spans="1:4" ht="33.75" customHeight="1">
      <c r="A9" s="32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7"/>
      <c r="C9" s="3267"/>
      <c r="D9" s="3267"/>
    </row>
    <row r="10" spans="1:4">
      <c r="A10" s="3267" t="str">
        <f>IF(项目基本情况!B8="抵押","4.估价师所知悉的法定优先受偿款情况为：","——")</f>
        <v>4.估价师所知悉的法定优先受偿款情况为：</v>
      </c>
      <c r="B10" s="3267"/>
      <c r="C10" s="3267"/>
      <c r="D10" s="3267"/>
    </row>
    <row r="11" spans="1:4" ht="37.5" customHeight="1">
      <c r="A11" s="326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69"/>
      <c r="C11" s="3269"/>
      <c r="D11" s="3269"/>
    </row>
    <row r="12" spans="1:4" ht="168" customHeight="1">
      <c r="A12" s="3266" t="s">
        <v>2066</v>
      </c>
      <c r="B12" s="3266"/>
      <c r="C12" s="3266"/>
      <c r="D12" s="3266"/>
    </row>
    <row r="13" spans="1:4">
      <c r="A13" s="3270" t="s">
        <v>2743</v>
      </c>
      <c r="B13" s="3270"/>
      <c r="C13" s="3270"/>
      <c r="D13" s="3270"/>
    </row>
    <row r="14" spans="1:4">
      <c r="A14" s="3269" t="str">
        <f>IF(项目基本情况!B8="抵押","综上，"&amp;结果表!K47,"——")</f>
        <v>综上，本次评估不存在估价师知悉的法定优先受偿款</v>
      </c>
      <c r="B14" s="3269"/>
      <c r="C14" s="3269"/>
      <c r="D14" s="3269"/>
    </row>
    <row r="15" spans="1:4" ht="58.5" customHeight="1">
      <c r="A15" s="32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7"/>
      <c r="C15" s="3267"/>
      <c r="D15" s="3267"/>
    </row>
    <row r="16" spans="1:4" ht="70.5" customHeight="1">
      <c r="A16" s="32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7"/>
      <c r="C16" s="3267"/>
      <c r="D16" s="3267"/>
    </row>
    <row r="17" spans="1:4">
      <c r="A17" s="3267" t="s">
        <v>2699</v>
      </c>
      <c r="B17" s="3267"/>
      <c r="C17" s="3267"/>
      <c r="D17" s="3267"/>
    </row>
    <row r="18" spans="1:4">
      <c r="A18" s="3267" t="s">
        <v>2691</v>
      </c>
      <c r="B18" s="3267"/>
      <c r="C18" s="3267"/>
      <c r="D18" s="3267"/>
    </row>
    <row r="19" spans="1:4">
      <c r="A19" s="2846" t="s">
        <v>2692</v>
      </c>
      <c r="B19" s="2846" t="s">
        <v>2693</v>
      </c>
      <c r="C19" s="2846" t="s">
        <v>2694</v>
      </c>
      <c r="D19" s="2846" t="s">
        <v>2695</v>
      </c>
    </row>
    <row r="20" spans="1:4">
      <c r="A20" s="2846" t="str">
        <f>项目基本情况!B4</f>
        <v>郑燚</v>
      </c>
      <c r="B20" s="2846">
        <f ca="1">项目基本情况!C4</f>
        <v>2014110011</v>
      </c>
      <c r="C20" s="2848"/>
      <c r="D20" s="1800" t="s">
        <v>2700</v>
      </c>
    </row>
    <row r="21" spans="1:4">
      <c r="A21" s="2846" t="str">
        <f>项目基本情况!D4</f>
        <v>王鹏</v>
      </c>
      <c r="B21" s="2846">
        <f ca="1">项目基本情况!E4</f>
        <v>2002110030</v>
      </c>
      <c r="C21" s="2848"/>
      <c r="D21" s="1800" t="s">
        <v>2701</v>
      </c>
    </row>
    <row r="23" spans="1:4">
      <c r="A23" s="3267" t="s">
        <v>2696</v>
      </c>
      <c r="B23" s="3267"/>
      <c r="C23" s="3267"/>
      <c r="D23" s="3267"/>
    </row>
    <row r="24" spans="1:4">
      <c r="A24" s="2846" t="s">
        <v>2692</v>
      </c>
      <c r="B24" s="2846" t="s">
        <v>2697</v>
      </c>
      <c r="C24" s="2846" t="s">
        <v>2694</v>
      </c>
      <c r="D24" s="2846" t="s">
        <v>2695</v>
      </c>
    </row>
    <row r="25" spans="1:4">
      <c r="A25" s="2849" t="s">
        <v>2698</v>
      </c>
      <c r="B25" s="2846" t="s">
        <v>950</v>
      </c>
      <c r="C25" s="2848"/>
      <c r="D25" s="1800" t="s">
        <v>2701</v>
      </c>
    </row>
    <row r="29" spans="1:4">
      <c r="D29" s="2847" t="s">
        <v>2037</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278" t="s">
        <v>53</v>
      </c>
      <c r="B15" s="3279" t="s">
        <v>844</v>
      </c>
      <c r="C15" s="3275"/>
    </row>
    <row r="16" spans="1:7" ht="14.25">
      <c r="A16" s="3278"/>
      <c r="B16" s="3276" t="s">
        <v>54</v>
      </c>
      <c r="C16" s="1172" t="s">
        <v>53</v>
      </c>
    </row>
    <row r="17" spans="1:3" ht="14.25">
      <c r="A17" s="3278"/>
      <c r="B17" s="3276"/>
      <c r="C17" s="1172" t="s">
        <v>55</v>
      </c>
    </row>
    <row r="18" spans="1:3" ht="14.25">
      <c r="A18" s="3278"/>
      <c r="B18" s="3276"/>
      <c r="C18" s="1172" t="s">
        <v>56</v>
      </c>
    </row>
    <row r="19" spans="1:3" ht="14.25">
      <c r="A19" s="3278"/>
      <c r="B19" s="3274" t="s">
        <v>57</v>
      </c>
      <c r="C19" s="3275"/>
    </row>
    <row r="20" spans="1:3" ht="14.25">
      <c r="A20" s="1173" t="s">
        <v>58</v>
      </c>
      <c r="B20" s="1174"/>
      <c r="C20" s="1175"/>
    </row>
    <row r="21" spans="1:3" ht="14.25">
      <c r="A21" s="3277" t="s">
        <v>59</v>
      </c>
      <c r="B21" s="3274" t="s">
        <v>60</v>
      </c>
      <c r="C21" s="3275"/>
    </row>
    <row r="22" spans="1:3" ht="14.25">
      <c r="A22" s="3277"/>
      <c r="B22" s="3274" t="s">
        <v>61</v>
      </c>
      <c r="C22" s="3275"/>
    </row>
    <row r="23" spans="1:3" ht="14.25">
      <c r="A23" s="3277"/>
      <c r="B23" s="3274" t="s">
        <v>62</v>
      </c>
      <c r="C23" s="3275"/>
    </row>
    <row r="24" spans="1:3" ht="14.25">
      <c r="A24" s="3277"/>
      <c r="B24" s="3280" t="s">
        <v>63</v>
      </c>
      <c r="C24" s="1176" t="s">
        <v>835</v>
      </c>
    </row>
    <row r="25" spans="1:3" ht="14.25">
      <c r="A25" s="3277"/>
      <c r="B25" s="3281"/>
      <c r="C25" s="1176" t="s">
        <v>836</v>
      </c>
    </row>
    <row r="26" spans="1:3" ht="14.25">
      <c r="A26" s="3277"/>
      <c r="B26" s="3281"/>
      <c r="C26" s="1176" t="s">
        <v>837</v>
      </c>
    </row>
    <row r="27" spans="1:3" ht="14.25">
      <c r="A27" s="3277"/>
      <c r="B27" s="3281"/>
      <c r="C27" s="1176" t="s">
        <v>838</v>
      </c>
    </row>
    <row r="28" spans="1:3" ht="14.25">
      <c r="A28" s="3277"/>
      <c r="B28" s="3281"/>
      <c r="C28" s="1176" t="s">
        <v>839</v>
      </c>
    </row>
    <row r="29" spans="1:3" ht="14.25">
      <c r="A29" s="3277"/>
      <c r="B29" s="3281"/>
      <c r="C29" s="1176" t="s">
        <v>840</v>
      </c>
    </row>
    <row r="30" spans="1:3" ht="14.25">
      <c r="A30" s="3277"/>
      <c r="B30" s="3281"/>
      <c r="C30" s="1176" t="s">
        <v>841</v>
      </c>
    </row>
    <row r="31" spans="1:3" ht="14.25">
      <c r="A31" s="3277"/>
      <c r="B31" s="3281"/>
      <c r="C31" s="1176" t="s">
        <v>842</v>
      </c>
    </row>
    <row r="32" spans="1:3" ht="14.25">
      <c r="A32" s="3277"/>
      <c r="B32" s="3281"/>
      <c r="C32" s="1176" t="s">
        <v>1645</v>
      </c>
    </row>
    <row r="33" spans="1:3" ht="14.25">
      <c r="A33" s="3277"/>
      <c r="B33" s="3271" t="s">
        <v>1651</v>
      </c>
      <c r="C33" s="1176" t="s">
        <v>1646</v>
      </c>
    </row>
    <row r="34" spans="1:3" ht="14.25">
      <c r="A34" s="3277"/>
      <c r="B34" s="3272"/>
      <c r="C34" s="1181" t="s">
        <v>1647</v>
      </c>
    </row>
    <row r="35" spans="1:3" ht="14.25">
      <c r="A35" s="3277"/>
      <c r="B35" s="3272"/>
      <c r="C35" s="1182" t="s">
        <v>1648</v>
      </c>
    </row>
    <row r="36" spans="1:3" ht="14.25">
      <c r="A36" s="3277"/>
      <c r="B36" s="3272"/>
      <c r="C36" s="1182" t="s">
        <v>1649</v>
      </c>
    </row>
    <row r="37" spans="1:3" ht="14.25">
      <c r="A37" s="3277"/>
      <c r="B37" s="3273"/>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0" customWidth="1"/>
    <col min="2" max="5" width="22.625" style="3150"/>
    <col min="6" max="6" width="25.625" style="3150" customWidth="1"/>
    <col min="7" max="16384" width="22.625" style="3150"/>
  </cols>
  <sheetData>
    <row r="2" spans="1:6" ht="20.25" customHeight="1">
      <c r="A2" s="3147" t="s">
        <v>1906</v>
      </c>
      <c r="B2" s="3148">
        <f ca="1">TODAY()</f>
        <v>43537</v>
      </c>
      <c r="C2" s="3149" t="s">
        <v>1907</v>
      </c>
      <c r="D2" s="3149"/>
    </row>
    <row r="3" spans="1:6" ht="20.25" customHeight="1">
      <c r="A3" s="3151" t="s">
        <v>1908</v>
      </c>
      <c r="B3" s="3152" t="s">
        <v>1909</v>
      </c>
      <c r="C3" s="3152" t="s">
        <v>1910</v>
      </c>
      <c r="D3" s="3153" t="s">
        <v>1911</v>
      </c>
      <c r="E3" s="3152" t="s">
        <v>1912</v>
      </c>
      <c r="F3" s="3152" t="s">
        <v>1910</v>
      </c>
    </row>
    <row r="4" spans="1:6" ht="20.25" customHeight="1">
      <c r="A4" s="3152" t="s">
        <v>1913</v>
      </c>
      <c r="B4" s="3152">
        <f ca="1">IF(C4&lt;B2,"已过期",1119970066)</f>
        <v>1119970066</v>
      </c>
      <c r="C4" s="3154">
        <v>43849</v>
      </c>
      <c r="D4" s="3152" t="s">
        <v>1913</v>
      </c>
      <c r="E4" s="3152">
        <f ca="1">IF(F4&lt;B2,"已过期",96010014)</f>
        <v>96010014</v>
      </c>
      <c r="F4" s="3155">
        <v>47118</v>
      </c>
    </row>
    <row r="5" spans="1:6" ht="20.25" customHeight="1">
      <c r="A5" s="3152" t="s">
        <v>1914</v>
      </c>
      <c r="B5" s="3152">
        <f ca="1">IF(C5&lt;B2,"已过期",1119970074)</f>
        <v>1119970074</v>
      </c>
      <c r="C5" s="3154">
        <v>43849</v>
      </c>
      <c r="D5" s="3152" t="s">
        <v>1914</v>
      </c>
      <c r="E5" s="3152">
        <f ca="1">IF(F5&lt;B2,"已过期",2002110027)</f>
        <v>2002110027</v>
      </c>
      <c r="F5" s="3155">
        <v>46752</v>
      </c>
    </row>
    <row r="6" spans="1:6" ht="20.25" customHeight="1">
      <c r="A6" s="3152" t="s">
        <v>1915</v>
      </c>
      <c r="B6" s="3152">
        <f ca="1">IF(C6&lt;B2,"已过期",1119970111)</f>
        <v>1119970111</v>
      </c>
      <c r="C6" s="3154">
        <v>43849</v>
      </c>
      <c r="D6" s="3152" t="s">
        <v>1915</v>
      </c>
      <c r="E6" s="3152">
        <f ca="1">IF(F6&lt;B2,"已过期",94010078)</f>
        <v>94010078</v>
      </c>
      <c r="F6" s="3155">
        <v>46387</v>
      </c>
    </row>
    <row r="7" spans="1:6" ht="20.25" customHeight="1">
      <c r="A7" s="3152" t="s">
        <v>1916</v>
      </c>
      <c r="B7" s="3152">
        <f ca="1">IF(C7&lt;B2,"已过期",1120050019)</f>
        <v>1120050019</v>
      </c>
      <c r="C7" s="3154">
        <v>44395</v>
      </c>
      <c r="D7" s="3152" t="s">
        <v>1916</v>
      </c>
      <c r="E7" s="3152">
        <f ca="1">IF(F7&lt;B2,"已过期",2002110030)</f>
        <v>2002110030</v>
      </c>
      <c r="F7" s="3155">
        <v>46387</v>
      </c>
    </row>
    <row r="8" spans="1:6" ht="20.25" customHeight="1">
      <c r="A8" s="3152" t="s">
        <v>1917</v>
      </c>
      <c r="B8" s="3152">
        <f ca="1">IF(C8&lt;B2,"已过期",1120000080)</f>
        <v>1120000080</v>
      </c>
      <c r="C8" s="3154">
        <v>43849</v>
      </c>
      <c r="D8" s="3152" t="s">
        <v>1917</v>
      </c>
      <c r="E8" s="3152">
        <f ca="1">IF(F8&lt;B2,"已过期",2000110082)</f>
        <v>2000110082</v>
      </c>
      <c r="F8" s="3155">
        <v>46387</v>
      </c>
    </row>
    <row r="9" spans="1:6" ht="20.25" customHeight="1">
      <c r="A9" s="3152" t="s">
        <v>1918</v>
      </c>
      <c r="B9" s="3152">
        <f ca="1">IF(C9&lt;B2,"已过期",1419970001)</f>
        <v>1419970001</v>
      </c>
      <c r="C9" s="3154">
        <v>43867</v>
      </c>
      <c r="D9" s="3152" t="s">
        <v>1918</v>
      </c>
      <c r="E9" s="3152">
        <f ca="1">IF(F9&lt;B2,"已过期",2002110125)</f>
        <v>2002110125</v>
      </c>
      <c r="F9" s="3155">
        <v>47118</v>
      </c>
    </row>
    <row r="10" spans="1:6" ht="20.25" customHeight="1">
      <c r="A10" s="3152" t="s">
        <v>1919</v>
      </c>
      <c r="B10" s="3152" t="str">
        <f ca="1">IF(C10&lt;B2,"已过期",1120060040)</f>
        <v>已过期</v>
      </c>
      <c r="C10" s="3154">
        <v>43483</v>
      </c>
      <c r="D10" s="3152" t="s">
        <v>1919</v>
      </c>
      <c r="E10" s="3152">
        <f ca="1">IF(F10&lt;B2,"已过期",2004110096)</f>
        <v>2004110096</v>
      </c>
      <c r="F10" s="3155">
        <v>47118</v>
      </c>
    </row>
    <row r="11" spans="1:6" ht="20.25" customHeight="1">
      <c r="A11" s="3152" t="s">
        <v>1920</v>
      </c>
      <c r="B11" s="3152">
        <f ca="1">IF(C11&lt;B2,"已过期",1120100036)</f>
        <v>1120100036</v>
      </c>
      <c r="C11" s="3154">
        <v>43622</v>
      </c>
      <c r="D11" s="3152" t="s">
        <v>1920</v>
      </c>
      <c r="E11" s="3152">
        <f ca="1">IF(F11&lt;B2,"已过期",2010110070)</f>
        <v>2010110070</v>
      </c>
      <c r="F11" s="3155">
        <v>47907</v>
      </c>
    </row>
    <row r="12" spans="1:6" ht="20.25" customHeight="1">
      <c r="A12" s="3152"/>
      <c r="B12" s="3152"/>
      <c r="C12" s="3154"/>
      <c r="D12" s="3152"/>
      <c r="E12" s="3152"/>
      <c r="F12" s="3155"/>
    </row>
    <row r="13" spans="1:6" ht="20.25" customHeight="1">
      <c r="A13" s="3152" t="s">
        <v>1921</v>
      </c>
      <c r="B13" s="3152">
        <f ca="1">IF(C13&lt;B2,"已过期",1120070131)</f>
        <v>1120070131</v>
      </c>
      <c r="C13" s="3154">
        <v>43814</v>
      </c>
      <c r="D13" s="3152" t="s">
        <v>1921</v>
      </c>
      <c r="E13" s="3152">
        <f ca="1">IF(F13&lt;B2,"已过期",2014110011)</f>
        <v>2014110011</v>
      </c>
      <c r="F13" s="3155">
        <v>49302</v>
      </c>
    </row>
    <row r="14" spans="1:6" ht="20.25" customHeight="1">
      <c r="A14" s="3152" t="s">
        <v>2968</v>
      </c>
      <c r="B14" s="3152">
        <f ca="1">IF(C14&lt;B2,"已过期",1120040230)</f>
        <v>1120040230</v>
      </c>
      <c r="C14" s="3156">
        <v>43835</v>
      </c>
      <c r="D14" s="3157" t="s">
        <v>2969</v>
      </c>
      <c r="E14" s="3152">
        <f ca="1">IF(F14&lt;B2,"已过期",98030020)</f>
        <v>98030020</v>
      </c>
      <c r="F14" s="3155">
        <v>47118</v>
      </c>
    </row>
    <row r="15" spans="1:6" ht="20.25" customHeight="1">
      <c r="A15" s="3152" t="s">
        <v>2571</v>
      </c>
      <c r="B15" s="3152">
        <f ca="1">IF(C15&lt;B2,"已过期",1120070085)</f>
        <v>1120070085</v>
      </c>
      <c r="C15" s="3156">
        <v>43814</v>
      </c>
      <c r="D15" s="3152" t="s">
        <v>2970</v>
      </c>
      <c r="E15" s="3152">
        <f ca="1">IF(F15&lt;B2,"已过期",2004110128)</f>
        <v>2004110128</v>
      </c>
      <c r="F15" s="3158">
        <v>47118</v>
      </c>
    </row>
    <row r="16" spans="1:6" ht="20.25" customHeight="1">
      <c r="A16" s="3152" t="s">
        <v>1922</v>
      </c>
      <c r="B16" s="3152">
        <f ca="1">IF(C16&lt;B2,"已过期",1120140022)</f>
        <v>1120140022</v>
      </c>
      <c r="C16" s="3154">
        <v>44029</v>
      </c>
      <c r="D16" s="3152" t="s">
        <v>2971</v>
      </c>
      <c r="E16" s="3152">
        <f ca="1">IF(F16&lt;B2,"已过期",2008110059)</f>
        <v>2008110059</v>
      </c>
      <c r="F16" s="3155">
        <v>47177</v>
      </c>
    </row>
    <row r="17" spans="1:7" ht="20.25" customHeight="1">
      <c r="A17" s="3152"/>
      <c r="B17" s="3152"/>
      <c r="C17" s="3154"/>
      <c r="D17" s="3157" t="s">
        <v>2972</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1923</v>
      </c>
      <c r="E21" s="3152">
        <f ca="1">IF(F21&lt;B2,"已过期",2011110090)</f>
        <v>2011110090</v>
      </c>
      <c r="F21" s="3155">
        <v>48302</v>
      </c>
    </row>
    <row r="22" spans="1:7" ht="20.25" customHeight="1">
      <c r="A22" s="3152" t="s">
        <v>1924</v>
      </c>
      <c r="B22" s="3152">
        <f ca="1">IF(C22&lt;B2,"已过期",1120020033)</f>
        <v>1120020033</v>
      </c>
      <c r="C22" s="3154">
        <v>44339</v>
      </c>
      <c r="D22" s="3152" t="s">
        <v>1924</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2051</v>
      </c>
      <c r="B24" s="3151" t="s">
        <v>2051</v>
      </c>
      <c r="C24" s="3154"/>
      <c r="D24" s="3159" t="s">
        <v>2051</v>
      </c>
      <c r="E24" s="3151" t="s">
        <v>2051</v>
      </c>
      <c r="F24" s="3158"/>
    </row>
    <row r="25" spans="1:7" ht="20.25" customHeight="1">
      <c r="A25" s="3282" t="s">
        <v>1925</v>
      </c>
      <c r="B25" s="3282"/>
      <c r="C25" s="3282"/>
      <c r="D25" s="3282"/>
      <c r="E25" s="3282"/>
      <c r="F25" s="3282"/>
      <c r="G25" s="3282"/>
    </row>
    <row r="26" spans="1:7" ht="20.25" customHeight="1">
      <c r="A26" s="3283" t="s">
        <v>1926</v>
      </c>
      <c r="B26" s="3283"/>
      <c r="C26" s="3283"/>
      <c r="D26" s="3283" t="s">
        <v>1927</v>
      </c>
      <c r="E26" s="3283"/>
      <c r="F26" s="3283"/>
    </row>
    <row r="27" spans="1:7" s="3147" customFormat="1" ht="20.25" customHeight="1">
      <c r="A27" s="3161" t="s">
        <v>1928</v>
      </c>
      <c r="B27" s="3162" t="s">
        <v>1929</v>
      </c>
      <c r="C27" s="3162" t="s">
        <v>1930</v>
      </c>
      <c r="D27" s="3152" t="s">
        <v>1928</v>
      </c>
      <c r="E27" s="3162" t="s">
        <v>1929</v>
      </c>
      <c r="F27" s="3162" t="s">
        <v>1930</v>
      </c>
    </row>
    <row r="28" spans="1:7" s="3147" customFormat="1" ht="20.25" customHeight="1">
      <c r="A28" s="3163" t="s">
        <v>1931</v>
      </c>
      <c r="B28" s="3163" t="s">
        <v>1932</v>
      </c>
      <c r="C28" s="3155">
        <v>43725</v>
      </c>
      <c r="D28" s="3163" t="s">
        <v>1933</v>
      </c>
      <c r="E28" s="3163" t="s">
        <v>1934</v>
      </c>
      <c r="F28" s="3164">
        <v>44377</v>
      </c>
    </row>
    <row r="29" spans="1:7" s="3147" customFormat="1" ht="20.25" customHeight="1">
      <c r="A29" s="3163"/>
      <c r="B29" s="3163"/>
      <c r="C29" s="3165"/>
      <c r="D29" s="3163" t="s">
        <v>1935</v>
      </c>
      <c r="E29" s="3166" t="s">
        <v>2930</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24" priority="113">
      <formula>AND($C24-TODAY()&lt;30,TODAY()&lt;$C24)</formula>
    </cfRule>
  </conditionalFormatting>
  <conditionalFormatting sqref="C28">
    <cfRule type="expression" dxfId="223" priority="112">
      <formula>AND($C28-TODAY()&lt;30,TODAY()&lt;$C28)</formula>
    </cfRule>
  </conditionalFormatting>
  <conditionalFormatting sqref="C28 F4">
    <cfRule type="cellIs" dxfId="222" priority="114" stopIfTrue="1" operator="lessThan">
      <formula>$B$2</formula>
    </cfRule>
  </conditionalFormatting>
  <conditionalFormatting sqref="F5">
    <cfRule type="cellIs" dxfId="221" priority="110" stopIfTrue="1" operator="lessThan">
      <formula>$B$2</formula>
    </cfRule>
  </conditionalFormatting>
  <conditionalFormatting sqref="F6 F8 F10">
    <cfRule type="cellIs" dxfId="220" priority="108" stopIfTrue="1" operator="lessThan">
      <formula>$B$2</formula>
    </cfRule>
  </conditionalFormatting>
  <conditionalFormatting sqref="C24:D24">
    <cfRule type="expression" dxfId="219" priority="106">
      <formula>AND($C24-TODAY()&lt;30,TODAY()&lt;$C24)</formula>
    </cfRule>
  </conditionalFormatting>
  <conditionalFormatting sqref="F7 F9 F11 C24:D24">
    <cfRule type="cellIs" dxfId="218" priority="107" stopIfTrue="1" operator="lessThan">
      <formula>$B$2</formula>
    </cfRule>
  </conditionalFormatting>
  <conditionalFormatting sqref="F18">
    <cfRule type="cellIs" dxfId="217" priority="79" stopIfTrue="1" operator="lessThan">
      <formula>$B$2</formula>
    </cfRule>
  </conditionalFormatting>
  <conditionalFormatting sqref="F22">
    <cfRule type="cellIs" dxfId="216" priority="78" stopIfTrue="1" operator="lessThan">
      <formula>$B$2</formula>
    </cfRule>
  </conditionalFormatting>
  <conditionalFormatting sqref="F21">
    <cfRule type="cellIs" dxfId="215" priority="77" stopIfTrue="1" operator="lessThan">
      <formula>$B$2</formula>
    </cfRule>
  </conditionalFormatting>
  <conditionalFormatting sqref="B4:B11 E4:E11 E18:E23 B17:B23 B13 E13">
    <cfRule type="cellIs" dxfId="214" priority="75" stopIfTrue="1" operator="equal">
      <formula>"已过期"</formula>
    </cfRule>
  </conditionalFormatting>
  <conditionalFormatting sqref="F28">
    <cfRule type="cellIs" dxfId="213" priority="72" stopIfTrue="1" operator="lessThan">
      <formula>$B$2</formula>
    </cfRule>
  </conditionalFormatting>
  <conditionalFormatting sqref="F29">
    <cfRule type="cellIs" dxfId="212" priority="70" stopIfTrue="1" operator="lessThan">
      <formula>$B$2</formula>
    </cfRule>
  </conditionalFormatting>
  <conditionalFormatting sqref="F28">
    <cfRule type="expression" dxfId="211" priority="116">
      <formula>AND($E28-TODAY()&lt;30,TODAY()&lt;$E28)</formula>
    </cfRule>
  </conditionalFormatting>
  <conditionalFormatting sqref="F29">
    <cfRule type="expression" dxfId="210" priority="117" stopIfTrue="1">
      <formula>AND($E29-TODAY()&lt;30,TODAY()&lt;$E29)</formula>
    </cfRule>
  </conditionalFormatting>
  <conditionalFormatting sqref="C5">
    <cfRule type="expression" dxfId="209" priority="67">
      <formula>AND($C5-TODAY()&lt;30,TODAY()&lt;$C5)</formula>
    </cfRule>
  </conditionalFormatting>
  <conditionalFormatting sqref="C5">
    <cfRule type="cellIs" dxfId="208" priority="68" stopIfTrue="1" operator="lessThan">
      <formula>$B$2</formula>
    </cfRule>
  </conditionalFormatting>
  <conditionalFormatting sqref="C4:C6">
    <cfRule type="expression" dxfId="207" priority="65">
      <formula>AND($C4-TODAY()&lt;30,TODAY()&lt;$C4)</formula>
    </cfRule>
  </conditionalFormatting>
  <conditionalFormatting sqref="C4:C6">
    <cfRule type="cellIs" dxfId="206" priority="66" stopIfTrue="1" operator="lessThan">
      <formula>$B$2</formula>
    </cfRule>
  </conditionalFormatting>
  <conditionalFormatting sqref="C8:C9">
    <cfRule type="expression" dxfId="205" priority="63">
      <formula>AND($C8-TODAY()&lt;30,TODAY()&lt;$C8)</formula>
    </cfRule>
  </conditionalFormatting>
  <conditionalFormatting sqref="C8:C9">
    <cfRule type="cellIs" dxfId="204" priority="64" stopIfTrue="1" operator="lessThan">
      <formula>$B$2</formula>
    </cfRule>
  </conditionalFormatting>
  <conditionalFormatting sqref="C7">
    <cfRule type="expression" dxfId="203" priority="46">
      <formula>AND($C7-TODAY()&lt;30,TODAY()&lt;$C7)</formula>
    </cfRule>
  </conditionalFormatting>
  <conditionalFormatting sqref="C7">
    <cfRule type="cellIs" dxfId="202" priority="47" stopIfTrue="1" operator="lessThan">
      <formula>$B$2</formula>
    </cfRule>
  </conditionalFormatting>
  <conditionalFormatting sqref="C10:C11 C13 C23 C17:C21">
    <cfRule type="expression" dxfId="201" priority="44">
      <formula>AND($C10-TODAY()&lt;30,TODAY()&lt;$C10)</formula>
    </cfRule>
  </conditionalFormatting>
  <conditionalFormatting sqref="C10:C11 C13 C23 C17:C21">
    <cfRule type="cellIs" dxfId="200" priority="45" stopIfTrue="1" operator="lessThan">
      <formula>$B$2</formula>
    </cfRule>
  </conditionalFormatting>
  <conditionalFormatting sqref="F13">
    <cfRule type="cellIs" dxfId="199" priority="43" stopIfTrue="1" operator="lessThan">
      <formula>$B$2</formula>
    </cfRule>
  </conditionalFormatting>
  <conditionalFormatting sqref="F12">
    <cfRule type="cellIs" dxfId="198" priority="35" stopIfTrue="1" operator="lessThan">
      <formula>$B$2</formula>
    </cfRule>
  </conditionalFormatting>
  <conditionalFormatting sqref="B12 E12">
    <cfRule type="cellIs" dxfId="197" priority="34" stopIfTrue="1" operator="equal">
      <formula>"已过期"</formula>
    </cfRule>
  </conditionalFormatting>
  <conditionalFormatting sqref="C12">
    <cfRule type="expression" dxfId="196" priority="32">
      <formula>AND($C12-TODAY()&lt;30,TODAY()&lt;$C12)</formula>
    </cfRule>
  </conditionalFormatting>
  <conditionalFormatting sqref="C12">
    <cfRule type="cellIs" dxfId="195" priority="33" stopIfTrue="1" operator="lessThan">
      <formula>$B$2</formula>
    </cfRule>
  </conditionalFormatting>
  <conditionalFormatting sqref="C22">
    <cfRule type="expression" dxfId="194" priority="24">
      <formula>AND($C22-TODAY()&lt;30,TODAY()&lt;$C22)</formula>
    </cfRule>
  </conditionalFormatting>
  <conditionalFormatting sqref="C22">
    <cfRule type="cellIs" dxfId="193" priority="25" stopIfTrue="1" operator="lessThan">
      <formula>$B$2</formula>
    </cfRule>
  </conditionalFormatting>
  <conditionalFormatting sqref="C16">
    <cfRule type="expression" dxfId="192" priority="22">
      <formula>AND($C16-TODAY()&lt;30,TODAY()&lt;$C16)</formula>
    </cfRule>
  </conditionalFormatting>
  <conditionalFormatting sqref="C16">
    <cfRule type="cellIs" dxfId="191" priority="23" stopIfTrue="1" operator="lessThan">
      <formula>$B$2</formula>
    </cfRule>
  </conditionalFormatting>
  <conditionalFormatting sqref="C16">
    <cfRule type="expression" dxfId="190" priority="20">
      <formula>AND($C16-TODAY()&lt;30,TODAY()&lt;$C16)</formula>
    </cfRule>
  </conditionalFormatting>
  <conditionalFormatting sqref="C16">
    <cfRule type="cellIs" dxfId="189" priority="21" stopIfTrue="1" operator="lessThan">
      <formula>$B$2</formula>
    </cfRule>
  </conditionalFormatting>
  <conditionalFormatting sqref="B16">
    <cfRule type="cellIs" dxfId="188" priority="19" stopIfTrue="1" operator="equal">
      <formula>"已过期"</formula>
    </cfRule>
  </conditionalFormatting>
  <conditionalFormatting sqref="C14:C15">
    <cfRule type="expression" dxfId="187" priority="17">
      <formula>AND($C14-TODAY()&lt;30,TODAY()&lt;$C14)</formula>
    </cfRule>
  </conditionalFormatting>
  <conditionalFormatting sqref="C14:C15">
    <cfRule type="cellIs" dxfId="186" priority="18" stopIfTrue="1" operator="lessThan">
      <formula>$B$2</formula>
    </cfRule>
  </conditionalFormatting>
  <conditionalFormatting sqref="C14">
    <cfRule type="expression" dxfId="185" priority="15">
      <formula>AND($C14-TODAY()&lt;30,TODAY()&lt;$C14)</formula>
    </cfRule>
  </conditionalFormatting>
  <conditionalFormatting sqref="C14">
    <cfRule type="cellIs" dxfId="184" priority="16" stopIfTrue="1" operator="lessThan">
      <formula>$B$2</formula>
    </cfRule>
  </conditionalFormatting>
  <conditionalFormatting sqref="C15">
    <cfRule type="expression" dxfId="183" priority="13">
      <formula>AND($C15-TODAY()&lt;30,TODAY()&lt;$C15)</formula>
    </cfRule>
  </conditionalFormatting>
  <conditionalFormatting sqref="C15">
    <cfRule type="cellIs" dxfId="182" priority="14" stopIfTrue="1" operator="lessThan">
      <formula>$B$2</formula>
    </cfRule>
  </conditionalFormatting>
  <conditionalFormatting sqref="B14">
    <cfRule type="cellIs" dxfId="181" priority="12" stopIfTrue="1" operator="equal">
      <formula>"已过期"</formula>
    </cfRule>
  </conditionalFormatting>
  <conditionalFormatting sqref="B15">
    <cfRule type="cellIs" dxfId="180" priority="11" stopIfTrue="1" operator="equal">
      <formula>"已过期"</formula>
    </cfRule>
  </conditionalFormatting>
  <conditionalFormatting sqref="A15">
    <cfRule type="cellIs" dxfId="179" priority="10" stopIfTrue="1" operator="equal">
      <formula>"已过期"</formula>
    </cfRule>
  </conditionalFormatting>
  <conditionalFormatting sqref="C15">
    <cfRule type="expression" dxfId="178" priority="9">
      <formula>AND($C15-TODAY()&lt;30,TODAY()&lt;$C15)</formula>
    </cfRule>
  </conditionalFormatting>
  <conditionalFormatting sqref="F16">
    <cfRule type="cellIs" dxfId="177" priority="8" stopIfTrue="1" operator="lessThan">
      <formula>$B$2</formula>
    </cfRule>
  </conditionalFormatting>
  <conditionalFormatting sqref="E16">
    <cfRule type="cellIs" dxfId="176" priority="7" stopIfTrue="1" operator="equal">
      <formula>"已过期"</formula>
    </cfRule>
  </conditionalFormatting>
  <conditionalFormatting sqref="E15">
    <cfRule type="cellIs" dxfId="175" priority="6" stopIfTrue="1" operator="equal">
      <formula>"已过期"</formula>
    </cfRule>
  </conditionalFormatting>
  <conditionalFormatting sqref="D15">
    <cfRule type="cellIs" dxfId="174" priority="5" stopIfTrue="1" operator="equal">
      <formula>"已过期"</formula>
    </cfRule>
  </conditionalFormatting>
  <conditionalFormatting sqref="F17">
    <cfRule type="cellIs" dxfId="173" priority="4" stopIfTrue="1" operator="lessThan">
      <formula>$B$2</formula>
    </cfRule>
  </conditionalFormatting>
  <conditionalFormatting sqref="E17">
    <cfRule type="cellIs" dxfId="172" priority="3" stopIfTrue="1" operator="equal">
      <formula>"已过期"</formula>
    </cfRule>
  </conditionalFormatting>
  <conditionalFormatting sqref="E14">
    <cfRule type="cellIs" dxfId="171" priority="2" stopIfTrue="1" operator="equal">
      <formula>"已过期"</formula>
    </cfRule>
  </conditionalFormatting>
  <conditionalFormatting sqref="F14">
    <cfRule type="cellIs" dxfId="17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2542</v>
      </c>
      <c r="R1" s="2561" t="s">
        <v>2536</v>
      </c>
      <c r="S1" s="6" t="s">
        <v>146</v>
      </c>
      <c r="T1" s="7" t="s">
        <v>147</v>
      </c>
      <c r="U1" s="6" t="s">
        <v>148</v>
      </c>
      <c r="V1" s="6" t="s">
        <v>149</v>
      </c>
      <c r="W1" s="1004" t="s">
        <v>872</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2537</v>
      </c>
      <c r="S2" s="9" t="s">
        <v>75</v>
      </c>
      <c r="T2" s="9" t="s">
        <v>76</v>
      </c>
      <c r="U2" s="9" t="s">
        <v>75</v>
      </c>
      <c r="V2" s="9" t="s">
        <v>77</v>
      </c>
      <c r="W2" s="9" t="s">
        <v>873</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2538</v>
      </c>
      <c r="S3" s="9" t="s">
        <v>84</v>
      </c>
      <c r="T3" s="9" t="s">
        <v>85</v>
      </c>
      <c r="U3" s="9" t="s">
        <v>84</v>
      </c>
      <c r="V3" s="9" t="s">
        <v>86</v>
      </c>
      <c r="W3" s="9" t="s">
        <v>874</v>
      </c>
    </row>
    <row r="4" spans="1:23">
      <c r="A4" s="8" t="s">
        <v>87</v>
      </c>
      <c r="B4" s="8" t="s">
        <v>152</v>
      </c>
      <c r="C4" s="1552" t="s">
        <v>1710</v>
      </c>
      <c r="D4" s="9" t="s">
        <v>1993</v>
      </c>
      <c r="E4" s="9" t="s">
        <v>88</v>
      </c>
      <c r="F4" s="9" t="s">
        <v>89</v>
      </c>
      <c r="G4" s="9">
        <v>70</v>
      </c>
      <c r="H4" s="9" t="s">
        <v>90</v>
      </c>
      <c r="I4" s="9" t="s">
        <v>91</v>
      </c>
      <c r="K4" s="9" t="s">
        <v>92</v>
      </c>
      <c r="L4" s="9" t="s">
        <v>92</v>
      </c>
      <c r="M4" s="9" t="s">
        <v>92</v>
      </c>
      <c r="N4" s="9" t="s">
        <v>92</v>
      </c>
      <c r="O4" s="9" t="s">
        <v>92</v>
      </c>
      <c r="P4" s="1006" t="s">
        <v>758</v>
      </c>
      <c r="Q4" s="9" t="s">
        <v>92</v>
      </c>
      <c r="R4" s="1006" t="s">
        <v>2539</v>
      </c>
      <c r="S4" s="9" t="s">
        <v>92</v>
      </c>
      <c r="T4" s="9" t="s">
        <v>93</v>
      </c>
      <c r="U4" s="9" t="s">
        <v>92</v>
      </c>
      <c r="W4" s="9" t="s">
        <v>875</v>
      </c>
    </row>
    <row r="5" spans="1:23">
      <c r="A5" s="8" t="s">
        <v>94</v>
      </c>
      <c r="B5" s="8" t="s">
        <v>153</v>
      </c>
      <c r="C5" s="1552" t="s">
        <v>1711</v>
      </c>
      <c r="F5" s="9" t="s">
        <v>95</v>
      </c>
      <c r="H5" s="9" t="s">
        <v>70</v>
      </c>
      <c r="I5" s="9" t="s">
        <v>96</v>
      </c>
      <c r="K5" s="9" t="s">
        <v>97</v>
      </c>
      <c r="L5" s="9" t="s">
        <v>97</v>
      </c>
      <c r="M5" s="9" t="s">
        <v>97</v>
      </c>
      <c r="N5" s="9" t="s">
        <v>97</v>
      </c>
      <c r="O5" s="9" t="s">
        <v>97</v>
      </c>
      <c r="P5" s="1006" t="s">
        <v>544</v>
      </c>
      <c r="Q5" s="9" t="s">
        <v>97</v>
      </c>
      <c r="R5" s="1006" t="s">
        <v>2540</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2541</v>
      </c>
      <c r="S6" s="9" t="s">
        <v>101</v>
      </c>
      <c r="T6" s="9"/>
      <c r="U6" s="9" t="s">
        <v>101</v>
      </c>
      <c r="W6" s="9" t="s">
        <v>877</v>
      </c>
    </row>
    <row r="7" spans="1:23">
      <c r="A7" s="8" t="s">
        <v>102</v>
      </c>
      <c r="B7" s="8" t="s">
        <v>103</v>
      </c>
      <c r="C7" s="1552" t="s">
        <v>1713</v>
      </c>
      <c r="F7" s="9" t="s">
        <v>154</v>
      </c>
      <c r="H7" s="9" t="s">
        <v>104</v>
      </c>
      <c r="I7" s="9" t="s">
        <v>105</v>
      </c>
    </row>
    <row r="8" spans="1:23">
      <c r="A8" s="8" t="s">
        <v>106</v>
      </c>
      <c r="B8" s="8" t="s">
        <v>107</v>
      </c>
      <c r="C8" s="1552" t="s">
        <v>1714</v>
      </c>
      <c r="F8" s="9" t="s">
        <v>155</v>
      </c>
      <c r="H8" s="9"/>
      <c r="I8" s="9" t="s">
        <v>108</v>
      </c>
    </row>
    <row r="9" spans="1:23">
      <c r="A9" s="8" t="s">
        <v>109</v>
      </c>
      <c r="B9" s="8" t="s">
        <v>156</v>
      </c>
      <c r="C9" s="1552" t="s">
        <v>1715</v>
      </c>
      <c r="F9" s="9" t="s">
        <v>110</v>
      </c>
      <c r="H9" s="9"/>
    </row>
    <row r="10" spans="1:23">
      <c r="A10" s="8" t="s">
        <v>111</v>
      </c>
      <c r="B10" s="8" t="s">
        <v>157</v>
      </c>
      <c r="C10" s="1552" t="s">
        <v>1716</v>
      </c>
      <c r="F10" s="9" t="s">
        <v>6</v>
      </c>
    </row>
    <row r="11" spans="1:23">
      <c r="A11" s="8" t="s">
        <v>112</v>
      </c>
      <c r="B11" s="8" t="s">
        <v>158</v>
      </c>
      <c r="C11" s="1552" t="s">
        <v>1717</v>
      </c>
    </row>
    <row r="12" spans="1:23">
      <c r="A12" s="8" t="s">
        <v>113</v>
      </c>
      <c r="B12" s="8" t="s">
        <v>159</v>
      </c>
      <c r="C12" s="1552" t="s">
        <v>1718</v>
      </c>
    </row>
    <row r="13" spans="1:23">
      <c r="A13" s="8" t="s">
        <v>114</v>
      </c>
      <c r="B13" s="8" t="s">
        <v>160</v>
      </c>
      <c r="C13" s="1552" t="s">
        <v>1719</v>
      </c>
    </row>
    <row r="14" spans="1:23">
      <c r="A14" s="8" t="s">
        <v>115</v>
      </c>
      <c r="B14" s="8" t="s">
        <v>161</v>
      </c>
      <c r="C14" s="1555" t="s">
        <v>1895</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084" t="s">
        <v>2942</v>
      </c>
      <c r="C18" s="1555"/>
    </row>
    <row r="19" spans="1:3">
      <c r="A19" s="8" t="s">
        <v>120</v>
      </c>
      <c r="B19" s="3084" t="s">
        <v>2950</v>
      </c>
      <c r="C19" s="1555"/>
    </row>
    <row r="20" spans="1:3">
      <c r="A20" s="8" t="s">
        <v>121</v>
      </c>
      <c r="B20" s="8" t="s">
        <v>1640</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5" t="s">
        <v>1941</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聚锦商务有限公司拟使用四川省成都市郫都区（原郫县）红光镇护国村一社、郫筒镇鹃城村十社2号地出让国有建设用地使用权作为抵押担保物，向五矿信托有限公司办理贷款手续。五矿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1985</v>
      </c>
      <c r="B52" s="1768" t="s">
        <v>1986</v>
      </c>
      <c r="C52" s="1766" t="s">
        <v>1987</v>
      </c>
      <c r="D52" s="1766" t="s">
        <v>1988</v>
      </c>
      <c r="E52" s="1767"/>
    </row>
    <row r="53" spans="1:5">
      <c r="A53" s="3284" t="s">
        <v>1989</v>
      </c>
      <c r="B53" s="1766" t="s">
        <v>1995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5日，在规划利用条件下、设定土地开发程度为红线外“七通”、宗地内场地平整，设定用途为住宅、商业、地下车库，剩余土地使用年限为的出让国有建设用地使用权价格。</v>
      </c>
      <c r="D53" s="1767"/>
      <c r="E53" s="1767"/>
    </row>
    <row r="54" spans="1:5">
      <c r="A54" s="3284"/>
      <c r="B54" s="1766" t="s">
        <v>1996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84"/>
      <c r="B55" s="1766" t="s">
        <v>1990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84"/>
      <c r="B56" s="1766" t="s">
        <v>1991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84"/>
      <c r="B57" s="1766" t="s">
        <v>1992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136</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信息</vt:lpstr>
      <vt:lpstr>数据</vt:lpstr>
      <vt:lpstr>土地案例</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不动产收益法</vt:lpstr>
      <vt:lpstr>住宅案例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估价对象房地状况!Print_Area</vt:lpstr>
      <vt:lpstr>结果表!Print_Area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2019-03-13T06:40:15Z</dcterms:modified>
</cp:coreProperties>
</file>