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O19" i="1"/>
  <c r="N20" i="1" s="1"/>
  <c r="N18" i="1"/>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Q17" i="34"/>
  <c r="Z17" i="34" s="1"/>
  <c r="J17" i="34"/>
  <c r="W17" i="34" s="1"/>
  <c r="F17" i="34"/>
  <c r="S17" i="34" s="1"/>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E7" i="76"/>
  <c r="E8" i="76"/>
  <c r="M23" i="15"/>
  <c r="F43" i="15"/>
  <c r="F13" i="15"/>
  <c r="AO13" i="1"/>
  <c r="M22" i="15"/>
  <c r="D2" i="37"/>
  <c r="F20" i="31"/>
  <c r="B11" i="76"/>
  <c r="M8" i="15"/>
  <c r="E13" i="76"/>
  <c r="M24" i="15"/>
  <c r="M28" i="15"/>
  <c r="J15" i="15"/>
  <c r="C76" i="15"/>
  <c r="F38" i="15"/>
  <c r="B7" i="76"/>
  <c r="L48" i="15"/>
  <c r="M26" i="15"/>
  <c r="AO10" i="1"/>
  <c r="E2" i="68"/>
  <c r="F8" i="15"/>
  <c r="L47" i="15"/>
  <c r="M29" i="15"/>
  <c r="D2" i="36"/>
  <c r="M6" i="15"/>
  <c r="E12" i="76"/>
  <c r="E9" i="76"/>
  <c r="B13" i="76"/>
  <c r="B9" i="76"/>
  <c r="F9" i="15"/>
  <c r="F35" i="15"/>
  <c r="B10" i="76"/>
  <c r="E11" i="76"/>
  <c r="F40" i="15"/>
  <c r="D2" i="21"/>
  <c r="F42" i="15"/>
  <c r="F6" i="15"/>
  <c r="D2" i="35"/>
  <c r="AO7" i="1"/>
  <c r="D2" i="34"/>
  <c r="AO9" i="1"/>
  <c r="M9" i="15"/>
  <c r="B12" i="76"/>
  <c r="AO11" i="1"/>
  <c r="E10" i="76"/>
  <c r="B8" i="76"/>
  <c r="E2" i="69"/>
  <c r="F37" i="15"/>
  <c r="M27" i="15"/>
  <c r="AO8" i="1"/>
  <c r="M21" i="15"/>
  <c r="F36" i="15"/>
  <c r="F16" i="15"/>
  <c r="F26" i="15"/>
  <c r="D2" i="33"/>
  <c r="F41" i="15"/>
  <c r="F7" i="15"/>
  <c r="AO12" i="1"/>
  <c r="AA17" i="34" l="1"/>
  <c r="AC17" i="34"/>
  <c r="E90" i="34"/>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M6" i="1" s="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6" i="1" s="1"/>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T9" i="1"/>
  <c r="AQ9" i="1"/>
  <c r="AR12" i="1"/>
  <c r="T13" i="1"/>
  <c r="AQ13" i="1"/>
  <c r="G1" i="68"/>
  <c r="G1" i="69"/>
  <c r="G1" i="67"/>
  <c r="T10" i="1"/>
  <c r="AQ10" i="1"/>
  <c r="K1" i="12"/>
  <c r="F3" i="35"/>
  <c r="T11" i="1"/>
  <c r="AQ11"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F16" i="67"/>
  <c r="F38" i="67"/>
  <c r="C16" i="15"/>
  <c r="F6" i="67"/>
  <c r="F36" i="67"/>
  <c r="F7" i="67"/>
  <c r="C76" i="67"/>
  <c r="L48" i="67"/>
  <c r="F9" i="67"/>
  <c r="M29" i="67"/>
  <c r="M8" i="67"/>
  <c r="M6" i="67"/>
  <c r="M23" i="67"/>
  <c r="M27" i="67"/>
  <c r="F26" i="67"/>
  <c r="F42" i="67"/>
  <c r="F43" i="67"/>
  <c r="C17" i="15"/>
  <c r="C14" i="15"/>
  <c r="M22" i="67"/>
  <c r="M28" i="67"/>
  <c r="M24" i="67"/>
  <c r="F13" i="67"/>
  <c r="J15" i="67"/>
  <c r="L47" i="67"/>
  <c r="F8" i="67"/>
  <c r="T8" i="1" l="1"/>
  <c r="AR8" i="1"/>
  <c r="D58" i="78"/>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K25" i="6" s="1"/>
  <c r="M25" i="6" s="1"/>
  <c r="I25"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G16" i="1" s="1"/>
  <c r="F10" i="40" s="1"/>
  <c r="AA10" i="40" s="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3" i="6"/>
  <c r="M23" i="6" s="1"/>
  <c r="I23" i="6" s="1"/>
  <c r="K21" i="6"/>
  <c r="M21" i="6" s="1"/>
  <c r="I21" i="6" s="1"/>
  <c r="K26" i="6"/>
  <c r="M26" i="6" s="1"/>
  <c r="I26"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J19" i="15"/>
  <c r="C32" i="15"/>
  <c r="C33" i="15"/>
  <c r="Q61" i="15"/>
  <c r="Q74" i="15"/>
  <c r="Q73" i="15"/>
  <c r="Q60" i="15"/>
  <c r="Q52" i="15"/>
  <c r="F1" i="15"/>
  <c r="C49" i="15"/>
  <c r="F37" i="67"/>
  <c r="D6" i="73"/>
  <c r="D5" i="73"/>
  <c r="M26" i="67"/>
  <c r="F5" i="73"/>
  <c r="D4" i="73"/>
  <c r="AE6" i="1"/>
  <c r="D7" i="73"/>
  <c r="F40" i="67"/>
  <c r="M9" i="67"/>
  <c r="D3" i="73"/>
  <c r="F7" i="73"/>
  <c r="F6" i="73"/>
  <c r="C16" i="67"/>
  <c r="F3" i="73"/>
  <c r="F4" i="73"/>
  <c r="K24" i="6" l="1"/>
  <c r="M24" i="6" s="1"/>
  <c r="I24" i="6" s="1"/>
  <c r="S24" i="6" s="1"/>
  <c r="E62" i="39"/>
  <c r="J7" i="21"/>
  <c r="J7" i="37"/>
  <c r="W7" i="37" s="1"/>
  <c r="F68" i="67"/>
  <c r="F65" i="67"/>
  <c r="E3" i="6"/>
  <c r="M18" i="9" s="1"/>
  <c r="B118" i="9" s="1"/>
  <c r="AY6" i="3"/>
  <c r="AY500" i="3" s="1"/>
  <c r="M64" i="43"/>
  <c r="N64" i="43" s="1"/>
  <c r="K64" i="43"/>
  <c r="K66" i="43"/>
  <c r="M66" i="43"/>
  <c r="N66" i="43" s="1"/>
  <c r="M69" i="43"/>
  <c r="N69" i="43" s="1"/>
  <c r="K69" i="43"/>
  <c r="J69" i="43" s="1"/>
  <c r="B15" i="71"/>
  <c r="B14" i="71" s="1"/>
  <c r="B13" i="71" s="1"/>
  <c r="B12" i="71" s="1"/>
  <c r="S16" i="71"/>
  <c r="E30" i="6"/>
  <c r="E31" i="6" s="1"/>
  <c r="K14" i="1"/>
  <c r="J6" i="67"/>
  <c r="J19" i="67" s="1"/>
  <c r="F7" i="21"/>
  <c r="AA7" i="21" s="1"/>
  <c r="R48" i="21" s="1"/>
  <c r="F7" i="36"/>
  <c r="AA7" i="36" s="1"/>
  <c r="R36" i="36" s="1"/>
  <c r="J7" i="33"/>
  <c r="W7" i="33" s="1"/>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U7" i="36" s="1"/>
  <c r="F7" i="37"/>
  <c r="S7" i="37" s="1"/>
  <c r="H7" i="35"/>
  <c r="U7" i="35" s="1"/>
  <c r="J7" i="36"/>
  <c r="AC7" i="36" s="1"/>
  <c r="V36" i="36" s="1"/>
  <c r="I36" i="36" s="1"/>
  <c r="H7" i="37"/>
  <c r="U7" i="37" s="1"/>
  <c r="K4" i="4"/>
  <c r="B46" i="48" s="1"/>
  <c r="B4" i="72" s="1"/>
  <c r="B4" i="62"/>
  <c r="B71" i="72" s="1"/>
  <c r="C5" i="43"/>
  <c r="AC37" i="34"/>
  <c r="E59" i="40"/>
  <c r="J7" i="35"/>
  <c r="W7" i="35" s="1"/>
  <c r="C29" i="12"/>
  <c r="D28" i="12" s="1"/>
  <c r="F7" i="35"/>
  <c r="S7" i="35" s="1"/>
  <c r="H7" i="21"/>
  <c r="U7" i="21" s="1"/>
  <c r="I36" i="33"/>
  <c r="J36" i="33" s="1"/>
  <c r="H36" i="33"/>
  <c r="AA36" i="33"/>
  <c r="S36" i="33"/>
  <c r="F59" i="67"/>
  <c r="M17" i="67"/>
  <c r="I1" i="73"/>
  <c r="B39" i="1" s="1"/>
  <c r="D69" i="39"/>
  <c r="E67" i="39"/>
  <c r="W7" i="36"/>
  <c r="S7" i="21"/>
  <c r="AC7" i="21"/>
  <c r="V48" i="21" s="1"/>
  <c r="I48" i="21" s="1"/>
  <c r="W7" i="21"/>
  <c r="F7" i="34"/>
  <c r="G7" i="34"/>
  <c r="AA7" i="35"/>
  <c r="R38" i="35" s="1"/>
  <c r="G7" i="33"/>
  <c r="H7" i="33" s="1"/>
  <c r="F7" i="33"/>
  <c r="E63" i="40"/>
  <c r="D65" i="40"/>
  <c r="AB7" i="36"/>
  <c r="T36" i="36" s="1"/>
  <c r="G36" i="36" s="1"/>
  <c r="AA7" i="37"/>
  <c r="R42" i="37" s="1"/>
  <c r="E64" i="39"/>
  <c r="E60" i="39"/>
  <c r="E51" i="40"/>
  <c r="E56" i="39"/>
  <c r="E16" i="6"/>
  <c r="C30" i="11"/>
  <c r="C48" i="11"/>
  <c r="C30" i="69"/>
  <c r="F48" i="69"/>
  <c r="C48" i="69"/>
  <c r="F48" i="68"/>
  <c r="C30" i="68"/>
  <c r="C48" i="68"/>
  <c r="Q66" i="67"/>
  <c r="H6" i="3"/>
  <c r="Q73" i="67"/>
  <c r="C19" i="15"/>
  <c r="C20" i="15" s="1"/>
  <c r="AY584" i="3"/>
  <c r="AY467" i="3"/>
  <c r="AY364" i="3"/>
  <c r="AY205" i="3"/>
  <c r="AY331" i="3"/>
  <c r="AY196" i="3"/>
  <c r="AY111" i="3"/>
  <c r="BP6" i="3"/>
  <c r="AY351" i="3"/>
  <c r="AY78" i="3"/>
  <c r="AY29" i="3"/>
  <c r="AY24" i="3"/>
  <c r="AC6" i="3"/>
  <c r="D3" i="33"/>
  <c r="L18" i="9"/>
  <c r="C17" i="4"/>
  <c r="B4" i="52" s="1"/>
  <c r="B43" i="72" s="1"/>
  <c r="Q61" i="67"/>
  <c r="I20" i="6"/>
  <c r="C118" i="43"/>
  <c r="D116" i="43" s="1"/>
  <c r="S22" i="6"/>
  <c r="S21" i="6"/>
  <c r="C33" i="67"/>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F41" i="67"/>
  <c r="C14" i="67"/>
  <c r="C17" i="67"/>
  <c r="G1" i="73"/>
  <c r="AB7" i="37" l="1"/>
  <c r="T42" i="37" s="1"/>
  <c r="G42" i="37" s="1"/>
  <c r="AC7" i="37"/>
  <c r="V42" i="37" s="1"/>
  <c r="I42" i="37" s="1"/>
  <c r="AY104" i="3"/>
  <c r="AY375" i="3"/>
  <c r="AY39" i="3"/>
  <c r="AY143" i="3"/>
  <c r="AY418" i="3"/>
  <c r="AY293" i="3"/>
  <c r="AY454" i="3"/>
  <c r="AY554" i="3"/>
  <c r="D14" i="12"/>
  <c r="D17" i="12" s="1"/>
  <c r="C17" i="12" s="1"/>
  <c r="D3" i="37"/>
  <c r="B3" i="37" s="1"/>
  <c r="AY406" i="3"/>
  <c r="AY150" i="3"/>
  <c r="AY22" i="3"/>
  <c r="AY72" i="3"/>
  <c r="AY122" i="3"/>
  <c r="AY120" i="3"/>
  <c r="AY260" i="3"/>
  <c r="AY541" i="3"/>
  <c r="AY211" i="3"/>
  <c r="AY566" i="3"/>
  <c r="AY545" i="3"/>
  <c r="AY49" i="3"/>
  <c r="AY415" i="3"/>
  <c r="AY228" i="3"/>
  <c r="E6" i="6"/>
  <c r="BN6" i="3"/>
  <c r="AY20" i="3"/>
  <c r="AY54" i="3"/>
  <c r="AY359" i="3"/>
  <c r="AY79" i="3"/>
  <c r="AY161" i="3"/>
  <c r="AY292" i="3"/>
  <c r="AY113" i="3"/>
  <c r="AY295" i="3"/>
  <c r="AY385" i="3"/>
  <c r="AY580" i="3"/>
  <c r="AY560" i="3"/>
  <c r="AY536" i="3"/>
  <c r="AY516" i="3"/>
  <c r="AY496" i="3"/>
  <c r="AY472" i="3"/>
  <c r="AY452" i="3"/>
  <c r="AY577" i="3"/>
  <c r="AY529" i="3"/>
  <c r="AY489" i="3"/>
  <c r="AY449" i="3"/>
  <c r="AY570" i="3"/>
  <c r="AY547" i="3"/>
  <c r="AY530" i="3"/>
  <c r="AY506" i="3"/>
  <c r="AY483" i="3"/>
  <c r="AY466" i="3"/>
  <c r="AY442" i="3"/>
  <c r="AY421" i="3"/>
  <c r="AY401" i="3"/>
  <c r="AY377" i="3"/>
  <c r="AY357" i="3"/>
  <c r="AY337" i="3"/>
  <c r="AY583" i="3"/>
  <c r="AY565" i="3"/>
  <c r="AY534" i="3"/>
  <c r="AY502" i="3"/>
  <c r="AY471" i="3"/>
  <c r="AY453" i="3"/>
  <c r="AY420" i="3"/>
  <c r="AY400" i="3"/>
  <c r="AY380" i="3"/>
  <c r="AY356" i="3"/>
  <c r="AY336" i="3"/>
  <c r="AY316" i="3"/>
  <c r="AY311" i="3"/>
  <c r="AY291" i="3"/>
  <c r="AY271" i="3"/>
  <c r="AY247" i="3"/>
  <c r="AY227" i="3"/>
  <c r="AY207" i="3"/>
  <c r="AY183" i="3"/>
  <c r="AY163" i="3"/>
  <c r="AY309" i="3"/>
  <c r="AY285" i="3"/>
  <c r="AY265" i="3"/>
  <c r="AY245" i="3"/>
  <c r="AY221" i="3"/>
  <c r="AY201" i="3"/>
  <c r="AY181" i="3"/>
  <c r="AY149" i="3"/>
  <c r="AY129" i="3"/>
  <c r="AY109" i="3"/>
  <c r="AY85" i="3"/>
  <c r="AY65" i="3"/>
  <c r="AY558" i="3"/>
  <c r="AY526" i="3"/>
  <c r="AY495" i="3"/>
  <c r="AY477" i="3"/>
  <c r="AY445" i="3"/>
  <c r="AY411" i="3"/>
  <c r="AY394" i="3"/>
  <c r="AY370" i="3"/>
  <c r="AY347" i="3"/>
  <c r="AY330" i="3"/>
  <c r="AY314" i="3"/>
  <c r="AY306" i="3"/>
  <c r="AY298" i="3"/>
  <c r="AY290" i="3"/>
  <c r="AY282" i="3"/>
  <c r="AY274" i="3"/>
  <c r="AY266" i="3"/>
  <c r="AY258" i="3"/>
  <c r="AY250" i="3"/>
  <c r="AY242" i="3"/>
  <c r="AY234" i="3"/>
  <c r="AY226" i="3"/>
  <c r="AY218" i="3"/>
  <c r="AY210" i="3"/>
  <c r="AY202" i="3"/>
  <c r="AY194" i="3"/>
  <c r="AY186" i="3"/>
  <c r="AY178" i="3"/>
  <c r="AY170" i="3"/>
  <c r="AY156" i="3"/>
  <c r="AY576" i="3"/>
  <c r="AY552" i="3"/>
  <c r="AY532" i="3"/>
  <c r="AY512" i="3"/>
  <c r="AY488" i="3"/>
  <c r="AY468" i="3"/>
  <c r="AY448" i="3"/>
  <c r="AY561" i="3"/>
  <c r="AY521" i="3"/>
  <c r="AY481" i="3"/>
  <c r="AY586" i="3"/>
  <c r="AY563" i="3"/>
  <c r="AY546" i="3"/>
  <c r="AY522" i="3"/>
  <c r="AY499" i="3"/>
  <c r="AY482" i="3"/>
  <c r="AY458" i="3"/>
  <c r="AY437" i="3"/>
  <c r="AY417" i="3"/>
  <c r="AY393" i="3"/>
  <c r="AY373" i="3"/>
  <c r="AY353" i="3"/>
  <c r="AY329" i="3"/>
  <c r="AY582" i="3"/>
  <c r="AY551" i="3"/>
  <c r="AY519" i="3"/>
  <c r="AY501" i="3"/>
  <c r="AY470" i="3"/>
  <c r="AY436" i="3"/>
  <c r="AY416" i="3"/>
  <c r="AY396" i="3"/>
  <c r="AY372" i="3"/>
  <c r="AY352" i="3"/>
  <c r="AY332" i="3"/>
  <c r="AY439" i="3"/>
  <c r="AY307" i="3"/>
  <c r="AY287" i="3"/>
  <c r="AY263" i="3"/>
  <c r="AY243" i="3"/>
  <c r="AY223" i="3"/>
  <c r="AY199" i="3"/>
  <c r="AY179" i="3"/>
  <c r="AY159" i="3"/>
  <c r="AY301" i="3"/>
  <c r="AY281" i="3"/>
  <c r="AY261" i="3"/>
  <c r="AY237" i="3"/>
  <c r="AY217" i="3"/>
  <c r="AY197" i="3"/>
  <c r="AY173" i="3"/>
  <c r="AY145" i="3"/>
  <c r="AY125" i="3"/>
  <c r="AY101" i="3"/>
  <c r="AY81" i="3"/>
  <c r="AY575" i="3"/>
  <c r="AY543" i="3"/>
  <c r="AY525" i="3"/>
  <c r="AY494" i="3"/>
  <c r="AY462" i="3"/>
  <c r="AY427" i="3"/>
  <c r="AY410" i="3"/>
  <c r="AY386" i="3"/>
  <c r="AY363" i="3"/>
  <c r="AY346" i="3"/>
  <c r="AY323" i="3"/>
  <c r="AY312" i="3"/>
  <c r="AY304" i="3"/>
  <c r="AY296" i="3"/>
  <c r="AY288" i="3"/>
  <c r="AY280" i="3"/>
  <c r="AY272" i="3"/>
  <c r="AY264" i="3"/>
  <c r="AY256" i="3"/>
  <c r="AY248" i="3"/>
  <c r="AY240" i="3"/>
  <c r="AY232" i="3"/>
  <c r="AY224" i="3"/>
  <c r="AY216" i="3"/>
  <c r="AY208" i="3"/>
  <c r="AY200" i="3"/>
  <c r="AY192" i="3"/>
  <c r="AY184" i="3"/>
  <c r="AY176" i="3"/>
  <c r="AY169" i="3"/>
  <c r="AY152" i="3"/>
  <c r="AY568" i="3"/>
  <c r="AY528" i="3"/>
  <c r="AY484" i="3"/>
  <c r="AY440" i="3"/>
  <c r="AY513" i="3"/>
  <c r="AY579" i="3"/>
  <c r="AY538" i="3"/>
  <c r="AY498" i="3"/>
  <c r="AY451" i="3"/>
  <c r="AY409" i="3"/>
  <c r="AY369" i="3"/>
  <c r="AY325" i="3"/>
  <c r="AY549" i="3"/>
  <c r="AY487" i="3"/>
  <c r="AY432" i="3"/>
  <c r="AY388" i="3"/>
  <c r="AY348" i="3"/>
  <c r="AY435" i="3"/>
  <c r="AY279" i="3"/>
  <c r="AY239" i="3"/>
  <c r="AY195" i="3"/>
  <c r="AY430" i="3"/>
  <c r="AY277" i="3"/>
  <c r="AY233" i="3"/>
  <c r="AY189" i="3"/>
  <c r="AY141" i="3"/>
  <c r="AY97" i="3"/>
  <c r="AY573" i="3"/>
  <c r="AY511" i="3"/>
  <c r="AY461" i="3"/>
  <c r="AY402" i="3"/>
  <c r="AY362" i="3"/>
  <c r="AY322" i="3"/>
  <c r="AY302" i="3"/>
  <c r="AY286" i="3"/>
  <c r="AY270" i="3"/>
  <c r="AY254" i="3"/>
  <c r="AY238" i="3"/>
  <c r="AY222" i="3"/>
  <c r="AY206" i="3"/>
  <c r="AY190" i="3"/>
  <c r="AY174" i="3"/>
  <c r="AY148" i="3"/>
  <c r="AY132" i="3"/>
  <c r="AY116" i="3"/>
  <c r="AY155" i="3"/>
  <c r="AY139" i="3"/>
  <c r="AY123" i="3"/>
  <c r="AY107" i="3"/>
  <c r="AY91" i="3"/>
  <c r="AY75" i="3"/>
  <c r="AY146" i="3"/>
  <c r="AY114" i="3"/>
  <c r="AY51" i="3"/>
  <c r="AY35" i="3"/>
  <c r="AY19" i="3"/>
  <c r="BL6" i="3"/>
  <c r="AY407" i="3"/>
  <c r="AY326" i="3"/>
  <c r="AY90" i="3"/>
  <c r="AY68" i="3"/>
  <c r="AY52" i="3"/>
  <c r="AY414" i="3"/>
  <c r="AY382" i="3"/>
  <c r="AY350" i="3"/>
  <c r="AY318" i="3"/>
  <c r="AY50" i="3"/>
  <c r="AY34" i="3"/>
  <c r="AY18" i="3"/>
  <c r="BK6" i="3"/>
  <c r="AY342" i="3"/>
  <c r="AY98" i="3"/>
  <c r="AY76" i="3"/>
  <c r="AY36" i="3"/>
  <c r="BQ6" i="3"/>
  <c r="AY166" i="3"/>
  <c r="AY142" i="3"/>
  <c r="AY61" i="3"/>
  <c r="AY564" i="3"/>
  <c r="AY520" i="3"/>
  <c r="AY480" i="3"/>
  <c r="AY585" i="3"/>
  <c r="AY497" i="3"/>
  <c r="AY578" i="3"/>
  <c r="AY531" i="3"/>
  <c r="AY490" i="3"/>
  <c r="AY450" i="3"/>
  <c r="AY405" i="3"/>
  <c r="AY361" i="3"/>
  <c r="AY321" i="3"/>
  <c r="AY535" i="3"/>
  <c r="AY485" i="3"/>
  <c r="AY428" i="3"/>
  <c r="AY384" i="3"/>
  <c r="AY340" i="3"/>
  <c r="AY431" i="3"/>
  <c r="AY275" i="3"/>
  <c r="AY231" i="3"/>
  <c r="AY191" i="3"/>
  <c r="AY313" i="3"/>
  <c r="AY269" i="3"/>
  <c r="AY229" i="3"/>
  <c r="AY185" i="3"/>
  <c r="AY133" i="3"/>
  <c r="AY93" i="3"/>
  <c r="AY559" i="3"/>
  <c r="AY509" i="3"/>
  <c r="AY447" i="3"/>
  <c r="AY395" i="3"/>
  <c r="AY354" i="3"/>
  <c r="AY315" i="3"/>
  <c r="AY300" i="3"/>
  <c r="AY284" i="3"/>
  <c r="AY268" i="3"/>
  <c r="AY252" i="3"/>
  <c r="AY236" i="3"/>
  <c r="AY220" i="3"/>
  <c r="AY204" i="3"/>
  <c r="AY188" i="3"/>
  <c r="AY172" i="3"/>
  <c r="AY144" i="3"/>
  <c r="AY128" i="3"/>
  <c r="AY112" i="3"/>
  <c r="AY151" i="3"/>
  <c r="AY135" i="3"/>
  <c r="AY119" i="3"/>
  <c r="AY103" i="3"/>
  <c r="AY87" i="3"/>
  <c r="AY71" i="3"/>
  <c r="AY138" i="3"/>
  <c r="AY63" i="3"/>
  <c r="AY47" i="3"/>
  <c r="AY31" i="3"/>
  <c r="AY15" i="3"/>
  <c r="BH6" i="3"/>
  <c r="AY391" i="3"/>
  <c r="AY106" i="3"/>
  <c r="AY88" i="3"/>
  <c r="AY66" i="3"/>
  <c r="AY40" i="3"/>
  <c r="AY399" i="3"/>
  <c r="AY367" i="3"/>
  <c r="AY335" i="3"/>
  <c r="AY62" i="3"/>
  <c r="AY46" i="3"/>
  <c r="AY30" i="3"/>
  <c r="AY14" i="3"/>
  <c r="BG6" i="3"/>
  <c r="AY327" i="3"/>
  <c r="AY86" i="3"/>
  <c r="AY74" i="3"/>
  <c r="AY32" i="3"/>
  <c r="BI6" i="3"/>
  <c r="AY165" i="3"/>
  <c r="AY134" i="3"/>
  <c r="AY57" i="3"/>
  <c r="AY41" i="3"/>
  <c r="AY25" i="3"/>
  <c r="BR6" i="3"/>
  <c r="BB6" i="3"/>
  <c r="AY358" i="3"/>
  <c r="AY94" i="3"/>
  <c r="AY48" i="3"/>
  <c r="AY16" i="3"/>
  <c r="AY374" i="3"/>
  <c r="AY43" i="3"/>
  <c r="AY83" i="3"/>
  <c r="AY147" i="3"/>
  <c r="AY162" i="3"/>
  <c r="AY230" i="3"/>
  <c r="AY294" i="3"/>
  <c r="AY426" i="3"/>
  <c r="AY117" i="3"/>
  <c r="AY297" i="3"/>
  <c r="AY303" i="3"/>
  <c r="AY368" i="3"/>
  <c r="AY581" i="3"/>
  <c r="AY389" i="3"/>
  <c r="AY474" i="3"/>
  <c r="AY553" i="3"/>
  <c r="AY504" i="3"/>
  <c r="D19" i="11"/>
  <c r="C19" i="11" s="1"/>
  <c r="C20" i="11" s="1"/>
  <c r="D3" i="21"/>
  <c r="B3" i="21" s="1"/>
  <c r="AY82" i="3"/>
  <c r="AY343" i="3"/>
  <c r="BF6" i="3"/>
  <c r="AY17" i="3"/>
  <c r="AY37" i="3"/>
  <c r="AY118" i="3"/>
  <c r="BA6" i="3"/>
  <c r="AY44" i="3"/>
  <c r="AY102" i="3"/>
  <c r="BO6" i="3"/>
  <c r="AY38" i="3"/>
  <c r="AY319" i="3"/>
  <c r="AY383" i="3"/>
  <c r="AY56" i="3"/>
  <c r="AY96" i="3"/>
  <c r="AY423" i="3"/>
  <c r="AY23" i="3"/>
  <c r="AY55" i="3"/>
  <c r="AY154" i="3"/>
  <c r="AY95" i="3"/>
  <c r="AY127" i="3"/>
  <c r="AY160" i="3"/>
  <c r="AY136" i="3"/>
  <c r="AY180" i="3"/>
  <c r="AY212" i="3"/>
  <c r="AY244" i="3"/>
  <c r="AY276" i="3"/>
  <c r="AY308" i="3"/>
  <c r="AY378" i="3"/>
  <c r="AY478" i="3"/>
  <c r="AY69" i="3"/>
  <c r="AY157" i="3"/>
  <c r="AY249" i="3"/>
  <c r="AY167" i="3"/>
  <c r="AY255" i="3"/>
  <c r="AY320" i="3"/>
  <c r="AY404" i="3"/>
  <c r="AY517" i="3"/>
  <c r="AY341" i="3"/>
  <c r="AY425" i="3"/>
  <c r="AY514" i="3"/>
  <c r="AY457" i="3"/>
  <c r="AY456" i="3"/>
  <c r="AY544" i="3"/>
  <c r="B14" i="74"/>
  <c r="B1" i="74" s="1"/>
  <c r="AY60" i="3"/>
  <c r="AY110" i="3"/>
  <c r="AY422" i="3"/>
  <c r="AY13" i="3"/>
  <c r="AY33" i="3"/>
  <c r="AY53" i="3"/>
  <c r="AY158" i="3"/>
  <c r="AY28" i="3"/>
  <c r="AY80" i="3"/>
  <c r="BC6" i="3"/>
  <c r="AY26" i="3"/>
  <c r="AY58" i="3"/>
  <c r="AY366" i="3"/>
  <c r="AY84" i="3"/>
  <c r="BT6" i="3"/>
  <c r="AY130" i="3"/>
  <c r="AY115" i="3"/>
  <c r="AY124" i="3"/>
  <c r="AY198" i="3"/>
  <c r="AY262" i="3"/>
  <c r="AY338" i="3"/>
  <c r="AY542" i="3"/>
  <c r="AY213" i="3"/>
  <c r="AY215" i="3"/>
  <c r="AY455" i="3"/>
  <c r="AY562" i="3"/>
  <c r="D37" i="11"/>
  <c r="C37" i="11" s="1"/>
  <c r="BM6" i="3"/>
  <c r="AY92" i="3"/>
  <c r="AY390" i="3"/>
  <c r="BJ6" i="3"/>
  <c r="AY21" i="3"/>
  <c r="AY45" i="3"/>
  <c r="AY126" i="3"/>
  <c r="BE6" i="3"/>
  <c r="AY70" i="3"/>
  <c r="AY108" i="3"/>
  <c r="BS6" i="3"/>
  <c r="AY42" i="3"/>
  <c r="AY334" i="3"/>
  <c r="AY398" i="3"/>
  <c r="AY64" i="3"/>
  <c r="AY100" i="3"/>
  <c r="BD6" i="3"/>
  <c r="AY27" i="3"/>
  <c r="AY59" i="3"/>
  <c r="AY67" i="3"/>
  <c r="AY99" i="3"/>
  <c r="AY131" i="3"/>
  <c r="AY168" i="3"/>
  <c r="AY140" i="3"/>
  <c r="AY182" i="3"/>
  <c r="AY214" i="3"/>
  <c r="AY246" i="3"/>
  <c r="AY278" i="3"/>
  <c r="AY310" i="3"/>
  <c r="AY379" i="3"/>
  <c r="AY479" i="3"/>
  <c r="AY77" i="3"/>
  <c r="AY164" i="3"/>
  <c r="AY253" i="3"/>
  <c r="AY175" i="3"/>
  <c r="AY259" i="3"/>
  <c r="AY324" i="3"/>
  <c r="AY412" i="3"/>
  <c r="AY518" i="3"/>
  <c r="AY345" i="3"/>
  <c r="AY433" i="3"/>
  <c r="AY515" i="3"/>
  <c r="AY465" i="3"/>
  <c r="AY464" i="3"/>
  <c r="AY548" i="3"/>
  <c r="AY572" i="3"/>
  <c r="AY556" i="3"/>
  <c r="AY540" i="3"/>
  <c r="AY524" i="3"/>
  <c r="AY508" i="3"/>
  <c r="AY492" i="3"/>
  <c r="AY476" i="3"/>
  <c r="AY460" i="3"/>
  <c r="AY444" i="3"/>
  <c r="AY569" i="3"/>
  <c r="AY537" i="3"/>
  <c r="AY505" i="3"/>
  <c r="AY473" i="3"/>
  <c r="AY587" i="3"/>
  <c r="AY571" i="3"/>
  <c r="AY555" i="3"/>
  <c r="AY539" i="3"/>
  <c r="AY523" i="3"/>
  <c r="AY507" i="3"/>
  <c r="AY491" i="3"/>
  <c r="AY475" i="3"/>
  <c r="AY459" i="3"/>
  <c r="AY443" i="3"/>
  <c r="AY429" i="3"/>
  <c r="AY413" i="3"/>
  <c r="AY397" i="3"/>
  <c r="AY381" i="3"/>
  <c r="AY365" i="3"/>
  <c r="AY349" i="3"/>
  <c r="AY333" i="3"/>
  <c r="AY317" i="3"/>
  <c r="AY567" i="3"/>
  <c r="AY550" i="3"/>
  <c r="AY533" i="3"/>
  <c r="AY503" i="3"/>
  <c r="AY486" i="3"/>
  <c r="AY469" i="3"/>
  <c r="AY441" i="3"/>
  <c r="AY424" i="3"/>
  <c r="AY408" i="3"/>
  <c r="AY392" i="3"/>
  <c r="AY376" i="3"/>
  <c r="AY360" i="3"/>
  <c r="AY344" i="3"/>
  <c r="AY328" i="3"/>
  <c r="D3" i="6"/>
  <c r="H21" i="6" s="1"/>
  <c r="AY434" i="3"/>
  <c r="AY299" i="3"/>
  <c r="AY283" i="3"/>
  <c r="AY267" i="3"/>
  <c r="AY251" i="3"/>
  <c r="AY235" i="3"/>
  <c r="AY219" i="3"/>
  <c r="AY203" i="3"/>
  <c r="AY187" i="3"/>
  <c r="AY171" i="3"/>
  <c r="AY438" i="3"/>
  <c r="AY305" i="3"/>
  <c r="AY289" i="3"/>
  <c r="AY273" i="3"/>
  <c r="AY257" i="3"/>
  <c r="AY241" i="3"/>
  <c r="AY225" i="3"/>
  <c r="AY209" i="3"/>
  <c r="AY193" i="3"/>
  <c r="AY177" i="3"/>
  <c r="AY153" i="3"/>
  <c r="AY137" i="3"/>
  <c r="AY121" i="3"/>
  <c r="AY105" i="3"/>
  <c r="AY89" i="3"/>
  <c r="AY73" i="3"/>
  <c r="AY574" i="3"/>
  <c r="AY557" i="3"/>
  <c r="AY527" i="3"/>
  <c r="AY510" i="3"/>
  <c r="AY493" i="3"/>
  <c r="AY463" i="3"/>
  <c r="AY446" i="3"/>
  <c r="AY419" i="3"/>
  <c r="AY403" i="3"/>
  <c r="AY387" i="3"/>
  <c r="AY371" i="3"/>
  <c r="AY355" i="3"/>
  <c r="AY339" i="3"/>
  <c r="AC7" i="33"/>
  <c r="S7" i="36"/>
  <c r="AB7" i="35"/>
  <c r="T38" i="35" s="1"/>
  <c r="G38" i="35" s="1"/>
  <c r="AC7" i="35"/>
  <c r="V38" i="35" s="1"/>
  <c r="I38" i="35" s="1"/>
  <c r="I42" i="35" s="1"/>
  <c r="J42" i="35" s="1"/>
  <c r="J18" i="67"/>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E69" i="39"/>
  <c r="F67" i="39"/>
  <c r="U7" i="33"/>
  <c r="AB7" i="33"/>
  <c r="I46" i="37"/>
  <c r="J46" i="37" s="1"/>
  <c r="G40" i="36"/>
  <c r="H40" i="36" s="1"/>
  <c r="G41" i="36"/>
  <c r="H41" i="36"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R39" i="35"/>
  <c r="C15" i="67"/>
  <c r="C18" i="67"/>
  <c r="H24" i="6"/>
  <c r="H23" i="6"/>
  <c r="E6" i="3"/>
  <c r="D20" i="12"/>
  <c r="C20" i="12" s="1"/>
  <c r="C18" i="12" s="1"/>
  <c r="D10" i="68"/>
  <c r="D10" i="11"/>
  <c r="C10" i="11" s="1"/>
  <c r="D10" i="69"/>
  <c r="S10" i="39"/>
  <c r="C14" i="12"/>
  <c r="C16" i="12" s="1"/>
  <c r="D10" i="6"/>
  <c r="L19" i="9"/>
  <c r="M19" i="9"/>
  <c r="C118" i="9" s="1"/>
  <c r="D13" i="6"/>
  <c r="D9" i="6"/>
  <c r="D26" i="6"/>
  <c r="D22" i="6"/>
  <c r="D21" i="6"/>
  <c r="R21" i="6" s="1"/>
  <c r="C61" i="67"/>
  <c r="S16" i="1"/>
  <c r="AR6" i="1"/>
  <c r="E6" i="70"/>
  <c r="E2" i="70" s="1"/>
  <c r="T6" i="1"/>
  <c r="T16" i="1" s="1"/>
  <c r="AQ6" i="1"/>
  <c r="S20" i="6"/>
  <c r="H19" i="6"/>
  <c r="S19" i="6"/>
  <c r="I27" i="6"/>
  <c r="M27" i="6"/>
  <c r="AC10" i="39"/>
  <c r="W10" i="39"/>
  <c r="AB10" i="39"/>
  <c r="U10" i="39"/>
  <c r="U10" i="40"/>
  <c r="AB10" i="40"/>
  <c r="F69" i="67"/>
  <c r="C26" i="15"/>
  <c r="G43" i="35" l="1"/>
  <c r="H43" i="35" s="1"/>
  <c r="H20" i="6"/>
  <c r="C18" i="4"/>
  <c r="D23" i="6"/>
  <c r="R23" i="6" s="1"/>
  <c r="D29" i="6"/>
  <c r="D30" i="6" s="1"/>
  <c r="D6" i="6"/>
  <c r="D12" i="6"/>
  <c r="H22" i="6"/>
  <c r="R22" i="6"/>
  <c r="D19" i="6"/>
  <c r="D25" i="6"/>
  <c r="D5" i="6"/>
  <c r="D11" i="6"/>
  <c r="E61" i="40"/>
  <c r="H26" i="6"/>
  <c r="D20" i="6"/>
  <c r="R20" i="6" s="1"/>
  <c r="D24" i="6"/>
  <c r="R24" i="6" s="1"/>
  <c r="D28" i="6"/>
  <c r="D8" i="6"/>
  <c r="D15" i="6"/>
  <c r="D14" i="6"/>
  <c r="H25" i="6"/>
  <c r="C28" i="11"/>
  <c r="C27" i="11" s="1"/>
  <c r="I43" i="35"/>
  <c r="J43" i="35" s="1"/>
  <c r="G42" i="35"/>
  <c r="H42" i="35" s="1"/>
  <c r="E61" i="43"/>
  <c r="B59" i="43" s="1"/>
  <c r="C28" i="43" s="1"/>
  <c r="T20" i="71"/>
  <c r="D20" i="71"/>
  <c r="U20" i="71" s="1"/>
  <c r="C19" i="71"/>
  <c r="C35" i="69"/>
  <c r="C38" i="69"/>
  <c r="N16" i="1"/>
  <c r="C34" i="11"/>
  <c r="L16" i="1"/>
  <c r="C34" i="68"/>
  <c r="T48" i="33"/>
  <c r="G48" i="33" s="1"/>
  <c r="G52" i="33" s="1"/>
  <c r="H52" i="33" s="1"/>
  <c r="F22" i="68"/>
  <c r="C23" i="68" s="1"/>
  <c r="L36" i="43"/>
  <c r="Q36" i="43" s="1"/>
  <c r="F24" i="67"/>
  <c r="C24" i="67" s="1"/>
  <c r="F22" i="69"/>
  <c r="F41" i="69" s="1"/>
  <c r="F24" i="15"/>
  <c r="F25" i="12"/>
  <c r="C26" i="12" s="1"/>
  <c r="D25" i="12" s="1"/>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J24" i="15"/>
  <c r="J26" i="15"/>
  <c r="J29" i="15" s="1"/>
  <c r="F65" i="40"/>
  <c r="G63" i="40"/>
  <c r="R25" i="6"/>
  <c r="C19" i="67"/>
  <c r="C20" i="67" s="1"/>
  <c r="R26" i="6"/>
  <c r="C10" i="69"/>
  <c r="C8" i="69" s="1"/>
  <c r="D19" i="69"/>
  <c r="A10" i="51"/>
  <c r="B9" i="72" s="1"/>
  <c r="A7" i="51"/>
  <c r="B7" i="72" s="1"/>
  <c r="C4" i="52"/>
  <c r="B45" i="72" s="1"/>
  <c r="C21" i="12"/>
  <c r="C10" i="68"/>
  <c r="D19" i="68"/>
  <c r="S27" i="6"/>
  <c r="R19" i="6"/>
  <c r="H27" i="6"/>
  <c r="D16" i="6" l="1"/>
  <c r="R49" i="33"/>
  <c r="D27" i="6"/>
  <c r="F50" i="69"/>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M21" i="67"/>
  <c r="F35" i="67"/>
  <c r="C33" i="11" l="1"/>
  <c r="C42" i="11" s="1"/>
  <c r="C33" i="68"/>
  <c r="C39" i="68" s="1"/>
  <c r="C43" i="68"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39" i="11" l="1"/>
  <c r="C43" i="11" s="1"/>
  <c r="C41" i="11" s="1"/>
  <c r="C46" i="68"/>
  <c r="C45" i="68" s="1"/>
  <c r="C42" i="68"/>
  <c r="C41" i="68" s="1"/>
  <c r="C31" i="43"/>
  <c r="C16" i="71"/>
  <c r="D17" i="71"/>
  <c r="C30" i="43"/>
  <c r="C7" i="69"/>
  <c r="C5" i="69" s="1"/>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19" i="9"/>
  <c r="E6" i="76"/>
  <c r="C20" i="9"/>
  <c r="C46" i="11" l="1"/>
  <c r="C45" i="11" s="1"/>
  <c r="C49" i="68"/>
  <c r="C51" i="68" s="1"/>
  <c r="C49" i="11"/>
  <c r="C51" i="11" s="1"/>
  <c r="C52" i="11" s="1"/>
  <c r="B2" i="11" s="1"/>
  <c r="B3"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L51" i="67"/>
  <c r="D20" i="9"/>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D35" i="9"/>
  <c r="AO6" i="1"/>
  <c r="D34" i="9"/>
  <c r="D19"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<sst xmlns="http://schemas.openxmlformats.org/spreadsheetml/2006/main" count="8027" uniqueCount="2794">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</sst>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8" fillId="2" borderId="79"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23809" cy="5838095"/>
        </a:xfrm>
        <a:prstGeom prst="rect">
          <a:avLst/>
        </a:prstGeom>
      </xdr:spPr>
    </xdr:pic>
    <xdr:clientData/>
  </xdr:twoCellAnchor>
  <xdr:twoCellAnchor editAs="oneCell">
    <xdr:from>
      <xdr:col>11</xdr:col>
      <xdr:colOff>590550</xdr:colOff>
      <xdr:row>0</xdr:row>
      <xdr:rowOff>0</xdr:rowOff>
    </xdr:from>
    <xdr:to>
      <xdr:col>17</xdr:col>
      <xdr:colOff>275750</xdr:colOff>
      <xdr:row>33</xdr:row>
      <xdr:rowOff>142150</xdr:rowOff>
    </xdr:to>
    <xdr:pic>
      <xdr:nvPicPr>
        <xdr:cNvPr id="3" name="图片 2"/>
        <xdr:cNvPicPr>
          <a:picLocks noChangeAspect="1"/>
        </xdr:cNvPicPr>
      </xdr:nvPicPr>
      <xdr:blipFill>
        <a:blip xmlns:r="http://schemas.openxmlformats.org/officeDocument/2006/relationships" r:embed="rId2"/>
        <a:stretch>
          <a:fillRect/>
        </a:stretch>
      </xdr:blipFill>
      <xdr:spPr>
        <a:xfrm>
          <a:off x="8134350" y="0"/>
          <a:ext cx="3800000" cy="5800000"/>
        </a:xfrm>
        <a:prstGeom prst="rect">
          <a:avLst/>
        </a:prstGeom>
      </xdr:spPr>
    </xdr:pic>
    <xdr:clientData/>
  </xdr:twoCellAnchor>
  <xdr:twoCellAnchor editAs="oneCell">
    <xdr:from>
      <xdr:col>6</xdr:col>
      <xdr:colOff>0</xdr:colOff>
      <xdr:row>0</xdr:row>
      <xdr:rowOff>0</xdr:rowOff>
    </xdr:from>
    <xdr:to>
      <xdr:col>11</xdr:col>
      <xdr:colOff>275762</xdr:colOff>
      <xdr:row>14</xdr:row>
      <xdr:rowOff>56843</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704762" cy="2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估价对象为北京市房地产，为所有。根据《国有土地使用证》[]，估价对象（分摊）出让国有建设用地使用权面积为0平方米，建筑面积为148.99平方米。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估价对象为北京市房地产,属开发建设的办公项目，该项目尚在开发建设中。根据《国有土地使用证》[]，估价对象（分摊）出让国有建设用地使用权面积为0平方米，规划建筑面积为148.99平方米。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2025年9月9日（评估专业人员实地查勘之日）</v>
      </c>
    </row>
    <row r="13" spans="1:2">
      <c r="A13" s="3160" t="s">
        <v>13</v>
      </c>
      <c r="B13" s="3161"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580</v>
      </c>
    </row>
    <row r="21" spans="1:2">
      <c r="A21" s="3160" t="s">
        <v>21</v>
      </c>
      <c r="B21" s="3161">
        <f ca="1">'预评函-2'!D7</f>
        <v>38917</v>
      </c>
    </row>
    <row r="22" spans="1:2">
      <c r="A22" s="3160" t="s">
        <v>22</v>
      </c>
      <c r="B22" s="3161" t="str">
        <f ca="1">'预评函-2'!D6</f>
        <v>伍佰捌拾万元整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580</v>
      </c>
    </row>
    <row r="31" spans="1:2">
      <c r="A31" s="3160" t="s">
        <v>31</v>
      </c>
      <c r="B31" s="3161">
        <f ca="1">'预评函-2'!D15</f>
        <v>38917</v>
      </c>
    </row>
    <row r="32" spans="1:2">
      <c r="A32" s="3160" t="s">
        <v>32</v>
      </c>
      <c r="B32" s="3161" t="str">
        <f ca="1">'预评函-2'!D14</f>
        <v>伍佰捌拾万元整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148.99</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444</v>
      </c>
    </row>
    <row r="48" spans="1:2">
      <c r="A48" s="3160" t="s">
        <v>48</v>
      </c>
      <c r="B48" s="3161">
        <f ca="1">'预评函-3'!E4</f>
        <v>29810</v>
      </c>
    </row>
    <row r="49" spans="1:2">
      <c r="A49" s="3160" t="s">
        <v>49</v>
      </c>
      <c r="B49" s="3161" t="str">
        <f ca="1">'预评函-3'!D5</f>
        <v>肆佰肆拾肆万元整</v>
      </c>
    </row>
    <row r="50" spans="1:2">
      <c r="A50" s="3160" t="s">
        <v>50</v>
      </c>
      <c r="B50" s="3161" t="str">
        <f>'预评函-3'!F2</f>
        <v>在建建筑物价值</v>
      </c>
    </row>
    <row r="51" spans="1:2">
      <c r="A51" s="3160" t="s">
        <v>51</v>
      </c>
      <c r="B51" s="3161">
        <f ca="1">'预评函-3'!F4</f>
        <v>136</v>
      </c>
    </row>
    <row r="52" spans="1:2">
      <c r="A52" s="3160" t="s">
        <v>52</v>
      </c>
      <c r="B52" s="3161">
        <f ca="1">'预评函-3'!G4</f>
        <v>9107</v>
      </c>
    </row>
    <row r="53" spans="1:2">
      <c r="A53" s="3160" t="s">
        <v>53</v>
      </c>
      <c r="B53" s="3161" t="str">
        <f ca="1">'预评函-3'!F5</f>
        <v>壹佰叁拾陆万元整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45909</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1.27</v>
      </c>
      <c r="D5" s="3006">
        <f>IF(ISERROR(ROUND(POWER(1+E5,A5-C5)*(POWER(1+E5,C5)-1)/(POWER(1+E5,A5)-1),3)),0,ROUND(POWER(1+E5,A5-C5)*(POWER(1+E5,C5)-1)/(POWER(1+E5,A5)-1),4))</f>
        <v>6.1400000000000003E-2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11.28</v>
      </c>
      <c r="D6" s="3006">
        <f>IF(ISERROR(ROUND(POWER(1+E6,A6-C6)*(POWER(1+E6,C6)-1)/(POWER(1+E6,A6)-1),3)),0,ROUND(POWER(1+E6,A6-C6)*(POWER(1+E6,C6)-1)/(POWER(1+E6,A6)-1),4))</f>
        <v>0.41610000000000003</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31.29</v>
      </c>
      <c r="D7" s="3006">
        <f>IF(ISERROR(ROUND(POWER(1+E7,A7-C7)*(POWER(1+E7,C7)-1)/(POWER(1+E7,A7)-1),3)),0,ROUND(POWER(1+E7,A7-C7)*(POWER(1+E7,C7)-1)/(POWER(1+E7,A7)-1),4))</f>
        <v>0.75539999999999996</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45909</v>
      </c>
      <c r="C3" s="2887" t="s">
        <v>477</v>
      </c>
      <c r="D3" s="2886">
        <f>B3</f>
        <v>45909</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0" t="s">
        <v>483</v>
      </c>
      <c r="E8" s="2902" t="s">
        <v>368</v>
      </c>
      <c r="F8" s="2903"/>
      <c r="G8" s="2658"/>
      <c r="H8" s="2658"/>
      <c r="I8" s="2658"/>
      <c r="J8" s="2521"/>
      <c r="K8" s="2976"/>
      <c r="L8" s="2974"/>
      <c r="M8" s="2974"/>
      <c r="N8" s="2521"/>
      <c r="O8" s="2345"/>
      <c r="P8" s="2521"/>
      <c r="Q8" s="2521"/>
      <c r="R8" s="2521"/>
    </row>
    <row r="9" spans="1:30">
      <c r="A9" s="2904" t="s">
        <v>484</v>
      </c>
      <c r="B9" s="2905" t="s">
        <v>368</v>
      </c>
      <c r="C9" s="2906"/>
      <c r="D9" s="3241"/>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55952</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27.51</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28"/>
      <c r="C16" s="3229"/>
      <c r="D16" s="3230"/>
      <c r="E16" s="2928" t="s">
        <v>502</v>
      </c>
      <c r="F16" s="3231"/>
      <c r="G16" s="3232"/>
      <c r="H16" s="3232"/>
      <c r="I16" s="3233"/>
      <c r="J16" s="2521"/>
      <c r="K16" s="2982"/>
      <c r="L16" s="2345"/>
      <c r="M16" s="2345"/>
      <c r="N16" s="2521"/>
      <c r="O16" s="2345"/>
      <c r="P16" s="2521"/>
      <c r="Q16" s="2521"/>
      <c r="R16" s="2521"/>
    </row>
    <row r="17" spans="1:28">
      <c r="A17" s="272" t="s">
        <v>503</v>
      </c>
      <c r="B17" s="260" t="s">
        <v>504</v>
      </c>
      <c r="C17" s="1230">
        <f>'数据-汇总表'!E3</f>
        <v>148.99</v>
      </c>
      <c r="D17" s="317" t="s">
        <v>505</v>
      </c>
      <c r="E17" s="3234" t="s">
        <v>506</v>
      </c>
      <c r="F17" s="3235"/>
      <c r="G17" s="3235"/>
      <c r="H17" s="3235"/>
      <c r="I17" s="3236"/>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37" t="s">
        <v>509</v>
      </c>
      <c r="F18" s="3238"/>
      <c r="G18" s="3238"/>
      <c r="H18" s="3238"/>
      <c r="I18" s="3239"/>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44" t="s">
        <v>514</v>
      </c>
      <c r="C20" s="3245"/>
      <c r="D20" s="3246" t="s">
        <v>515</v>
      </c>
      <c r="E20" s="3247"/>
      <c r="F20" s="2937" t="s">
        <v>516</v>
      </c>
      <c r="G20" s="2658"/>
      <c r="H20" s="2658"/>
      <c r="I20" s="2658"/>
      <c r="J20" s="2521"/>
      <c r="K20" s="3242"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42"/>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42"/>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1"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1"/>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1"/>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22"/>
      <c r="B30" s="260" t="s">
        <v>535</v>
      </c>
      <c r="C30" s="3248"/>
      <c r="D30" s="3249"/>
      <c r="E30" s="2658"/>
      <c r="F30" s="2658"/>
      <c r="G30" s="2658"/>
      <c r="H30" s="2658"/>
      <c r="I30" s="2658"/>
      <c r="J30" s="2521"/>
      <c r="K30" s="2975"/>
      <c r="L30" s="2974"/>
      <c r="M30" s="2974"/>
      <c r="N30" s="2521"/>
      <c r="O30" s="2345"/>
      <c r="P30" s="2521"/>
      <c r="Q30" s="2521"/>
      <c r="R30" s="2521"/>
      <c r="S30" s="2521"/>
      <c r="T30" s="2521"/>
      <c r="U30" s="2521"/>
      <c r="V30" s="2521"/>
    </row>
    <row r="31" spans="1:28">
      <c r="A31" s="3223"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24"/>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24"/>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43" t="s">
        <v>546</v>
      </c>
      <c r="T34" s="304" t="str">
        <f>NUMBERSTRING(7-K34,1)&amp;"通"</f>
        <v>七通</v>
      </c>
      <c r="U34" s="2521"/>
      <c r="V34" s="2521"/>
    </row>
    <row r="35" spans="1:30">
      <c r="A35" s="2962"/>
      <c r="B35" s="3243" t="s">
        <v>547</v>
      </c>
      <c r="C35" s="3243"/>
      <c r="D35" s="3243"/>
      <c r="E35" s="3243"/>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43"/>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43" sqref="D43"/>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148.99</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148.99</v>
      </c>
      <c r="H5" s="2809">
        <f t="shared" ref="H5:AT5" si="0">SUM(H13:H656)</f>
        <v>148.99</v>
      </c>
      <c r="I5" s="2809">
        <f t="shared" si="0"/>
        <v>148.99</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148.99</v>
      </c>
      <c r="BA5" s="2862">
        <f t="shared" si="1"/>
        <v>148.99</v>
      </c>
      <c r="BB5" s="2862">
        <f t="shared" si="1"/>
        <v>148.99</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2206</v>
      </c>
      <c r="D13" s="2823" t="s">
        <v>605</v>
      </c>
      <c r="E13" s="2809">
        <f>IF($C$3="是",ROUND($A$3*G13/$B$3,2),ROUND($A$3*(G13-AT13)/$B$3,2))</f>
        <v>0</v>
      </c>
      <c r="F13" s="2824"/>
      <c r="G13" s="2825">
        <f>H13+AC13+AT13</f>
        <v>148.99</v>
      </c>
      <c r="H13" s="2812">
        <f>SUMIF(I$12:AB$12,"总值",I13:AB13)</f>
        <v>148.99</v>
      </c>
      <c r="I13" s="2837">
        <v>148.99</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2206</v>
      </c>
      <c r="AY13" s="2354">
        <f>ROUND($AY$6*AZ13/$AZ$5,2)</f>
        <v>0</v>
      </c>
      <c r="AZ13" s="2809">
        <f>BA13+BL13</f>
        <v>148.99</v>
      </c>
      <c r="BA13" s="2809">
        <f>SUM(BB13:BK13)</f>
        <v>148.99</v>
      </c>
      <c r="BB13" s="2809">
        <f>IF($D13="是",I13-J13,0)</f>
        <v>148.99</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148.99</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148.99</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148.99</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148.99</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2782</v>
      </c>
      <c r="D19" s="2245">
        <f>ROUND($D$3*E19/$E$3,2)</f>
        <v>0</v>
      </c>
      <c r="E19" s="2769">
        <f t="shared" ref="E19:E26" si="1">SUM(F19:G19)</f>
        <v>148.99</v>
      </c>
      <c r="F19" s="2770">
        <f>'数据-基础表'!I13</f>
        <v>148.99</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148.99</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148.99</v>
      </c>
      <c r="F27" s="2775">
        <f>IF(SUM(F19:F26)=E8,SUM(F19:F26),"地上面积有误")</f>
        <v>148.99</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148.99</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148.99</v>
      </c>
      <c r="F31" s="2783">
        <f>F27+F30</f>
        <v>148.99</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K32" sqref="K32"/>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45909</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55952</v>
      </c>
      <c r="F6" s="2581">
        <f>SUMIF(项目基本情况!C$12:I$12,C6,项目基本情况!C$15:I$15)</f>
        <v>27.51</v>
      </c>
      <c r="G6" s="2582">
        <f>IF(ISERROR(ROUND(POWER(1+H6,D6-F6)*(POWER(1+H6,F6)-1)/(POWER(1+H6,D6)-1),3)),0,ROUND(POWER(1+H6,D6-F6)*(POWER(1+H6,F6)-1)/(POWER(1+H6,D6)-1),3))</f>
        <v>0.80900000000000005</v>
      </c>
      <c r="H6" s="2583">
        <v>0.05</v>
      </c>
      <c r="I6" s="2583">
        <v>5.5E-2</v>
      </c>
      <c r="J6" s="2584">
        <v>7.0000000000000007E-2</v>
      </c>
      <c r="K6" s="2666">
        <f>SUMIF('数据-汇总表'!C$19:C$33,A6,'数据-汇总表'!E$19:E$33)</f>
        <v>148.99</v>
      </c>
      <c r="L6" s="2667">
        <v>4500</v>
      </c>
      <c r="M6" s="2668">
        <f t="shared" ref="M6:M14" si="0">ROUND(K6*L6/10000,0)</f>
        <v>67</v>
      </c>
      <c r="N6" s="2669">
        <f>N20</f>
        <v>0.76</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5</v>
      </c>
      <c r="V6" s="2690">
        <v>0.02</v>
      </c>
      <c r="W6" s="2690">
        <v>0.1</v>
      </c>
      <c r="X6" s="2691"/>
      <c r="Y6" s="2707">
        <f>N6</f>
        <v>0.76</v>
      </c>
      <c r="Z6" s="2708"/>
      <c r="AA6" s="2584"/>
      <c r="AB6" s="2584"/>
      <c r="AC6" s="2691"/>
      <c r="AD6" s="2709"/>
      <c r="AE6" s="2710">
        <f ca="1">IF(AN6="",0,SUMIF(INDIRECT("'"&amp;AN6&amp;"'"&amp;"!E:E"),$AE$5,INDIRECT("'"&amp;AN6&amp;"'"&amp;"!F:F")))</f>
        <v>27.51</v>
      </c>
      <c r="AF6" s="2232"/>
      <c r="AG6" s="1891">
        <f>IF(AF6="",0,AE6-AF6)</f>
        <v>0</v>
      </c>
      <c r="AH6" s="2718"/>
      <c r="AI6" s="2719">
        <v>365</v>
      </c>
      <c r="AJ6" s="2232"/>
      <c r="AK6" s="3176">
        <v>3.0000000000000001E-3</v>
      </c>
      <c r="AL6" s="3177">
        <v>1E-3</v>
      </c>
      <c r="AM6" s="2722">
        <v>5.0000000000000001E-3</v>
      </c>
      <c r="AN6" s="2723" t="s">
        <v>285</v>
      </c>
      <c r="AO6" s="1501">
        <f ca="1">SUMIF(INDIRECT("'"&amp;AN6&amp;"'"&amp;"!A:A"),"总价",INDIRECT("'"&amp;AN6&amp;"'"&amp;"!B:B"))</f>
        <v>392.02300000000002</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0.80900000000000005</v>
      </c>
      <c r="H16" s="2592">
        <f>ROUND(SUMPRODUCT(H6:H13,K6:K13)/SUMPRODUCT((H6:H13&gt;0)*(K6:K13)),3)</f>
        <v>0.05</v>
      </c>
      <c r="I16" s="2675"/>
      <c r="J16" s="2675"/>
      <c r="K16" s="2676">
        <f>SUM(K6:K15)</f>
        <v>148.99</v>
      </c>
      <c r="L16" s="2677">
        <f>ROUND(M16*10000/SUM(K6:K14),0)</f>
        <v>4497</v>
      </c>
      <c r="M16" s="2677">
        <f>SUM(M6:M14)</f>
        <v>67</v>
      </c>
      <c r="N16" s="2678">
        <f>ROUND(SUMPRODUCT(M6:M14,N6:N14)/M16,3)</f>
        <v>0.76</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2005</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f>ROUND(1-(2025-N17)/60,2)</f>
        <v>0.67</v>
      </c>
      <c r="O18" s="2129">
        <v>0.5</v>
      </c>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v>0.85</v>
      </c>
      <c r="O19" s="2129">
        <f>1-O18</f>
        <v>0.5</v>
      </c>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f>ROUND(N18*O18+N19*O19,2)</f>
        <v>0.76</v>
      </c>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18" sqref="H18"/>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148.99</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45909</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579.82439999999997</v>
      </c>
      <c r="C5" s="2489">
        <f ca="1">IF(B5=D14,结果表!H102,ROUND(B5*10000/$B$1,0))</f>
        <v>38917</v>
      </c>
      <c r="D5" s="2489" t="e">
        <f ca="1">ROUND(B5*10000/$B$2,0)</f>
        <v>#DIV/0!</v>
      </c>
      <c r="E5" s="2490"/>
      <c r="F5" s="2491"/>
      <c r="G5" s="2491"/>
      <c r="H5" s="2491"/>
      <c r="I5" s="2491"/>
      <c r="J5" s="2491"/>
      <c r="K5" s="2491"/>
    </row>
    <row r="6" spans="1:11" ht="16.5">
      <c r="A6" s="2489" t="s">
        <v>794</v>
      </c>
      <c r="B6" s="2489">
        <f ca="1">SUM(G14:G23)</f>
        <v>579.82439999999997</v>
      </c>
      <c r="C6" s="2489">
        <f ca="1">IF(B6=G14,结果表!H108,ROUND(B6*10000/$B$1,0))</f>
        <v>38917</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结果表!L18</f>
        <v>148.99</v>
      </c>
      <c r="C14" s="2500"/>
      <c r="D14" s="2500">
        <f ca="1">ROUND(E14*B14/10000,4)</f>
        <v>579.82439999999997</v>
      </c>
      <c r="E14" s="2500">
        <f ca="1">结果表!C32</f>
        <v>38917</v>
      </c>
      <c r="F14" s="2500" t="e">
        <f ca="1">ROUND(D14*10000/C14,0)</f>
        <v>#DIV/0!</v>
      </c>
      <c r="G14" s="2500">
        <f ca="1">D14</f>
        <v>579.82439999999997</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PageLayoutView="80" workbookViewId="0">
      <selection activeCell="G20" sqref="G20"/>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267" t="str">
        <f>项目基本情况!S2</f>
        <v>北京市房地产</v>
      </c>
      <c r="B2" s="3268"/>
      <c r="C2" s="3268"/>
      <c r="D2" s="3268"/>
      <c r="E2" s="3268"/>
      <c r="F2" s="3268"/>
      <c r="G2" s="3268"/>
      <c r="H2" s="3268"/>
      <c r="I2" s="3269"/>
    </row>
    <row r="3" spans="1:12" ht="12.75">
      <c r="A3" s="3270" t="s">
        <v>818</v>
      </c>
      <c r="B3" s="3271"/>
      <c r="C3" s="3271"/>
      <c r="D3" s="3271"/>
      <c r="E3" s="3271"/>
      <c r="F3" s="3271"/>
      <c r="G3" s="3271"/>
      <c r="H3" s="3271"/>
      <c r="I3" s="3271"/>
    </row>
    <row r="4" spans="1:12" ht="14.25">
      <c r="A4" s="2227" t="s">
        <v>819</v>
      </c>
      <c r="B4" s="2228" t="s">
        <v>820</v>
      </c>
      <c r="C4" s="2229" t="s">
        <v>2787</v>
      </c>
      <c r="D4" s="2229" t="s">
        <v>285</v>
      </c>
      <c r="E4" s="3272" t="s">
        <v>821</v>
      </c>
      <c r="F4" s="3273"/>
      <c r="G4" s="3273"/>
      <c r="H4" s="3273"/>
      <c r="I4" s="3274"/>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317" t="s">
        <v>822</v>
      </c>
      <c r="B5" s="3355">
        <v>25</v>
      </c>
      <c r="C5" s="3287"/>
      <c r="D5" s="3286"/>
      <c r="E5" s="302" t="s">
        <v>823</v>
      </c>
      <c r="F5" s="2233"/>
      <c r="G5" s="2233"/>
      <c r="H5" s="2233"/>
      <c r="I5" s="2113"/>
    </row>
    <row r="6" spans="1:12" ht="12.75">
      <c r="A6" s="3317"/>
      <c r="B6" s="3355"/>
      <c r="C6" s="3288"/>
      <c r="D6" s="3286"/>
      <c r="E6" s="302" t="s">
        <v>824</v>
      </c>
      <c r="F6" s="2233"/>
      <c r="G6" s="2233"/>
      <c r="H6" s="2233"/>
      <c r="I6" s="2113"/>
    </row>
    <row r="7" spans="1:12" ht="12.75">
      <c r="A7" s="3317"/>
      <c r="B7" s="3355"/>
      <c r="C7" s="3289"/>
      <c r="D7" s="3286"/>
      <c r="E7" s="302" t="s">
        <v>825</v>
      </c>
      <c r="F7" s="2233"/>
      <c r="G7" s="2233"/>
      <c r="H7" s="2233"/>
      <c r="I7" s="2113"/>
    </row>
    <row r="8" spans="1:12" ht="12.75">
      <c r="A8" s="3317" t="s">
        <v>826</v>
      </c>
      <c r="B8" s="3355">
        <v>15</v>
      </c>
      <c r="C8" s="3287"/>
      <c r="D8" s="3286"/>
      <c r="E8" s="302" t="s">
        <v>827</v>
      </c>
      <c r="F8" s="2233"/>
      <c r="G8" s="2233"/>
      <c r="H8" s="2233"/>
      <c r="I8" s="2113"/>
    </row>
    <row r="9" spans="1:12" ht="12.75">
      <c r="A9" s="3317"/>
      <c r="B9" s="3355"/>
      <c r="C9" s="3289"/>
      <c r="D9" s="3286"/>
      <c r="E9" s="302" t="s">
        <v>828</v>
      </c>
      <c r="F9" s="2233"/>
      <c r="G9" s="2233"/>
      <c r="H9" s="2233"/>
      <c r="I9" s="2113"/>
    </row>
    <row r="10" spans="1:12" ht="12.75">
      <c r="A10" s="3317" t="s">
        <v>829</v>
      </c>
      <c r="B10" s="3355">
        <v>15</v>
      </c>
      <c r="C10" s="3287"/>
      <c r="D10" s="3286"/>
      <c r="E10" s="302" t="s">
        <v>830</v>
      </c>
      <c r="F10" s="2233"/>
      <c r="G10" s="2233"/>
      <c r="H10" s="2233"/>
      <c r="I10" s="2113"/>
    </row>
    <row r="11" spans="1:12" ht="12.75">
      <c r="A11" s="3317"/>
      <c r="B11" s="3355"/>
      <c r="C11" s="3289"/>
      <c r="D11" s="3286"/>
      <c r="E11" s="302" t="s">
        <v>831</v>
      </c>
      <c r="F11" s="2233"/>
      <c r="G11" s="2233"/>
      <c r="H11" s="2233"/>
      <c r="I11" s="2113"/>
    </row>
    <row r="12" spans="1:12" ht="12.75">
      <c r="A12" s="3317" t="s">
        <v>832</v>
      </c>
      <c r="B12" s="3355">
        <v>15</v>
      </c>
      <c r="C12" s="3287"/>
      <c r="D12" s="3286"/>
      <c r="E12" s="302" t="s">
        <v>833</v>
      </c>
      <c r="F12" s="2233"/>
      <c r="G12" s="2233"/>
      <c r="H12" s="2233"/>
      <c r="I12" s="2113"/>
    </row>
    <row r="13" spans="1:12" ht="12.75">
      <c r="A13" s="3317"/>
      <c r="B13" s="3355"/>
      <c r="C13" s="3289"/>
      <c r="D13" s="3286"/>
      <c r="E13" s="302" t="s">
        <v>834</v>
      </c>
      <c r="F13" s="2233"/>
      <c r="G13" s="2233"/>
      <c r="H13" s="2233"/>
      <c r="I13" s="2113"/>
    </row>
    <row r="14" spans="1:12" ht="12.75">
      <c r="A14" s="3317" t="s">
        <v>835</v>
      </c>
      <c r="B14" s="3355">
        <v>30</v>
      </c>
      <c r="C14" s="3287">
        <v>7</v>
      </c>
      <c r="D14" s="3286">
        <v>3</v>
      </c>
      <c r="E14" s="302" t="s">
        <v>836</v>
      </c>
      <c r="F14" s="2233"/>
      <c r="G14" s="2233"/>
      <c r="H14" s="2233"/>
      <c r="I14" s="2113"/>
    </row>
    <row r="15" spans="1:12" ht="12.75">
      <c r="A15" s="3317"/>
      <c r="B15" s="3355"/>
      <c r="C15" s="3288"/>
      <c r="D15" s="3286"/>
      <c r="E15" s="302" t="s">
        <v>837</v>
      </c>
      <c r="F15" s="2233"/>
      <c r="G15" s="2233"/>
      <c r="H15" s="2233"/>
      <c r="I15" s="2113"/>
    </row>
    <row r="16" spans="1:12" ht="12.75">
      <c r="A16" s="3317"/>
      <c r="B16" s="3355"/>
      <c r="C16" s="3289"/>
      <c r="D16" s="3286"/>
      <c r="E16" s="302" t="s">
        <v>838</v>
      </c>
      <c r="F16" s="2233"/>
      <c r="G16" s="2233"/>
      <c r="H16" s="2233"/>
      <c r="I16" s="2113"/>
    </row>
    <row r="17" spans="1:36" ht="15">
      <c r="A17" s="2234" t="s">
        <v>839</v>
      </c>
      <c r="B17" s="2235"/>
      <c r="C17" s="2236">
        <f>SUM(C5:C16)</f>
        <v>7</v>
      </c>
      <c r="D17" s="2236">
        <f>SUM(D5:D16)</f>
        <v>3</v>
      </c>
      <c r="E17" s="340"/>
      <c r="F17" s="340"/>
      <c r="G17" s="340"/>
      <c r="H17" s="340"/>
      <c r="I17" s="340"/>
      <c r="K17" s="260"/>
      <c r="L17" s="260" t="s">
        <v>840</v>
      </c>
      <c r="M17" s="260" t="s">
        <v>841</v>
      </c>
    </row>
    <row r="18" spans="1:36" ht="31.9" customHeight="1">
      <c r="A18" s="2237" t="s">
        <v>842</v>
      </c>
      <c r="B18" s="2238"/>
      <c r="C18" s="2239">
        <f>ROUND(C17/SUM(C17:D17),2)</f>
        <v>0.7</v>
      </c>
      <c r="D18" s="2239">
        <f>1-C18</f>
        <v>0.30000000000000004</v>
      </c>
      <c r="E18" s="3275" t="s">
        <v>843</v>
      </c>
      <c r="F18" s="3276"/>
      <c r="G18" s="3276"/>
      <c r="H18" s="3276"/>
      <c r="I18" s="3276"/>
      <c r="K18" s="260" t="s">
        <v>504</v>
      </c>
      <c r="L18" s="260">
        <f>IF(C1="",'数据-汇总表'!E3,SUMIF(项目类型,C1,'数据-汇总表'!E17:E26)+SUMIF(项目类型,C1,'数据-汇总表'!I17:I26))</f>
        <v>148.99</v>
      </c>
      <c r="M18" s="260">
        <f>IF(C1="",'数据-汇总表'!E3,SUMIF(项目类型,C1,'数据-汇总表'!E17:E26))</f>
        <v>148.99</v>
      </c>
    </row>
    <row r="19" spans="1:36" ht="15">
      <c r="A19" s="1504" t="s">
        <v>844</v>
      </c>
      <c r="B19" s="2240" t="s">
        <v>845</v>
      </c>
      <c r="C19" s="2241">
        <f ca="1">SUMIF(INDIRECT("'"&amp;C4&amp;"'"&amp;"!A:A"),结果表!B19,INDIRECT("'"&amp;C4&amp;"'"&amp;"!B:B"))</f>
        <v>660.30880000000002</v>
      </c>
      <c r="D19" s="1622">
        <f ca="1">SUMIF(INDIRECT("'"&amp;D4&amp;"'"&amp;"!A:A"),结果表!B19,INDIRECT("'"&amp;D4&amp;"'"&amp;"!B:B"))</f>
        <v>392.02300000000002</v>
      </c>
      <c r="E19" s="1504" t="s">
        <v>846</v>
      </c>
      <c r="F19" s="2240" t="s">
        <v>845</v>
      </c>
      <c r="G19" s="2242">
        <f ca="1">ROUND(C19*$C$18+D19*$D$18,0)</f>
        <v>580</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44319</v>
      </c>
      <c r="D20" s="1891">
        <f ca="1">SUMIF(INDIRECT("'"&amp;D4&amp;"'"&amp;"!A:A"),结果表!B20,INDIRECT("'"&amp;D4&amp;"'"&amp;"!B:B"))</f>
        <v>26312</v>
      </c>
      <c r="E20" s="2244"/>
      <c r="F20" s="2245" t="s">
        <v>848</v>
      </c>
      <c r="G20" s="2246">
        <f ca="1">ROUND(C20*$C$18+D20*$D$18,0)</f>
        <v>38917</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0.6843623971042514</v>
      </c>
      <c r="E22" s="340"/>
      <c r="F22" s="340"/>
      <c r="G22" s="340"/>
      <c r="H22" s="340"/>
      <c r="I22" s="340"/>
    </row>
    <row r="23" spans="1:36" ht="12.75">
      <c r="A23" s="413"/>
      <c r="B23" s="413"/>
      <c r="C23" s="413"/>
      <c r="D23" s="413"/>
      <c r="E23" s="340"/>
      <c r="F23" s="340"/>
      <c r="G23" s="340"/>
      <c r="H23" s="340"/>
      <c r="I23" s="340"/>
    </row>
    <row r="24" spans="1:36" ht="14.25">
      <c r="A24" s="3348" t="s">
        <v>852</v>
      </c>
      <c r="B24" s="2240" t="s">
        <v>845</v>
      </c>
      <c r="C24" s="2242">
        <f>IF(B30=0,0,D30)</f>
        <v>0</v>
      </c>
      <c r="D24" s="2256"/>
      <c r="E24" s="340"/>
      <c r="F24" s="340"/>
      <c r="G24" s="340"/>
      <c r="H24" s="340"/>
      <c r="I24" s="340"/>
    </row>
    <row r="25" spans="1:36" ht="14.25">
      <c r="A25" s="3349"/>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38917</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29810</v>
      </c>
      <c r="D34" s="2276">
        <f ca="1">IF(C33="自定义",ROUND(C34/C32,3),IF(C33="收益比率",SUMIF(INDIRECT("'"&amp;D33&amp;"'"&amp;"!b:b"),"土地收益比率",INDIRECT("'"&amp;D33&amp;"'"&amp;"!c:c")),SUMIF(INDIRECT("'"&amp;D33&amp;"'"&amp;"!b:b"),"土地成本比率",INDIRECT("'"&amp;D33&amp;"'"&amp;"!c:c"))))</f>
        <v>0.76600000000000001</v>
      </c>
      <c r="E34" s="2277" t="s">
        <v>866</v>
      </c>
      <c r="F34" s="2278"/>
      <c r="G34" s="340"/>
      <c r="H34" s="340"/>
      <c r="I34" s="340"/>
    </row>
    <row r="35" spans="1:15" ht="15">
      <c r="A35" s="2279"/>
      <c r="B35" s="2280" t="s">
        <v>867</v>
      </c>
      <c r="C35" s="2281">
        <f ca="1">IF(C33="自定义",F35,ROUND(C32*D35,0))</f>
        <v>9107</v>
      </c>
      <c r="D35" s="2282">
        <f ca="1">IF(C33="自定义",ROUND(C35/C32,3),IF(C33="收益比率",SUMIF(INDIRECT("'"&amp;D33&amp;"'"&amp;"!b:b"),"建筑物收益比率",INDIRECT("'"&amp;D33&amp;"'"&amp;"!c:c")),SUMIF(INDIRECT("'"&amp;D33&amp;"'"&amp;"!b:b"),"建筑物成本比率",INDIRECT("'"&amp;D33&amp;"'"&amp;"!c:c"))))</f>
        <v>0.23400000000000001</v>
      </c>
      <c r="E35" s="2283" t="s">
        <v>868</v>
      </c>
      <c r="F35" s="2284"/>
      <c r="G35" s="340"/>
      <c r="H35" s="340"/>
      <c r="I35" s="340"/>
    </row>
    <row r="36" spans="1:15" ht="15">
      <c r="A36" s="3350" t="s">
        <v>869</v>
      </c>
      <c r="B36" s="2285" t="s">
        <v>870</v>
      </c>
      <c r="C36" s="2286"/>
      <c r="D36" s="2287"/>
      <c r="E36" s="2288"/>
      <c r="F36" s="2289"/>
      <c r="G36" s="340"/>
      <c r="H36" s="340"/>
      <c r="I36" s="340"/>
    </row>
    <row r="37" spans="1:15" ht="15">
      <c r="A37" s="3351"/>
      <c r="B37" s="2290" t="s">
        <v>871</v>
      </c>
      <c r="C37" s="2291"/>
      <c r="D37" s="2292"/>
      <c r="E37" s="2292"/>
      <c r="F37" s="2289"/>
      <c r="G37" s="340"/>
      <c r="H37" s="340"/>
      <c r="I37" s="340"/>
    </row>
    <row r="38" spans="1:15" ht="15">
      <c r="A38" s="3352"/>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277" t="s">
        <v>880</v>
      </c>
      <c r="B45" s="3278"/>
      <c r="C45" s="3279"/>
      <c r="D45" s="259">
        <f ca="1">ROUND(H101*F45,0)</f>
        <v>580</v>
      </c>
      <c r="E45" s="2311" t="s">
        <v>881</v>
      </c>
      <c r="F45" s="2312">
        <v>1</v>
      </c>
      <c r="G45" s="271" t="s">
        <v>882</v>
      </c>
      <c r="H45" s="340"/>
      <c r="I45" s="340"/>
      <c r="J45" s="3280" t="s">
        <v>883</v>
      </c>
      <c r="K45" s="3280"/>
      <c r="L45" s="3280"/>
      <c r="M45" s="3280"/>
      <c r="N45" s="3280"/>
      <c r="O45" s="3280"/>
    </row>
    <row r="46" spans="1:15" ht="14.25" customHeight="1">
      <c r="A46" s="3281" t="s">
        <v>884</v>
      </c>
      <c r="B46" s="3282"/>
      <c r="C46" s="3282"/>
      <c r="D46" s="3282"/>
      <c r="E46" s="3282"/>
      <c r="F46" s="3282"/>
      <c r="G46" s="3283"/>
      <c r="H46" s="2313"/>
      <c r="I46" s="1222"/>
      <c r="J46" s="867">
        <v>1</v>
      </c>
      <c r="K46" s="3284" t="s">
        <v>885</v>
      </c>
      <c r="L46" s="3284"/>
      <c r="M46" s="3285"/>
      <c r="N46" s="3285"/>
      <c r="O46" s="3285"/>
    </row>
    <row r="47" spans="1:15" ht="12" customHeight="1">
      <c r="A47" s="2314" t="s">
        <v>886</v>
      </c>
      <c r="B47" s="2315"/>
      <c r="C47" s="2316"/>
      <c r="D47" s="313" t="s">
        <v>887</v>
      </c>
      <c r="E47" s="260" t="s">
        <v>888</v>
      </c>
      <c r="F47" s="2317" t="s">
        <v>889</v>
      </c>
      <c r="G47" s="2318" t="s">
        <v>890</v>
      </c>
      <c r="H47" s="2319"/>
      <c r="I47" s="1222"/>
      <c r="J47" s="867">
        <v>2</v>
      </c>
      <c r="K47" s="3284" t="s">
        <v>891</v>
      </c>
      <c r="L47" s="3284"/>
      <c r="M47" s="3290">
        <f>'数据-取费表'!B2</f>
        <v>45909</v>
      </c>
      <c r="N47" s="3290"/>
      <c r="O47" s="3290"/>
    </row>
    <row r="48" spans="1:15" ht="25.5">
      <c r="A48" s="3291" t="s">
        <v>892</v>
      </c>
      <c r="B48" s="3292"/>
      <c r="C48" s="329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284" t="s">
        <v>894</v>
      </c>
      <c r="L48" s="3284"/>
      <c r="M48" s="3293">
        <f ca="1">H101</f>
        <v>580</v>
      </c>
      <c r="N48" s="3293"/>
      <c r="O48" s="3293"/>
    </row>
    <row r="49" spans="1:35" ht="25.5" customHeight="1">
      <c r="A49" s="2320" t="s">
        <v>895</v>
      </c>
      <c r="B49" s="3294" t="s">
        <v>896</v>
      </c>
      <c r="C49" s="3294"/>
      <c r="D49" s="2324">
        <v>0</v>
      </c>
      <c r="E49" s="323" t="s">
        <v>897</v>
      </c>
      <c r="F49" s="2325" t="s">
        <v>124</v>
      </c>
      <c r="G49" s="3300"/>
      <c r="H49" s="2326" t="s">
        <v>898</v>
      </c>
      <c r="I49" s="2360"/>
      <c r="J49" s="867">
        <v>4</v>
      </c>
      <c r="K49" s="3284" t="str">
        <f>IF(项目基本情况!E8="房地产抵押价值","房地产抵押价值","抵押担保权已注销时的房地产抵押价值")</f>
        <v>房地产抵押价值</v>
      </c>
      <c r="L49" s="3284"/>
      <c r="M49" s="3293">
        <f ca="1">IF(项目基本情况!E8="房地产抵押价值",H107,H109)</f>
        <v>580</v>
      </c>
      <c r="N49" s="3293"/>
      <c r="O49" s="3293"/>
    </row>
    <row r="50" spans="1:35" ht="25.5" customHeight="1">
      <c r="A50" s="2327"/>
      <c r="B50" s="3294" t="s">
        <v>899</v>
      </c>
      <c r="C50" s="3294"/>
      <c r="D50" s="2328"/>
      <c r="E50" s="338"/>
      <c r="F50" s="2325"/>
      <c r="G50" s="3301"/>
      <c r="H50" s="2329" t="s">
        <v>900</v>
      </c>
      <c r="I50" s="2360"/>
      <c r="J50" s="3280" t="s">
        <v>901</v>
      </c>
      <c r="K50" s="3280"/>
      <c r="L50" s="3280"/>
      <c r="M50" s="3280"/>
      <c r="N50" s="3280"/>
      <c r="O50" s="3280"/>
    </row>
    <row r="51" spans="1:35" ht="20.45" customHeight="1">
      <c r="A51" s="2330"/>
      <c r="B51" s="3294" t="s">
        <v>902</v>
      </c>
      <c r="C51" s="3294"/>
      <c r="D51" s="313"/>
      <c r="E51" s="327"/>
      <c r="F51" s="2325"/>
      <c r="G51" s="3302"/>
      <c r="H51" s="2329" t="s">
        <v>903</v>
      </c>
      <c r="I51" s="2360"/>
      <c r="J51" s="2359" t="s">
        <v>904</v>
      </c>
      <c r="K51" s="3284" t="s">
        <v>905</v>
      </c>
      <c r="L51" s="3284"/>
      <c r="M51" s="2359" t="s">
        <v>906</v>
      </c>
      <c r="N51" s="2359" t="s">
        <v>907</v>
      </c>
      <c r="O51" s="2359" t="s">
        <v>908</v>
      </c>
    </row>
    <row r="52" spans="1:35" ht="24" customHeight="1">
      <c r="A52" s="2331" t="s">
        <v>909</v>
      </c>
      <c r="B52" s="3294" t="s">
        <v>910</v>
      </c>
      <c r="C52" s="3294"/>
      <c r="D52" s="313">
        <f ca="1">ROUND(D45*'数据-取费表'!B41/(1+'数据-取费表'!C42),0)</f>
        <v>31</v>
      </c>
      <c r="E52" s="317" t="s">
        <v>911</v>
      </c>
      <c r="F52" s="2332">
        <f>'数据-取费表'!B41</f>
        <v>5.6000000000000001E-2</v>
      </c>
      <c r="G52" s="2333"/>
      <c r="H52" s="434"/>
      <c r="I52" s="2361"/>
      <c r="J52" s="867">
        <v>1</v>
      </c>
      <c r="K52" s="3296" t="s">
        <v>912</v>
      </c>
      <c r="L52" s="3296"/>
      <c r="M52" s="2362" t="b">
        <f>D48</f>
        <v>0</v>
      </c>
      <c r="N52" s="867" t="str">
        <f>E48</f>
        <v>销售额×税（费）率</v>
      </c>
      <c r="O52" s="2363">
        <f>F48</f>
        <v>5.6000000000000001E-2</v>
      </c>
    </row>
    <row r="53" spans="1:35" ht="12" customHeight="1">
      <c r="A53" s="2331" t="s">
        <v>913</v>
      </c>
      <c r="B53" s="3297" t="s">
        <v>914</v>
      </c>
      <c r="C53" s="3298"/>
      <c r="D53" s="313">
        <f ca="1">ROUND(D45*'数据-取费表'!B41/(1+'数据-取费表'!C42),0)</f>
        <v>31</v>
      </c>
      <c r="E53" s="317" t="s">
        <v>911</v>
      </c>
      <c r="F53" s="2332">
        <f>'数据-取费表'!B41</f>
        <v>5.6000000000000001E-2</v>
      </c>
      <c r="G53" s="2333"/>
      <c r="H53" s="434"/>
      <c r="I53" s="2361"/>
      <c r="J53" s="867">
        <v>2</v>
      </c>
      <c r="K53" s="3296" t="s">
        <v>915</v>
      </c>
      <c r="L53" s="3296"/>
      <c r="M53" s="2362">
        <f t="shared" ref="M53:O54" ca="1" si="0">D55</f>
        <v>0</v>
      </c>
      <c r="N53" s="867" t="str">
        <f t="shared" si="0"/>
        <v>销售额×税（费）率</v>
      </c>
      <c r="O53" s="2363" t="str">
        <f t="shared" si="0"/>
        <v>免征</v>
      </c>
    </row>
    <row r="54" spans="1:35" ht="12" customHeight="1">
      <c r="A54" s="2331" t="s">
        <v>916</v>
      </c>
      <c r="B54" s="3297" t="s">
        <v>917</v>
      </c>
      <c r="C54" s="3298"/>
      <c r="D54" s="313">
        <f ca="1">C68</f>
        <v>31</v>
      </c>
      <c r="E54" s="327" t="s">
        <v>918</v>
      </c>
      <c r="F54" s="2332">
        <f>'数据-取费表'!B41</f>
        <v>5.6000000000000001E-2</v>
      </c>
      <c r="G54" s="2333"/>
      <c r="H54" s="2334"/>
      <c r="I54" s="2361"/>
      <c r="J54" s="867">
        <v>3</v>
      </c>
      <c r="K54" s="3296" t="s">
        <v>919</v>
      </c>
      <c r="L54" s="3296"/>
      <c r="M54" s="2362">
        <f t="shared" ca="1" si="0"/>
        <v>328</v>
      </c>
      <c r="N54" s="867" t="str">
        <f t="shared" si="0"/>
        <v>增值额×税（费）率</v>
      </c>
      <c r="O54" s="2364" t="str">
        <f t="shared" si="0"/>
        <v>免征</v>
      </c>
    </row>
    <row r="55" spans="1:35" ht="24" customHeight="1">
      <c r="A55" s="3299" t="s">
        <v>920</v>
      </c>
      <c r="B55" s="3292"/>
      <c r="C55" s="3292"/>
      <c r="D55" s="420">
        <f ca="1">IF(H55="个人住宅",0,ROUND(D45*I55,0))</f>
        <v>0</v>
      </c>
      <c r="E55" s="317" t="s">
        <v>921</v>
      </c>
      <c r="F55" s="2332" t="str">
        <f>IF(H55="正常",I55,"免征")</f>
        <v>免征</v>
      </c>
      <c r="G55" s="2333"/>
      <c r="H55" s="2323"/>
      <c r="I55" s="2365">
        <f>'数据-取费表'!B49</f>
        <v>5.0000000000000001E-4</v>
      </c>
      <c r="J55" s="867">
        <f>IF(H59="非个人房产","",4)</f>
        <v>4</v>
      </c>
      <c r="K55" s="3296" t="str">
        <f>IF(H59="非个人房产","——","个人所得税")</f>
        <v>个人所得税</v>
      </c>
      <c r="L55" s="3296"/>
      <c r="M55" s="2366">
        <f ca="1">D59</f>
        <v>6</v>
      </c>
      <c r="N55" s="848" t="str">
        <f>E59</f>
        <v>差额计税</v>
      </c>
      <c r="O55" s="2367">
        <f>F59</f>
        <v>0.01</v>
      </c>
    </row>
    <row r="56" spans="1:35" ht="24.75">
      <c r="A56" s="3299" t="s">
        <v>922</v>
      </c>
      <c r="B56" s="3292"/>
      <c r="C56" s="3292"/>
      <c r="D56" s="420">
        <f ca="1">IF(H56="个人住宅",D57,D58)</f>
        <v>328</v>
      </c>
      <c r="E56" s="317" t="s">
        <v>923</v>
      </c>
      <c r="F56" s="2332" t="str">
        <f>IF(H56="正常",F58,"免征")</f>
        <v>免征</v>
      </c>
      <c r="G56" s="2335" t="s">
        <v>924</v>
      </c>
      <c r="H56" s="2336"/>
      <c r="I56" s="2345"/>
      <c r="J56" s="867" t="str">
        <f>IF(项目基本情况!K6="上海银行",IF(J55="",4,J55+1),"")</f>
        <v/>
      </c>
      <c r="K56" s="3303" t="str">
        <f>IF(项目基本情况!K6="上海银行","其他处置费用","")</f>
        <v/>
      </c>
      <c r="L56" s="3304"/>
      <c r="M56" s="2362" t="str">
        <f>IF(项目基本情况!K6="上海银行",M69,"")</f>
        <v/>
      </c>
      <c r="N56" s="3303" t="str">
        <f>IF(项目基本情况!K6="上海银行","包含处置中涉及的律师、诉讼、拍卖、评估等费用","")</f>
        <v/>
      </c>
      <c r="O56" s="3305"/>
    </row>
    <row r="57" spans="1:35" ht="12.75">
      <c r="A57" s="2331" t="s">
        <v>895</v>
      </c>
      <c r="B57" s="3297" t="s">
        <v>925</v>
      </c>
      <c r="C57" s="3298"/>
      <c r="D57" s="2324">
        <v>0</v>
      </c>
      <c r="E57" s="323" t="s">
        <v>897</v>
      </c>
      <c r="F57" s="260"/>
      <c r="G57" s="2333"/>
      <c r="H57" s="2337"/>
      <c r="I57" s="2345"/>
      <c r="J57" s="3296">
        <f>IF(AND(J55="",J56=""),4,IF(项目基本情况!K6="上海银行",结果表!J56+1,结果表!J55+1))</f>
        <v>5</v>
      </c>
      <c r="K57" s="3296" t="s">
        <v>926</v>
      </c>
      <c r="L57" s="2368" t="s">
        <v>927</v>
      </c>
      <c r="M57" s="2369"/>
      <c r="N57" s="2370">
        <f ca="1">SUMIF(M52:M56,"&lt;9e307")</f>
        <v>334</v>
      </c>
      <c r="O57" s="2371"/>
      <c r="P57" s="2372">
        <f ca="1">N57/M49</f>
        <v>0.57586206896551728</v>
      </c>
    </row>
    <row r="58" spans="1:35" ht="24.75">
      <c r="A58" s="2331" t="s">
        <v>909</v>
      </c>
      <c r="B58" s="3297" t="s">
        <v>928</v>
      </c>
      <c r="C58" s="3294"/>
      <c r="D58" s="420">
        <f ca="1">IF(H58="转让取得",C81,C97)</f>
        <v>328</v>
      </c>
      <c r="E58" s="317" t="s">
        <v>923</v>
      </c>
      <c r="F58" s="260" t="s">
        <v>124</v>
      </c>
      <c r="G58" s="2333"/>
      <c r="H58" s="2336"/>
      <c r="I58" s="2345"/>
      <c r="J58" s="3296"/>
      <c r="K58" s="3296"/>
      <c r="L58" s="2368" t="s">
        <v>929</v>
      </c>
      <c r="M58" s="2373"/>
      <c r="N58" s="2374" t="str">
        <f ca="1">NUMBERSTRING(INT(N57*10000),2)&amp;"元整"</f>
        <v>叁佰叁拾肆万元整</v>
      </c>
      <c r="O58" s="2375"/>
    </row>
    <row r="59" spans="1:35" ht="24">
      <c r="A59" s="3306" t="s">
        <v>930</v>
      </c>
      <c r="B59" s="3307"/>
      <c r="C59" s="3307"/>
      <c r="D59" s="2338">
        <f ca="1">IF(H59="非个人房产","——",IF(H59="个人住宅（满五唯一有凭证）",0,IF(H59="个人其他（无凭证）",ROUND(D45*F59,0),ROUND(C67*F59,0))))</f>
        <v>6</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11">
        <f>J57+1</f>
        <v>6</v>
      </c>
      <c r="K59" s="3296" t="s">
        <v>932</v>
      </c>
      <c r="L59" s="867" t="s">
        <v>927</v>
      </c>
      <c r="M59" s="2377"/>
      <c r="N59" s="2378">
        <f ca="1">M49-N57</f>
        <v>246</v>
      </c>
      <c r="O59" s="2379"/>
    </row>
    <row r="60" spans="1:35" ht="12" customHeight="1">
      <c r="A60" s="2343"/>
      <c r="B60" s="413"/>
      <c r="C60" s="413"/>
      <c r="D60" s="413"/>
      <c r="E60" s="2344"/>
      <c r="F60" s="2345"/>
      <c r="G60" s="2345"/>
      <c r="H60" s="1222"/>
      <c r="I60" s="340"/>
      <c r="J60" s="3312"/>
      <c r="K60" s="3296"/>
      <c r="L60" s="2368" t="s">
        <v>929</v>
      </c>
      <c r="M60" s="2373"/>
      <c r="N60" s="2374" t="str">
        <f ca="1">NUMBERSTRING(INT(N59*10000),2)&amp;"元整"</f>
        <v>贰佰肆拾陆万元整</v>
      </c>
      <c r="O60" s="2375"/>
    </row>
    <row r="61" spans="1:35" ht="12.75">
      <c r="A61" s="3308" t="s">
        <v>933</v>
      </c>
      <c r="B61" s="3308"/>
      <c r="C61" s="3308"/>
      <c r="D61" s="3308"/>
      <c r="E61" s="3308"/>
      <c r="F61" s="2345"/>
      <c r="G61" s="2345"/>
      <c r="H61" s="1222"/>
      <c r="I61" s="340"/>
      <c r="J61" s="867">
        <f>J59+1</f>
        <v>7</v>
      </c>
      <c r="K61" s="3296" t="s">
        <v>934</v>
      </c>
      <c r="L61" s="3296"/>
      <c r="M61" s="2380"/>
      <c r="N61" s="2381">
        <f ca="1">ROUND(N59*10000/'数据-汇总表'!E3,0)</f>
        <v>16511</v>
      </c>
      <c r="O61" s="2382"/>
    </row>
    <row r="62" spans="1:35" ht="12.75">
      <c r="A62" s="3309" t="s">
        <v>935</v>
      </c>
      <c r="B62" s="3310"/>
      <c r="C62" s="819"/>
      <c r="D62" s="819" t="s">
        <v>936</v>
      </c>
      <c r="E62" s="2346" t="s">
        <v>890</v>
      </c>
      <c r="F62" s="2345"/>
      <c r="G62" s="2345"/>
      <c r="H62" s="1222"/>
      <c r="I62" s="340"/>
    </row>
    <row r="63" spans="1:35" ht="12.75">
      <c r="A63" s="2347" t="s">
        <v>937</v>
      </c>
      <c r="B63" s="877" t="s">
        <v>938</v>
      </c>
      <c r="C63" s="2348">
        <f ca="1">ROUND((C64+C65)/(1+'数据-取费表'!C42),0)</f>
        <v>552</v>
      </c>
      <c r="D63" s="877"/>
      <c r="E63" s="2349"/>
      <c r="F63" s="2345"/>
      <c r="G63" s="2345"/>
      <c r="H63" s="1222"/>
      <c r="I63" s="340"/>
      <c r="J63" s="3295" t="s">
        <v>939</v>
      </c>
      <c r="K63" s="2383" t="s">
        <v>940</v>
      </c>
      <c r="L63" s="2383">
        <f ca="1">IF(M49&gt;10000,M49*0.5%,IF(AND(M49&gt;1000,M49&lt;=10000),M49*1%,IF(AND(M49&gt;100,M49&lt;=1000),M49*3%,IF(AND(M49&gt;10,M49&lt;=100),M49*5%,M49*8%))))</f>
        <v>17.399999999999999</v>
      </c>
      <c r="M63" s="260">
        <f ca="1">ROUND(L63,1)</f>
        <v>17.399999999999999</v>
      </c>
      <c r="N63" s="2384"/>
      <c r="Z63" s="2222"/>
      <c r="AI63" s="2221"/>
    </row>
    <row r="64" spans="1:35" ht="14.25" customHeight="1">
      <c r="A64" s="2350" t="s">
        <v>941</v>
      </c>
      <c r="B64" s="800" t="s">
        <v>942</v>
      </c>
      <c r="C64" s="2351">
        <f ca="1">D45</f>
        <v>580</v>
      </c>
      <c r="D64" s="800" t="s">
        <v>124</v>
      </c>
      <c r="E64" s="2352"/>
      <c r="F64" s="2345"/>
      <c r="G64" s="2345"/>
      <c r="H64" s="1222"/>
      <c r="I64" s="340"/>
      <c r="J64" s="3295"/>
      <c r="K64" s="2383" t="s">
        <v>943</v>
      </c>
      <c r="L64" s="2383">
        <f ca="1">IF(M49&gt;2000,M49*0.5%,IF(AND(M49&gt;1000,M49&lt;=2000),M49*0.6%,IF(AND(M49&gt;500,M49&lt;=1000),M49*0.7%,IF(AND(M49&gt;200,M49&lt;=500),M49*0.8%,IF(AND(M49&gt;100,M49&lt;=200),M49*0.9%,IF(AND(M49&gt;50,M49&lt;=100),M49*1%,IF(AND(M49&gt;20,M49&lt;=50),M49*1.5%,IF(AND(M49&gt;10,M49&lt;=20),M49*2%,IF(AND(M49&gt;1,M49&lt;=10),M49*2.5%)))))))))</f>
        <v>4.0599999999999996</v>
      </c>
      <c r="M64" s="260">
        <f t="shared" ref="M64:M65" ca="1" si="1">ROUND(L64,1)</f>
        <v>4.0999999999999996</v>
      </c>
      <c r="N64" s="434" t="s">
        <v>944</v>
      </c>
      <c r="Z64" s="2222"/>
      <c r="AI64" s="2221"/>
    </row>
    <row r="65" spans="1:35" ht="14.25" customHeight="1">
      <c r="A65" s="2350" t="s">
        <v>945</v>
      </c>
      <c r="B65" s="800" t="s">
        <v>946</v>
      </c>
      <c r="C65" s="2386"/>
      <c r="D65" s="800"/>
      <c r="E65" s="2352"/>
      <c r="F65" s="2345"/>
      <c r="G65" s="2345"/>
      <c r="H65" s="1222"/>
      <c r="I65" s="340"/>
      <c r="J65" s="3295"/>
      <c r="K65" s="2383" t="s">
        <v>947</v>
      </c>
      <c r="L65" s="2383">
        <f ca="1">IF(M49&gt;1000,M49*0.1%,IF(AND(M49&gt;500,M49&lt;=1000),M49*0.5%,IF(AND(M49&gt;50,M49&lt;=500),M49*1%,IF(AND(M49&gt;1,M49&lt;=50),M49*1.5%))))</f>
        <v>2.9</v>
      </c>
      <c r="M65" s="260">
        <f t="shared" ca="1" si="1"/>
        <v>2.9</v>
      </c>
      <c r="N65" s="434" t="s">
        <v>944</v>
      </c>
      <c r="Z65" s="2222"/>
      <c r="AI65" s="2221"/>
    </row>
    <row r="66" spans="1:35" ht="14.25" customHeight="1">
      <c r="A66" s="2347" t="s">
        <v>948</v>
      </c>
      <c r="B66" s="2387" t="s">
        <v>949</v>
      </c>
      <c r="C66" s="2388"/>
      <c r="D66" s="2387" t="s">
        <v>124</v>
      </c>
      <c r="E66" s="2389" t="s">
        <v>950</v>
      </c>
      <c r="F66" s="2345"/>
      <c r="G66" s="2345"/>
      <c r="H66" s="1222"/>
      <c r="I66" s="340"/>
      <c r="J66" s="3295"/>
      <c r="K66" s="2383" t="s">
        <v>951</v>
      </c>
      <c r="L66" s="2383">
        <f ca="1">M49*0.5%</f>
        <v>2.9</v>
      </c>
      <c r="M66" s="260">
        <f ca="1">IF(L66&gt;0.5,0.5,ROUND(L66,0))</f>
        <v>0.5</v>
      </c>
      <c r="N66" s="434" t="s">
        <v>952</v>
      </c>
      <c r="Z66" s="2222"/>
      <c r="AI66" s="2221"/>
    </row>
    <row r="67" spans="1:35" ht="14.25" customHeight="1">
      <c r="A67" s="2347" t="s">
        <v>953</v>
      </c>
      <c r="B67" s="2387" t="s">
        <v>954</v>
      </c>
      <c r="C67" s="2390">
        <f ca="1">C63-C66</f>
        <v>552</v>
      </c>
      <c r="D67" s="800" t="s">
        <v>124</v>
      </c>
      <c r="E67" s="2352"/>
      <c r="F67" s="2345"/>
      <c r="G67" s="2345"/>
      <c r="H67" s="1222"/>
      <c r="I67" s="340"/>
      <c r="J67" s="3295"/>
      <c r="K67" s="2383" t="s">
        <v>955</v>
      </c>
      <c r="L67" s="2383">
        <f ca="1">IF(M49&gt;=10000,(8.25+(M49-10000)*0.01%),IF(AND(M49&gt;=8000,M49&lt;10000),(7.85+(M49-8000)*0.02%),IF(AND(M49&gt;=5000,M49&lt;8000),(6.65+(M49-5000)*0.04%),IF(AND(M49&gt;=2000,M49&lt;5000),(4.25+(PM49-2000)*0.08%),IF(AND(M49&gt;=1000,M49&lt;2000),(2.75+(M49-1000)*0.15%),IF(AND(M49&gt;=100,M49&lt;1000),(0.5+(M49-100)*0.25%),IF(AND(M49&gt;0,M49&lt;100),M49*0.5%)))))))</f>
        <v>1.7</v>
      </c>
      <c r="M67" s="260">
        <f ca="1">ROUND(L67*0.9,1)</f>
        <v>1.5</v>
      </c>
      <c r="N67" s="2384"/>
      <c r="Z67" s="2222"/>
      <c r="AI67" s="2221"/>
    </row>
    <row r="68" spans="1:35" ht="14.25" customHeight="1">
      <c r="A68" s="2391" t="s">
        <v>956</v>
      </c>
      <c r="B68" s="2392" t="s">
        <v>957</v>
      </c>
      <c r="C68" s="2393">
        <f ca="1">IF(C67&lt;=0,0,ROUND(C67*D68,0))</f>
        <v>31</v>
      </c>
      <c r="D68" s="1061">
        <f>'数据-取费表'!B41</f>
        <v>5.6000000000000001E-2</v>
      </c>
      <c r="E68" s="2394"/>
      <c r="F68" s="2345"/>
      <c r="G68" s="2345"/>
      <c r="H68" s="1222"/>
      <c r="I68" s="340"/>
      <c r="J68" s="3295"/>
      <c r="K68" s="2383" t="s">
        <v>958</v>
      </c>
      <c r="L68" s="2383">
        <f ca="1">IF(M49&gt;10000,M49*0.5%,IF(AND(M49&gt;5000,M49&lt;=10000),M49*1%,IF(AND(M49&gt;1000,M49&lt;=5000),M49*2%,IF(AND(M49&gt;200,M49&lt;=1000),M49*3%,M49*5%))))</f>
        <v>17.399999999999999</v>
      </c>
      <c r="M68" s="260">
        <f ca="1">ROUND(L68,1)</f>
        <v>17.399999999999999</v>
      </c>
      <c r="N68" s="2384"/>
      <c r="Z68" s="2222"/>
      <c r="AI68" s="2221"/>
    </row>
    <row r="69" spans="1:35" ht="16.5" customHeight="1">
      <c r="A69" s="2395"/>
      <c r="B69" s="2396"/>
      <c r="C69" s="2397"/>
      <c r="D69" s="984"/>
      <c r="E69" s="2398"/>
      <c r="F69" s="2344"/>
      <c r="G69" s="2344"/>
      <c r="H69" s="2305"/>
      <c r="I69" s="413"/>
      <c r="J69" s="3295"/>
      <c r="K69" s="2383" t="s">
        <v>959</v>
      </c>
      <c r="L69" s="2383"/>
      <c r="M69" s="260">
        <f ca="1">ROUND(SUM(M63:M68),0)</f>
        <v>44</v>
      </c>
      <c r="N69" s="2458">
        <f ca="1">M69/M49</f>
        <v>7.586206896551724E-2</v>
      </c>
      <c r="Z69" s="2222"/>
      <c r="AI69" s="2221"/>
    </row>
    <row r="70" spans="1:35" s="1166" customFormat="1" ht="14.25">
      <c r="A70" s="3333" t="s">
        <v>960</v>
      </c>
      <c r="B70" s="3334"/>
      <c r="C70" s="3334"/>
      <c r="D70" s="3334"/>
      <c r="E70" s="3334"/>
      <c r="F70" s="3334"/>
      <c r="G70" s="3334"/>
      <c r="H70" s="3334"/>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9" t="s">
        <v>935</v>
      </c>
      <c r="B71" s="3310"/>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552</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3</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297" t="s">
        <v>970</v>
      </c>
      <c r="F76" s="3294"/>
      <c r="G76" s="3294"/>
      <c r="H76" s="3335"/>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3</v>
      </c>
      <c r="D78" s="2413">
        <f>'数据-取费表'!B43</f>
        <v>6.000000000000001E-3</v>
      </c>
      <c r="E78" s="3336" t="s">
        <v>975</v>
      </c>
      <c r="F78" s="3337"/>
      <c r="G78" s="3337"/>
      <c r="H78" s="3338"/>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549</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183</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328</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33" t="s">
        <v>980</v>
      </c>
      <c r="B83" s="3334"/>
      <c r="C83" s="3334"/>
      <c r="D83" s="3334"/>
      <c r="E83" s="3334"/>
      <c r="F83" s="3334"/>
      <c r="G83" s="3334"/>
      <c r="H83" s="3334"/>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9" t="s">
        <v>935</v>
      </c>
      <c r="B84" s="3310"/>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552</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3</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45" t="s">
        <v>988</v>
      </c>
      <c r="H90" s="334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336" t="s">
        <v>992</v>
      </c>
      <c r="F91" s="3337"/>
      <c r="G91" s="3337"/>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336" t="s">
        <v>995</v>
      </c>
      <c r="F92" s="3337"/>
      <c r="G92" s="3337"/>
      <c r="H92" s="3338"/>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3</v>
      </c>
      <c r="D93" s="2413">
        <f>'数据-取费表'!B43</f>
        <v>6.000000000000001E-3</v>
      </c>
      <c r="E93" s="3336" t="s">
        <v>975</v>
      </c>
      <c r="F93" s="3337"/>
      <c r="G93" s="3337"/>
      <c r="H93" s="3338"/>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358" t="s">
        <v>1000</v>
      </c>
      <c r="F94" s="3359"/>
      <c r="G94" s="3359"/>
      <c r="H94" s="3360"/>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549</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183</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328</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321"/>
      <c r="E100" s="3262" t="s">
        <v>1003</v>
      </c>
      <c r="F100" s="3262"/>
      <c r="G100" s="3262"/>
      <c r="H100" s="3321"/>
      <c r="I100" s="340"/>
    </row>
    <row r="101" spans="1:35" ht="18.75" customHeight="1">
      <c r="A101" s="3322" t="s">
        <v>1004</v>
      </c>
      <c r="B101" s="3323"/>
      <c r="C101" s="2435" t="str">
        <f>C4</f>
        <v>比较法-办公</v>
      </c>
      <c r="D101" s="2436" t="str">
        <f>D4</f>
        <v>收益法 (元)</v>
      </c>
      <c r="E101" s="3344" t="s">
        <v>1005</v>
      </c>
      <c r="F101" s="3340"/>
      <c r="G101" s="2438" t="s">
        <v>1006</v>
      </c>
      <c r="H101" s="2439">
        <f ca="1">H118</f>
        <v>580</v>
      </c>
      <c r="I101" s="340"/>
    </row>
    <row r="102" spans="1:35" ht="18.75" customHeight="1">
      <c r="A102" s="3353" t="s">
        <v>1007</v>
      </c>
      <c r="B102" s="2440" t="s">
        <v>1006</v>
      </c>
      <c r="C102" s="2435">
        <f ca="1">IF(D32="楼面单价",ROUND(C19,0),C19)</f>
        <v>660</v>
      </c>
      <c r="D102" s="2436">
        <f ca="1">IF(D32="楼面单价",ROUND(D19,0),D19)</f>
        <v>392</v>
      </c>
      <c r="E102" s="3344"/>
      <c r="F102" s="3340"/>
      <c r="G102" s="2438" t="s">
        <v>99</v>
      </c>
      <c r="H102" s="2333">
        <f ca="1">I118</f>
        <v>38917</v>
      </c>
      <c r="I102" s="340"/>
    </row>
    <row r="103" spans="1:35" ht="42.75" customHeight="1">
      <c r="A103" s="3353"/>
      <c r="B103" s="2440" t="s">
        <v>99</v>
      </c>
      <c r="C103" s="2441">
        <f ca="1">C20</f>
        <v>44319</v>
      </c>
      <c r="D103" s="2442">
        <f ca="1">D20</f>
        <v>26312</v>
      </c>
      <c r="E103" s="3324" t="s">
        <v>1008</v>
      </c>
      <c r="F103" s="3325"/>
      <c r="G103" s="2443" t="s">
        <v>102</v>
      </c>
      <c r="H103" s="2439">
        <f>IF(D36="正常操作",H104+H105+H106,H105+H106)</f>
        <v>0</v>
      </c>
      <c r="I103" s="340"/>
    </row>
    <row r="104" spans="1:35" ht="18.75" customHeight="1">
      <c r="A104" s="3353" t="s">
        <v>1009</v>
      </c>
      <c r="B104" s="2444" t="s">
        <v>1006</v>
      </c>
      <c r="C104" s="2445">
        <f ca="1">H118</f>
        <v>580</v>
      </c>
      <c r="D104" s="2446"/>
      <c r="E104" s="2290" t="s">
        <v>1010</v>
      </c>
      <c r="F104" s="2447"/>
      <c r="G104" s="2443" t="s">
        <v>102</v>
      </c>
      <c r="H104" s="2448">
        <f>IF(D36="同一抵押权人同一抵押物续贷",C36&amp;"（续贷，未扣减，详见特别提示）",C36)</f>
        <v>0</v>
      </c>
      <c r="I104" s="340"/>
    </row>
    <row r="105" spans="1:35" ht="18.75" customHeight="1">
      <c r="A105" s="3354"/>
      <c r="B105" s="2449" t="s">
        <v>99</v>
      </c>
      <c r="C105" s="2450">
        <f ca="1">I118</f>
        <v>38917</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5798243.8300000001</v>
      </c>
      <c r="E107" s="3339" t="str">
        <f>IF(项目基本情况!E8="已注销","——","3.房地产抵押价值")</f>
        <v>3.房地产抵押价值</v>
      </c>
      <c r="F107" s="3340"/>
      <c r="G107" s="2438" t="s">
        <v>1006</v>
      </c>
      <c r="H107" s="2439">
        <f ca="1">IF(E107="——","——",H101-H103)</f>
        <v>580</v>
      </c>
      <c r="I107" s="340"/>
    </row>
    <row r="108" spans="1:35" ht="18.75" customHeight="1">
      <c r="A108" s="340"/>
      <c r="B108" s="340"/>
      <c r="C108" s="340"/>
      <c r="D108" s="340"/>
      <c r="E108" s="3339"/>
      <c r="F108" s="3340"/>
      <c r="G108" s="2438" t="s">
        <v>99</v>
      </c>
      <c r="H108" s="2333">
        <f ca="1">IF(H107=H101,H102,ROUND(H107*10000/'数据-汇总表'!E3,0))</f>
        <v>38917</v>
      </c>
      <c r="I108" s="340"/>
    </row>
    <row r="109" spans="1:35" ht="18.75" customHeight="1">
      <c r="A109" s="340"/>
      <c r="B109" s="340"/>
      <c r="C109" s="340"/>
      <c r="D109" s="340"/>
      <c r="E109" s="3339" t="str">
        <f>IF(项目基本情况!E8="已注销及未注销","4.抵押担保权已注销时的房地产抵押价值",IF(项目基本情况!E8="已注销","3.抵押担保权已注销时的房地产抵押价值","——"))</f>
        <v>——</v>
      </c>
      <c r="F109" s="3340"/>
      <c r="G109" s="2438" t="s">
        <v>1006</v>
      </c>
      <c r="H109" s="2454" t="str">
        <f>IF(E109="——","——",H101-H105-H106)</f>
        <v>——</v>
      </c>
      <c r="I109" s="340"/>
    </row>
    <row r="110" spans="1:35" ht="18.75" customHeight="1">
      <c r="A110" s="340"/>
      <c r="B110" s="340"/>
      <c r="C110" s="340"/>
      <c r="D110" s="340"/>
      <c r="E110" s="3339"/>
      <c r="F110" s="3340"/>
      <c r="G110" s="2438" t="s">
        <v>99</v>
      </c>
      <c r="H110" s="2333" t="str">
        <f>IF(H109="——","——",ROUND(H109*10000/'数据-汇总表'!E3,0))</f>
        <v>——</v>
      </c>
      <c r="I110" s="340"/>
    </row>
    <row r="111" spans="1:35" ht="18.75" customHeight="1">
      <c r="A111" s="340"/>
      <c r="B111" s="340"/>
      <c r="C111" s="340"/>
      <c r="D111" s="340"/>
      <c r="E111" s="3341" t="str">
        <f>IF(项目基本情况!E9="抵押净值",IF(OR(项目基本情况!E8="已注销",项目基本情况!E8="房地产抵押价值"),"4.抵押净值","5.抵押净值"),"——")</f>
        <v>——</v>
      </c>
      <c r="F111" s="3313"/>
      <c r="G111" s="2438" t="s">
        <v>1006</v>
      </c>
      <c r="H111" s="2439" t="str">
        <f>IF(E111="——","——",N59)</f>
        <v>——</v>
      </c>
      <c r="I111" s="340"/>
    </row>
    <row r="112" spans="1:35" ht="18.75" customHeight="1">
      <c r="A112" s="340"/>
      <c r="B112" s="340"/>
      <c r="C112" s="340"/>
      <c r="D112" s="340"/>
      <c r="E112" s="3342"/>
      <c r="F112" s="3343"/>
      <c r="G112" s="2455" t="s">
        <v>99</v>
      </c>
      <c r="H112" s="2456" t="str">
        <f>IF(E111="——","——",N61)</f>
        <v>——</v>
      </c>
      <c r="I112" s="340"/>
    </row>
    <row r="113" spans="1:27" ht="18.75" customHeight="1">
      <c r="A113" s="340"/>
      <c r="B113" s="340"/>
      <c r="C113" s="340"/>
      <c r="D113" s="340"/>
      <c r="E113" s="3326" t="s">
        <v>1012</v>
      </c>
      <c r="F113" s="3326"/>
      <c r="G113" s="3326"/>
      <c r="H113" s="3326"/>
      <c r="I113" s="340"/>
    </row>
    <row r="114" spans="1:27" ht="3.75" customHeight="1">
      <c r="A114" s="413"/>
      <c r="B114" s="413"/>
      <c r="C114" s="413"/>
      <c r="D114" s="413"/>
      <c r="E114" s="2343"/>
      <c r="F114" s="2343"/>
      <c r="G114" s="2343"/>
      <c r="H114" s="2343"/>
      <c r="I114" s="413"/>
    </row>
    <row r="115" spans="1:27" ht="18.75" customHeight="1">
      <c r="A115" s="3327" t="s">
        <v>1014</v>
      </c>
      <c r="B115" s="3328"/>
      <c r="C115" s="3328"/>
      <c r="D115" s="3328"/>
      <c r="E115" s="3328"/>
      <c r="F115" s="3328"/>
      <c r="G115" s="3328"/>
      <c r="H115" s="3328"/>
      <c r="I115" s="3329"/>
    </row>
    <row r="116" spans="1:27" ht="27" customHeight="1">
      <c r="A116" s="3317" t="s">
        <v>1015</v>
      </c>
      <c r="B116" s="3356" t="s">
        <v>1016</v>
      </c>
      <c r="C116" s="3356" t="s">
        <v>1017</v>
      </c>
      <c r="D116" s="3330" t="s">
        <v>1018</v>
      </c>
      <c r="E116" s="3331"/>
      <c r="F116" s="3332" t="s">
        <v>1019</v>
      </c>
      <c r="G116" s="3332"/>
      <c r="H116" s="3317" t="s">
        <v>1020</v>
      </c>
      <c r="I116" s="3317"/>
    </row>
    <row r="117" spans="1:27" ht="18.75" customHeight="1">
      <c r="A117" s="3317"/>
      <c r="B117" s="3357"/>
      <c r="C117" s="3357"/>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148.99</v>
      </c>
      <c r="C118" s="1158">
        <f>M19</f>
        <v>0</v>
      </c>
      <c r="D118" s="1158">
        <f ca="1">ROUND(IF(D32="总价",C34,E118*B118/10000),0)</f>
        <v>444</v>
      </c>
      <c r="E118" s="1158">
        <f ca="1">ROUND(IF(C33="自定义",IF(D32="楼面单价",C34,D118*10000/B118),I118-G118),0)</f>
        <v>29810</v>
      </c>
      <c r="F118" s="1158">
        <f ca="1">ROUND(IF(D32="总价",C35,G118*B118/10000),0)</f>
        <v>136</v>
      </c>
      <c r="G118" s="1158">
        <f ca="1">ROUND(IF(D32="楼面单价",C35,F118*10000/B118),0)</f>
        <v>9107</v>
      </c>
      <c r="H118" s="1158">
        <f ca="1">ROUND(IF(D32="总价",C32,I118*B118/10000),0)</f>
        <v>580</v>
      </c>
      <c r="I118" s="1158">
        <f ca="1">ROUND(IF(D32="楼面单价",C32,H118*10000/B118),0)</f>
        <v>38917</v>
      </c>
    </row>
    <row r="119" spans="1:27" ht="18.75" customHeight="1">
      <c r="A119" s="3317" t="s">
        <v>1022</v>
      </c>
      <c r="B119" s="3317"/>
      <c r="C119" s="3317"/>
      <c r="D119" s="3318" t="str">
        <f ca="1">NUMBERSTRING(INT(D118*10000),2)&amp;"元整"</f>
        <v>肆佰肆拾肆万元整</v>
      </c>
      <c r="E119" s="3320"/>
      <c r="F119" s="3318" t="str">
        <f ca="1">NUMBERSTRING(INT(F118*10000),2)&amp;"元整"</f>
        <v>壹佰叁拾陆万元整</v>
      </c>
      <c r="G119" s="3320"/>
      <c r="H119" s="3318" t="str">
        <f ca="1">NUMBERSTRING(INT(H118*10000),2)&amp;"元整"</f>
        <v>伍佰捌拾万元整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8" t="s">
        <v>1022</v>
      </c>
      <c r="B121" s="3319"/>
      <c r="C121" s="3320"/>
      <c r="D121" s="3318" t="str">
        <f>IF(D120=0,"零元整",NUMBERSTRING(INT(D120*10000),2)&amp;"元整")</f>
        <v>零元整</v>
      </c>
      <c r="E121" s="3319"/>
      <c r="F121" s="3319"/>
      <c r="G121" s="3319"/>
      <c r="H121" s="3319"/>
      <c r="I121" s="3320"/>
      <c r="AA121" s="1183"/>
    </row>
    <row r="122" spans="1:27" ht="18.75" customHeight="1">
      <c r="A122" s="3313" t="str">
        <f>IF(项目基本情况!B9="房地产市场价值","",MID(E107,3,LEN(E107)-2))</f>
        <v>房地产抵押价值</v>
      </c>
      <c r="B122" s="3313"/>
      <c r="C122" s="3313"/>
      <c r="D122" s="3314">
        <f ca="1">H107</f>
        <v>580</v>
      </c>
      <c r="E122" s="3315"/>
      <c r="F122" s="3315"/>
      <c r="G122" s="3315"/>
      <c r="H122" s="3315"/>
      <c r="I122" s="3316"/>
      <c r="AA122" s="1183"/>
    </row>
    <row r="123" spans="1:27" ht="18.75" customHeight="1">
      <c r="A123" s="3317" t="s">
        <v>1022</v>
      </c>
      <c r="B123" s="3317"/>
      <c r="C123" s="3317"/>
      <c r="D123" s="3318" t="str">
        <f ca="1">NUMBERSTRING(INT(D122*10000),2)&amp;"元整"</f>
        <v>伍佰捌拾万元整</v>
      </c>
      <c r="E123" s="3319"/>
      <c r="F123" s="3319"/>
      <c r="G123" s="3319"/>
      <c r="H123" s="3319"/>
      <c r="I123" s="3320"/>
      <c r="AA123" s="1183"/>
    </row>
    <row r="124" spans="1:27" ht="18.75" customHeight="1">
      <c r="A124" s="3313" t="str">
        <f>IF(项目基本情况!B9="房地产市场价值","",MID(E109,3,LEN(E109)-2))</f>
        <v/>
      </c>
      <c r="B124" s="3313"/>
      <c r="C124" s="3313"/>
      <c r="D124" s="3314" t="str">
        <f>H109</f>
        <v>——</v>
      </c>
      <c r="E124" s="3315"/>
      <c r="F124" s="3315"/>
      <c r="G124" s="3315"/>
      <c r="H124" s="3315"/>
      <c r="I124" s="3316"/>
      <c r="AA124" s="1183"/>
    </row>
    <row r="125" spans="1:27" ht="18.75" customHeight="1">
      <c r="A125" s="3317" t="s">
        <v>1022</v>
      </c>
      <c r="B125" s="3317"/>
      <c r="C125" s="3317"/>
      <c r="D125" s="3318" t="e">
        <f>NUMBERSTRING(INT(D124*10000),2)&amp;"元整"</f>
        <v>#VALUE!</v>
      </c>
      <c r="E125" s="3319"/>
      <c r="F125" s="3319"/>
      <c r="G125" s="3319"/>
      <c r="H125" s="3319"/>
      <c r="I125" s="3320"/>
      <c r="AA125" s="1183"/>
    </row>
    <row r="126" spans="1:27" ht="18.75" customHeight="1">
      <c r="A126" s="3313" t="str">
        <f>IF(项目基本情况!B9="房地产市场价值","",MID(E111,3,LEN(E111)-2))</f>
        <v/>
      </c>
      <c r="B126" s="3313"/>
      <c r="C126" s="3313"/>
      <c r="D126" s="3314" t="str">
        <f>H111</f>
        <v>——</v>
      </c>
      <c r="E126" s="3315"/>
      <c r="F126" s="3315"/>
      <c r="G126" s="3315"/>
      <c r="H126" s="3315"/>
      <c r="I126" s="3316"/>
      <c r="AA126" s="1183"/>
    </row>
    <row r="127" spans="1:27" ht="18.75" customHeight="1">
      <c r="A127" s="3317" t="s">
        <v>1022</v>
      </c>
      <c r="B127" s="3317"/>
      <c r="C127" s="3317"/>
      <c r="D127" s="3318" t="e">
        <f>NUMBERSTRING(INT(D126*10000),2)&amp;"元整"</f>
        <v>#VALUE!</v>
      </c>
      <c r="E127" s="3319"/>
      <c r="F127" s="3319"/>
      <c r="G127" s="3319"/>
      <c r="H127" s="3319"/>
      <c r="I127" s="3320"/>
      <c r="AA127" s="1183"/>
    </row>
    <row r="128" spans="1:27" ht="21.75" customHeight="1">
      <c r="A128" s="3347" t="s">
        <v>113</v>
      </c>
      <c r="B128" s="3347"/>
      <c r="C128" s="3347"/>
      <c r="D128" s="3347"/>
      <c r="E128" s="3347"/>
      <c r="F128" s="3347"/>
      <c r="G128" s="3347"/>
      <c r="H128" s="3347"/>
      <c r="I128" s="334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76</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5101</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3</v>
      </c>
      <c r="D10" s="663">
        <f ca="1">IF(B1="",'数据-汇总表'!E6,IF(INDIRECT("'数据-取费表'!c"&amp;$G$1)="住宅",INDIRECT("'数据-取费表'!s"&amp;$G$1),INDIRECT("'数据-取费表'!k"&amp;$G$1)+INDIRECT("'数据-取费表'!s"&amp;$G$1)))</f>
        <v>148.99</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3</v>
      </c>
      <c r="D19" s="648">
        <f ca="1">D9+D10</f>
        <v>148.99</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0</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0</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3</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74</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67</v>
      </c>
      <c r="D34" s="653"/>
      <c r="E34" s="656"/>
      <c r="F34" s="697">
        <f ca="1">IF('数据-取费表'!B24=0,1,IF(B1="",'数据-取费表'!N16,INDIRECT("'数据-取费表'!n"&amp;$G$1)))</f>
        <v>1</v>
      </c>
      <c r="G34" s="655" t="s">
        <v>1099</v>
      </c>
    </row>
    <row r="35" spans="1:7" ht="13.5" customHeight="1">
      <c r="A35" s="677" t="s">
        <v>1042</v>
      </c>
      <c r="B35" s="651" t="s">
        <v>1100</v>
      </c>
      <c r="C35" s="656">
        <f ca="1">ROUND(C34*F35,0)</f>
        <v>3</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3</v>
      </c>
      <c r="D37" s="653">
        <f ca="1">D19</f>
        <v>148.99</v>
      </c>
      <c r="E37" s="689">
        <f>'数据-取费表'!B35</f>
        <v>200</v>
      </c>
      <c r="F37" s="698"/>
      <c r="G37" s="700" t="s">
        <v>1105</v>
      </c>
    </row>
    <row r="38" spans="1:7" ht="13.5" customHeight="1">
      <c r="A38" s="677" t="s">
        <v>1106</v>
      </c>
      <c r="B38" s="651" t="s">
        <v>972</v>
      </c>
      <c r="C38" s="656">
        <f ca="1">ROUND(C34*F38,0)</f>
        <v>1</v>
      </c>
      <c r="D38" s="656"/>
      <c r="E38" s="656"/>
      <c r="F38" s="698">
        <f>'数据-取费表'!B36</f>
        <v>0.02</v>
      </c>
      <c r="G38" s="655" t="s">
        <v>1101</v>
      </c>
    </row>
    <row r="39" spans="1:7" s="628" customFormat="1" ht="13.5" customHeight="1">
      <c r="A39" s="645" t="s">
        <v>1067</v>
      </c>
      <c r="B39" s="646" t="s">
        <v>1070</v>
      </c>
      <c r="C39" s="387">
        <f ca="1">ROUND(C33*F20,0)</f>
        <v>2</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2</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2</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11</v>
      </c>
      <c r="D45" s="672">
        <f ca="1">C47</f>
        <v>3.0000000000000001E-3</v>
      </c>
      <c r="E45" s="673" t="s">
        <v>1108</v>
      </c>
      <c r="F45" s="686">
        <f ca="1">F27</f>
        <v>0.15</v>
      </c>
      <c r="G45" s="687" t="s">
        <v>1111</v>
      </c>
    </row>
    <row r="46" spans="1:7" s="628" customFormat="1" ht="13.5" customHeight="1">
      <c r="A46" s="677" t="s">
        <v>1040</v>
      </c>
      <c r="B46" s="688" t="s">
        <v>1112</v>
      </c>
      <c r="C46" s="689">
        <f ca="1">ROUND((C33+C39)*F27,0)</f>
        <v>11</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96</v>
      </c>
      <c r="D49" s="387"/>
      <c r="E49" s="387"/>
      <c r="F49" s="703"/>
      <c r="G49" s="674" t="s">
        <v>1116</v>
      </c>
    </row>
    <row r="50" spans="1:7" s="225" customFormat="1" ht="24">
      <c r="A50" s="645" t="s">
        <v>1117</v>
      </c>
      <c r="B50" s="646" t="s">
        <v>1118</v>
      </c>
      <c r="C50" s="387"/>
      <c r="D50" s="387"/>
      <c r="E50" s="387"/>
      <c r="F50" s="703">
        <f>IF('数据-取费表'!B24=0,'数据-取费表'!N16,1)</f>
        <v>0.76</v>
      </c>
      <c r="G50" s="687" t="s">
        <v>1119</v>
      </c>
    </row>
    <row r="51" spans="1:7" ht="16.5" customHeight="1">
      <c r="A51" s="645" t="s">
        <v>1120</v>
      </c>
      <c r="B51" s="646" t="s">
        <v>1121</v>
      </c>
      <c r="C51" s="387">
        <f ca="1">ROUND(C49*F50,0)</f>
        <v>73</v>
      </c>
      <c r="D51" s="387"/>
      <c r="E51" s="387"/>
      <c r="F51" s="703"/>
      <c r="G51" s="674" t="s">
        <v>1122</v>
      </c>
    </row>
    <row r="52" spans="1:7" s="627" customFormat="1" ht="15.75">
      <c r="A52" s="704" t="s">
        <v>1123</v>
      </c>
      <c r="B52" s="705"/>
      <c r="C52" s="706">
        <f ca="1">C31+C51</f>
        <v>76</v>
      </c>
      <c r="D52" s="705"/>
      <c r="E52" s="705"/>
      <c r="F52" s="705"/>
      <c r="G52" s="707"/>
    </row>
    <row r="55" spans="1:7" ht="15">
      <c r="B55" s="511" t="s">
        <v>1124</v>
      </c>
      <c r="C55" s="708"/>
    </row>
    <row r="56" spans="1:7">
      <c r="B56" s="503" t="s">
        <v>1125</v>
      </c>
      <c r="C56" s="514">
        <f ca="1">1-C57</f>
        <v>3.9000000000000035E-2</v>
      </c>
    </row>
    <row r="57" spans="1:7">
      <c r="B57" s="503" t="s">
        <v>1126</v>
      </c>
      <c r="C57" s="513">
        <f ca="1">ROUND(C51/C52,3)</f>
        <v>0.96099999999999997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-3</v>
      </c>
      <c r="C2" s="2130" t="s">
        <v>1134</v>
      </c>
      <c r="D2" s="2130"/>
      <c r="E2" s="2128"/>
      <c r="F2" s="2128"/>
      <c r="G2" s="2128"/>
      <c r="H2" s="2128"/>
      <c r="I2" s="2128"/>
      <c r="J2" s="2128"/>
      <c r="K2" s="2128"/>
    </row>
    <row r="3" spans="1:33" ht="18" customHeight="1">
      <c r="A3" s="640" t="s">
        <v>1033</v>
      </c>
      <c r="B3" s="641">
        <f ca="1">ROUND(B2*10000/IF(C1="",'数据-汇总表'!E3,INDIRECT("'数据-取费表'!K"&amp;$K$1)),0)</f>
        <v>-201</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148.99</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148.99</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3</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3</v>
      </c>
      <c r="D20" s="2153">
        <f ca="1">IF(C1="",'数据-汇总表'!E6,IF(INDIRECT("'数据-取费表'!c"&amp;$K$1)="住宅",INDIRECT("'数据-取费表'!s"&amp;$K$1),INDIRECT("'数据-取费表'!k"&amp;$K$1)+INDIRECT("'数据-取费表'!s"&amp;$K$1)))</f>
        <v>148.99</v>
      </c>
      <c r="E20" s="295">
        <f>'数据-取费表'!B28</f>
        <v>200</v>
      </c>
      <c r="F20" s="2154"/>
      <c r="G20" s="420"/>
      <c r="H20" s="2161"/>
      <c r="I20" s="2161"/>
      <c r="J20" s="2161"/>
      <c r="K20" s="2204"/>
    </row>
    <row r="21" spans="1:33" s="2119" customFormat="1" ht="13.5" customHeight="1">
      <c r="A21" s="2137" t="s">
        <v>941</v>
      </c>
      <c r="B21" s="2162" t="s">
        <v>1165</v>
      </c>
      <c r="C21" s="2163">
        <f ca="1">C16+C17+C18</f>
        <v>3</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0</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0</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-3</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69" t="s">
        <v>1376</v>
      </c>
      <c r="K2" s="3370"/>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1" t="s">
        <v>1384</v>
      </c>
      <c r="K3" s="3372"/>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1" t="s">
        <v>1386</v>
      </c>
      <c r="K4" s="3372"/>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73" t="s">
        <v>1390</v>
      </c>
      <c r="B6" s="3374"/>
      <c r="C6" s="3375"/>
      <c r="D6" s="1964"/>
      <c r="E6" s="1965"/>
      <c r="F6" s="1966"/>
      <c r="G6" s="1967"/>
      <c r="H6" s="1955"/>
      <c r="I6" s="2040"/>
      <c r="J6" s="3382">
        <v>1</v>
      </c>
      <c r="K6" s="3385"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82"/>
      <c r="K7" s="3386"/>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76" t="s">
        <v>1404</v>
      </c>
      <c r="C8" s="3377"/>
      <c r="D8" s="1978" t="s">
        <v>1405</v>
      </c>
      <c r="E8" s="1979" t="s">
        <v>1406</v>
      </c>
      <c r="F8" s="1980" t="s">
        <v>1407</v>
      </c>
      <c r="G8" s="1981"/>
      <c r="H8" s="1955"/>
      <c r="I8" s="2040"/>
      <c r="J8" s="3382"/>
      <c r="K8" s="3386"/>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76" t="s">
        <v>1410</v>
      </c>
      <c r="C9" s="3377"/>
      <c r="D9" s="1978">
        <f>ROUND(D6*E9,0)</f>
        <v>0</v>
      </c>
      <c r="E9" s="1982"/>
      <c r="F9" s="1983" t="s">
        <v>1411</v>
      </c>
      <c r="G9" s="1967"/>
      <c r="H9" s="1955"/>
      <c r="I9" s="2040"/>
      <c r="J9" s="3382"/>
      <c r="K9" s="3386"/>
      <c r="L9" s="2060" t="s">
        <v>1412</v>
      </c>
      <c r="M9" s="2061"/>
      <c r="N9" s="1960"/>
      <c r="O9" s="2062"/>
      <c r="P9" s="2062"/>
      <c r="Q9" s="1993">
        <v>365</v>
      </c>
      <c r="R9" s="2094">
        <f t="shared" si="0"/>
        <v>0</v>
      </c>
      <c r="S9" s="2009"/>
      <c r="T9" s="2009"/>
      <c r="U9" s="2009"/>
      <c r="V9" s="2040"/>
    </row>
    <row r="10" spans="1:22" s="1938" customFormat="1" ht="13.15" customHeight="1">
      <c r="A10" s="1975">
        <v>2</v>
      </c>
      <c r="B10" s="3376" t="s">
        <v>1413</v>
      </c>
      <c r="C10" s="3377"/>
      <c r="D10" s="1978">
        <f>ROUND(D6*E10,0)</f>
        <v>0</v>
      </c>
      <c r="E10" s="1982"/>
      <c r="F10" s="1983" t="s">
        <v>1414</v>
      </c>
      <c r="G10" s="1967"/>
      <c r="H10" s="1955"/>
      <c r="I10" s="2040"/>
      <c r="J10" s="3382"/>
      <c r="K10" s="3386"/>
      <c r="L10" s="2060" t="s">
        <v>1415</v>
      </c>
      <c r="M10" s="2061"/>
      <c r="N10" s="1960"/>
      <c r="O10" s="2062"/>
      <c r="P10" s="2062"/>
      <c r="Q10" s="1993">
        <v>365</v>
      </c>
      <c r="R10" s="2094">
        <f t="shared" si="0"/>
        <v>0</v>
      </c>
      <c r="S10" s="2009"/>
      <c r="T10" s="2009"/>
      <c r="U10" s="2009"/>
      <c r="V10" s="2040"/>
    </row>
    <row r="11" spans="1:22" s="1938" customFormat="1" ht="13.15" customHeight="1">
      <c r="A11" s="1975">
        <v>3</v>
      </c>
      <c r="B11" s="3376" t="s">
        <v>1416</v>
      </c>
      <c r="C11" s="3377"/>
      <c r="D11" s="1978">
        <f>D12+D14+D15+D16</f>
        <v>0</v>
      </c>
      <c r="E11" s="1984" t="e">
        <f>D11/D6</f>
        <v>#DIV/0!</v>
      </c>
      <c r="F11" s="1980"/>
      <c r="G11" s="1981"/>
      <c r="H11" s="1955"/>
      <c r="I11" s="2040"/>
      <c r="J11" s="3382"/>
      <c r="K11" s="3386"/>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8" t="s">
        <v>1419</v>
      </c>
      <c r="C12" s="3379"/>
      <c r="D12" s="1988">
        <f>ROUND(D13*1.2%*(1-30%),0)</f>
        <v>0</v>
      </c>
      <c r="E12" s="1989">
        <v>1.2E-2</v>
      </c>
      <c r="F12" s="1980" t="s">
        <v>1420</v>
      </c>
      <c r="G12" s="1981"/>
      <c r="H12" s="1955"/>
      <c r="I12" s="2040"/>
      <c r="J12" s="3382"/>
      <c r="K12" s="3386"/>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82"/>
      <c r="K13" s="3386"/>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8" t="s">
        <v>1425</v>
      </c>
      <c r="C14" s="3379"/>
      <c r="D14" s="1988">
        <f>ROUND(E14*B5/10000,0)</f>
        <v>0</v>
      </c>
      <c r="E14" s="1993"/>
      <c r="F14" s="1980" t="s">
        <v>1426</v>
      </c>
      <c r="G14" s="1981"/>
      <c r="H14" s="1955"/>
      <c r="I14" s="2040"/>
      <c r="J14" s="3382"/>
      <c r="K14" s="3387"/>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8" t="s">
        <v>1429</v>
      </c>
      <c r="C15" s="3379"/>
      <c r="D15" s="1988">
        <f>ROUND(D6*E15,0)</f>
        <v>0</v>
      </c>
      <c r="E15" s="1989">
        <v>5.5E-2</v>
      </c>
      <c r="F15" s="1980" t="s">
        <v>1430</v>
      </c>
      <c r="G15" s="1967"/>
      <c r="H15" s="1955"/>
      <c r="I15" s="2040"/>
      <c r="J15" s="3382">
        <v>2</v>
      </c>
      <c r="K15" s="3385"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8" t="s">
        <v>1437</v>
      </c>
      <c r="C16" s="3379"/>
      <c r="D16" s="1994">
        <f>D6*E16</f>
        <v>0</v>
      </c>
      <c r="E16" s="1995"/>
      <c r="F16" s="1983" t="s">
        <v>1438</v>
      </c>
      <c r="G16" s="1967"/>
      <c r="H16" s="1955"/>
      <c r="I16" s="2040"/>
      <c r="J16" s="3382"/>
      <c r="K16" s="3386"/>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80" t="s">
        <v>1440</v>
      </c>
      <c r="C17" s="3381"/>
      <c r="D17" s="1997">
        <f>ROUND(D6*E17,0)</f>
        <v>0</v>
      </c>
      <c r="E17" s="1998"/>
      <c r="F17" s="1999" t="s">
        <v>1441</v>
      </c>
      <c r="G17" s="1967"/>
      <c r="H17" s="1955"/>
      <c r="I17" s="2040"/>
      <c r="J17" s="3382"/>
      <c r="K17" s="3386"/>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82"/>
      <c r="K18" s="3386"/>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82"/>
      <c r="K19" s="3387"/>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82">
        <v>3</v>
      </c>
      <c r="K20" s="3385"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82"/>
      <c r="K21" s="3386"/>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82"/>
      <c r="K22" s="3386"/>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82"/>
      <c r="K23" s="3386"/>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82"/>
      <c r="K24" s="3387"/>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83">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84"/>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69" t="s">
        <v>1376</v>
      </c>
      <c r="K32" s="3370"/>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1" t="s">
        <v>1384</v>
      </c>
      <c r="K33" s="3372"/>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1" t="s">
        <v>1386</v>
      </c>
      <c r="K34" s="3372"/>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82">
        <v>1</v>
      </c>
      <c r="K36" s="3385"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82"/>
      <c r="K37" s="3386"/>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82"/>
      <c r="K38" s="3386"/>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82"/>
      <c r="K39" s="3386"/>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82"/>
      <c r="K40" s="3387"/>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83">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84"/>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392.02300000000002</v>
      </c>
      <c r="C2" s="1923" t="s">
        <v>1487</v>
      </c>
      <c r="D2" s="1924" t="s">
        <v>1488</v>
      </c>
      <c r="E2" s="1925">
        <f>SUM(E6:E13)</f>
        <v>148.99</v>
      </c>
      <c r="F2" s="1921"/>
      <c r="G2" s="1781"/>
      <c r="H2" s="1781"/>
      <c r="I2" s="1781"/>
      <c r="J2" s="1781"/>
      <c r="K2" s="1781"/>
      <c r="L2" s="1781"/>
      <c r="M2" s="1781"/>
      <c r="N2" s="1781"/>
      <c r="O2" s="1781"/>
      <c r="P2" s="1781"/>
      <c r="Q2" s="1781"/>
      <c r="R2" s="1781"/>
      <c r="S2" s="1781"/>
    </row>
    <row r="3" spans="1:22" ht="15.75">
      <c r="A3" s="1922" t="s">
        <v>1033</v>
      </c>
      <c r="B3" s="1926">
        <f ca="1">ROUND(B2*10000/E2,0)</f>
        <v>26312</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392.02300000000002</v>
      </c>
      <c r="C6" s="1923" t="s">
        <v>1487</v>
      </c>
      <c r="D6" s="1921"/>
      <c r="E6" s="1933">
        <f>IF(OR(A6=0,F6="否"),0,'数据-取费表'!K6+'数据-取费表'!S6)</f>
        <v>148.99</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148.99</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390" t="s">
        <v>1501</v>
      </c>
      <c r="D4" s="3391"/>
      <c r="E4" s="3392" t="s">
        <v>1502</v>
      </c>
      <c r="F4" s="3393"/>
      <c r="G4" s="3390" t="s">
        <v>1503</v>
      </c>
      <c r="H4" s="3391"/>
      <c r="I4" s="3390" t="s">
        <v>1504</v>
      </c>
      <c r="J4" s="3391"/>
      <c r="K4" s="1857"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0" t="s">
        <v>1503</v>
      </c>
      <c r="AC4" s="3420" t="s">
        <v>1504</v>
      </c>
    </row>
    <row r="5" spans="1:29" ht="15">
      <c r="A5" s="1305"/>
      <c r="B5" s="1306"/>
      <c r="C5" s="3394" t="s">
        <v>1507</v>
      </c>
      <c r="D5" s="3395"/>
      <c r="E5" s="3396" t="s">
        <v>1508</v>
      </c>
      <c r="F5" s="3397"/>
      <c r="G5" s="3394" t="s">
        <v>1509</v>
      </c>
      <c r="H5" s="3395"/>
      <c r="I5" s="3394" t="s">
        <v>1510</v>
      </c>
      <c r="J5" s="3395"/>
      <c r="K5" s="1858"/>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858"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45909</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7"/>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8"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9"/>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4"/>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9"/>
      <c r="Q26" s="912" t="str">
        <f t="shared" si="11"/>
        <v>朝向</v>
      </c>
      <c r="R26" s="1494" t="s">
        <v>1515</v>
      </c>
      <c r="S26" s="1495">
        <f t="shared" si="12"/>
        <v>100</v>
      </c>
      <c r="T26" s="1494" t="s">
        <v>1515</v>
      </c>
      <c r="U26" s="1495">
        <f t="shared" si="13"/>
        <v>100</v>
      </c>
      <c r="V26" s="1494" t="s">
        <v>1515</v>
      </c>
      <c r="W26" s="1495">
        <f t="shared" si="14"/>
        <v>100</v>
      </c>
      <c r="X26" s="1489"/>
      <c r="Y26" s="3414"/>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9"/>
      <c r="Q27" s="1080">
        <f t="shared" si="11"/>
        <v>111</v>
      </c>
      <c r="R27" s="1490" t="s">
        <v>1515</v>
      </c>
      <c r="S27" s="1491">
        <f t="shared" si="12"/>
        <v>100</v>
      </c>
      <c r="T27" s="1490" t="s">
        <v>1515</v>
      </c>
      <c r="U27" s="1491">
        <f t="shared" si="13"/>
        <v>100</v>
      </c>
      <c r="V27" s="1490" t="s">
        <v>1515</v>
      </c>
      <c r="W27" s="1491">
        <f t="shared" si="14"/>
        <v>100</v>
      </c>
      <c r="X27" s="1492"/>
      <c r="Y27" s="3414"/>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9"/>
      <c r="Q28" s="912">
        <f t="shared" si="11"/>
        <v>111</v>
      </c>
      <c r="R28" s="1494" t="s">
        <v>1515</v>
      </c>
      <c r="S28" s="1495">
        <f t="shared" si="12"/>
        <v>100</v>
      </c>
      <c r="T28" s="1494" t="s">
        <v>1515</v>
      </c>
      <c r="U28" s="1495">
        <f t="shared" si="13"/>
        <v>100</v>
      </c>
      <c r="V28" s="1494" t="s">
        <v>1515</v>
      </c>
      <c r="W28" s="1495">
        <f t="shared" si="14"/>
        <v>100</v>
      </c>
      <c r="X28" s="1489"/>
      <c r="Y28" s="3414"/>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0" t="s">
        <v>1535</v>
      </c>
      <c r="Q32" s="912" t="str">
        <f t="shared" si="11"/>
        <v>建筑类型</v>
      </c>
      <c r="R32" s="1494" t="s">
        <v>1515</v>
      </c>
      <c r="S32" s="1495">
        <f t="shared" si="12"/>
        <v>100</v>
      </c>
      <c r="T32" s="1494" t="s">
        <v>1515</v>
      </c>
      <c r="U32" s="1495">
        <f t="shared" si="13"/>
        <v>100</v>
      </c>
      <c r="V32" s="1494" t="s">
        <v>1515</v>
      </c>
      <c r="W32" s="1495">
        <f t="shared" si="14"/>
        <v>100</v>
      </c>
      <c r="X32" s="1489"/>
      <c r="Y32" s="3415"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1"/>
      <c r="Q33" s="1689" t="str">
        <f t="shared" si="11"/>
        <v>项目建筑规模</v>
      </c>
      <c r="R33" s="1496" t="s">
        <v>1515</v>
      </c>
      <c r="S33" s="1497" t="e">
        <f t="shared" si="12"/>
        <v>#N/A</v>
      </c>
      <c r="T33" s="1496" t="s">
        <v>1515</v>
      </c>
      <c r="U33" s="1497" t="e">
        <f t="shared" si="13"/>
        <v>#N/A</v>
      </c>
      <c r="V33" s="1496" t="s">
        <v>1515</v>
      </c>
      <c r="W33" s="1497" t="e">
        <f t="shared" si="14"/>
        <v>#N/A</v>
      </c>
      <c r="X33" s="1498"/>
      <c r="Y33" s="3415"/>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1"/>
      <c r="Q35" s="912" t="str">
        <f t="shared" si="11"/>
        <v>建筑品质</v>
      </c>
      <c r="R35" s="1494" t="s">
        <v>1515</v>
      </c>
      <c r="S35" s="1495">
        <f t="shared" si="12"/>
        <v>100</v>
      </c>
      <c r="T35" s="1494" t="s">
        <v>1515</v>
      </c>
      <c r="U35" s="1495">
        <f t="shared" si="13"/>
        <v>100</v>
      </c>
      <c r="V35" s="1494" t="s">
        <v>1515</v>
      </c>
      <c r="W35" s="1495">
        <f t="shared" si="14"/>
        <v>100</v>
      </c>
      <c r="X35" s="1489"/>
      <c r="Y35" s="3415"/>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1"/>
      <c r="Q37" s="1080" t="str">
        <f t="shared" si="11"/>
        <v>成新度</v>
      </c>
      <c r="R37" s="1490" t="s">
        <v>1515</v>
      </c>
      <c r="S37" s="1491" t="e">
        <f t="shared" si="12"/>
        <v>#N/A</v>
      </c>
      <c r="T37" s="1490" t="s">
        <v>1515</v>
      </c>
      <c r="U37" s="1491" t="e">
        <f t="shared" si="13"/>
        <v>#N/A</v>
      </c>
      <c r="V37" s="1490" t="s">
        <v>1515</v>
      </c>
      <c r="W37" s="1491" t="e">
        <f t="shared" si="14"/>
        <v>#N/A</v>
      </c>
      <c r="X37" s="1492"/>
      <c r="Y37" s="3415"/>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1" t="s">
        <v>1535</v>
      </c>
      <c r="Q38" s="912" t="str">
        <f t="shared" si="11"/>
        <v>物业管理</v>
      </c>
      <c r="R38" s="1494" t="s">
        <v>1515</v>
      </c>
      <c r="S38" s="1495">
        <f t="shared" si="12"/>
        <v>100</v>
      </c>
      <c r="T38" s="1494" t="s">
        <v>1515</v>
      </c>
      <c r="U38" s="1495">
        <f t="shared" si="13"/>
        <v>100</v>
      </c>
      <c r="V38" s="1494" t="s">
        <v>1515</v>
      </c>
      <c r="W38" s="1495">
        <f t="shared" si="14"/>
        <v>100</v>
      </c>
      <c r="X38" s="1489"/>
      <c r="Y38" s="3415"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1"/>
      <c r="Q39" s="912" t="str">
        <f t="shared" si="11"/>
        <v>市政基础设施</v>
      </c>
      <c r="R39" s="1494" t="s">
        <v>1515</v>
      </c>
      <c r="S39" s="1495">
        <f t="shared" si="12"/>
        <v>100</v>
      </c>
      <c r="T39" s="1494" t="s">
        <v>1515</v>
      </c>
      <c r="U39" s="1495">
        <f t="shared" si="13"/>
        <v>100</v>
      </c>
      <c r="V39" s="1494" t="s">
        <v>1515</v>
      </c>
      <c r="W39" s="1495">
        <f t="shared" si="14"/>
        <v>100</v>
      </c>
      <c r="X39" s="1489"/>
      <c r="Y39" s="3415"/>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1"/>
      <c r="Q40" s="912" t="str">
        <f t="shared" si="11"/>
        <v>房型</v>
      </c>
      <c r="R40" s="1494" t="s">
        <v>1515</v>
      </c>
      <c r="S40" s="1495">
        <f t="shared" si="12"/>
        <v>100</v>
      </c>
      <c r="T40" s="1494" t="s">
        <v>1515</v>
      </c>
      <c r="U40" s="1495">
        <f t="shared" si="13"/>
        <v>100</v>
      </c>
      <c r="V40" s="1494" t="s">
        <v>1515</v>
      </c>
      <c r="W40" s="1495">
        <f t="shared" si="14"/>
        <v>100</v>
      </c>
      <c r="X40" s="1489"/>
      <c r="Y40" s="3415"/>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1"/>
      <c r="Q41" s="1689" t="str">
        <f t="shared" si="11"/>
        <v>单套/主力户型建筑面积</v>
      </c>
      <c r="R41" s="1496" t="s">
        <v>1515</v>
      </c>
      <c r="S41" s="1497">
        <f t="shared" si="12"/>
        <v>100</v>
      </c>
      <c r="T41" s="1496" t="s">
        <v>1515</v>
      </c>
      <c r="U41" s="1497">
        <f t="shared" si="13"/>
        <v>100</v>
      </c>
      <c r="V41" s="1496" t="s">
        <v>1515</v>
      </c>
      <c r="W41" s="1497">
        <f t="shared" si="14"/>
        <v>100</v>
      </c>
      <c r="X41" s="1498"/>
      <c r="Y41" s="3415"/>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5" t="str">
        <f>A47</f>
        <v>成交单价（元/平方米）</v>
      </c>
      <c r="Q47" s="3405"/>
      <c r="R47" s="3406">
        <f>E47</f>
        <v>0</v>
      </c>
      <c r="S47" s="3406"/>
      <c r="T47" s="3406">
        <f>G47</f>
        <v>0</v>
      </c>
      <c r="U47" s="3406"/>
      <c r="V47" s="3406">
        <f>I47</f>
        <v>0</v>
      </c>
      <c r="W47" s="3406"/>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2025-9</v>
      </c>
      <c r="D58" s="1681">
        <f>EDATE(C58,-1)</f>
        <v>45870</v>
      </c>
      <c r="E58" s="1681">
        <f>EDATE(D58,-1)</f>
        <v>45839</v>
      </c>
      <c r="F58" s="1681">
        <f t="shared" ref="F58:O58" si="19">EDATE(E58,-1)</f>
        <v>45809</v>
      </c>
      <c r="G58" s="1681">
        <f t="shared" si="19"/>
        <v>45778</v>
      </c>
      <c r="H58" s="1681">
        <f t="shared" si="19"/>
        <v>45748</v>
      </c>
      <c r="I58" s="1681">
        <f t="shared" si="19"/>
        <v>45717</v>
      </c>
      <c r="J58" s="1681">
        <f t="shared" si="19"/>
        <v>45689</v>
      </c>
      <c r="K58" s="1681">
        <f t="shared" si="19"/>
        <v>45658</v>
      </c>
      <c r="L58" s="1681">
        <f t="shared" si="19"/>
        <v>45627</v>
      </c>
      <c r="M58" s="1681">
        <f t="shared" si="19"/>
        <v>45597</v>
      </c>
      <c r="N58" s="1681">
        <f t="shared" si="19"/>
        <v>45566</v>
      </c>
      <c r="O58" s="1681">
        <f t="shared" si="19"/>
        <v>45536</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5</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06"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06"/>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06"/>
      <c r="AC6" s="3422"/>
    </row>
    <row r="7" spans="1:29" s="1284" customFormat="1" ht="15">
      <c r="A7" s="1309" t="s">
        <v>1513</v>
      </c>
      <c r="B7" s="1310"/>
      <c r="C7" s="1311">
        <f>'数据-取费表'!B2</f>
        <v>45909</v>
      </c>
      <c r="D7" s="1312">
        <v>100</v>
      </c>
      <c r="E7" s="1313">
        <f>C7</f>
        <v>45909</v>
      </c>
      <c r="F7" s="1314">
        <f>SUMIF(58:58,YEAR(E7)&amp;"-"&amp;MONTH(E7),59:59)</f>
        <v>100</v>
      </c>
      <c r="G7" s="1313">
        <f>E7</f>
        <v>45909</v>
      </c>
      <c r="H7" s="1312">
        <f>SUMIF(58:58,YEAR(G7)&amp;"-"&amp;MONTH(G7),59:59)</f>
        <v>100</v>
      </c>
      <c r="I7" s="1313">
        <f>C7</f>
        <v>45909</v>
      </c>
      <c r="J7" s="1312">
        <f>SUMIF(58:58,YEAR(I7)&amp;"-"&amp;MONTH(I7),59:59)</f>
        <v>100</v>
      </c>
      <c r="K7" s="1448"/>
      <c r="L7" s="1449"/>
      <c r="M7" s="1450"/>
      <c r="N7" s="1450"/>
      <c r="O7" s="1450"/>
      <c r="P7" s="3402"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02" t="s">
        <v>1517</v>
      </c>
      <c r="Q8" s="3404"/>
      <c r="R8" s="1490" t="s">
        <v>1515</v>
      </c>
      <c r="S8" s="1491">
        <f t="shared" si="0"/>
        <v>105</v>
      </c>
      <c r="T8" s="1490" t="s">
        <v>1515</v>
      </c>
      <c r="U8" s="1491">
        <f t="shared" si="1"/>
        <v>105</v>
      </c>
      <c r="V8" s="1490" t="s">
        <v>1515</v>
      </c>
      <c r="W8" s="1491">
        <f t="shared" si="2"/>
        <v>105</v>
      </c>
      <c r="X8" s="1492"/>
      <c r="Y8" s="3402" t="s">
        <v>1517</v>
      </c>
      <c r="Z8" s="3404"/>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8" t="s">
        <v>1526</v>
      </c>
      <c r="Q15" s="912" t="str">
        <f t="shared" si="6"/>
        <v>商业繁华度</v>
      </c>
      <c r="R15" s="1494" t="s">
        <v>1515</v>
      </c>
      <c r="S15" s="1495">
        <f t="shared" si="0"/>
        <v>100</v>
      </c>
      <c r="T15" s="1494" t="s">
        <v>1515</v>
      </c>
      <c r="U15" s="1495">
        <f t="shared" si="1"/>
        <v>100</v>
      </c>
      <c r="V15" s="1494" t="s">
        <v>1515</v>
      </c>
      <c r="W15" s="1495">
        <f t="shared" si="2"/>
        <v>100</v>
      </c>
      <c r="X15" s="1489"/>
      <c r="Y15" s="3413"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09"/>
      <c r="Q25" s="912" t="str">
        <f t="shared" ref="Q25:Q46" si="11">B25</f>
        <v>临街状况</v>
      </c>
      <c r="R25" s="1494" t="s">
        <v>1515</v>
      </c>
      <c r="S25" s="1495">
        <f>F25</f>
        <v>100</v>
      </c>
      <c r="T25" s="1494" t="s">
        <v>1515</v>
      </c>
      <c r="U25" s="1495">
        <f>H25</f>
        <v>100</v>
      </c>
      <c r="V25" s="1494" t="s">
        <v>1515</v>
      </c>
      <c r="W25" s="1495">
        <f>J25</f>
        <v>97</v>
      </c>
      <c r="X25" s="1489"/>
      <c r="Y25" s="3414"/>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9"/>
      <c r="Q26" s="912" t="str">
        <f t="shared" si="11"/>
        <v>平面位置/可视性</v>
      </c>
      <c r="R26" s="1494" t="s">
        <v>1515</v>
      </c>
      <c r="S26" s="1495">
        <f>F26</f>
        <v>100</v>
      </c>
      <c r="T26" s="1494" t="s">
        <v>1515</v>
      </c>
      <c r="U26" s="1495">
        <f>H26</f>
        <v>100</v>
      </c>
      <c r="V26" s="1494" t="s">
        <v>1515</v>
      </c>
      <c r="W26" s="1495">
        <f>J26</f>
        <v>100</v>
      </c>
      <c r="X26" s="1489"/>
      <c r="Y26" s="3414"/>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09"/>
      <c r="Q27" s="1080" t="str">
        <f t="shared" si="11"/>
        <v>人流量</v>
      </c>
      <c r="R27" s="1490" t="s">
        <v>1515</v>
      </c>
      <c r="S27" s="1491">
        <f>F27</f>
        <v>103</v>
      </c>
      <c r="T27" s="1490" t="s">
        <v>1515</v>
      </c>
      <c r="U27" s="1491">
        <f>H27</f>
        <v>103</v>
      </c>
      <c r="V27" s="1490" t="s">
        <v>1515</v>
      </c>
      <c r="W27" s="1491">
        <f>J27</f>
        <v>100</v>
      </c>
      <c r="X27" s="1492"/>
      <c r="Y27" s="3414"/>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9"/>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4"/>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0" t="s">
        <v>1535</v>
      </c>
      <c r="Q32" s="912" t="str">
        <f t="shared" si="11"/>
        <v>商业类型</v>
      </c>
      <c r="R32" s="1494" t="s">
        <v>1515</v>
      </c>
      <c r="S32" s="1495">
        <f t="shared" si="12"/>
        <v>100</v>
      </c>
      <c r="T32" s="1494" t="s">
        <v>1515</v>
      </c>
      <c r="U32" s="1495">
        <f t="shared" si="13"/>
        <v>100</v>
      </c>
      <c r="V32" s="1494" t="s">
        <v>1515</v>
      </c>
      <c r="W32" s="1495">
        <f t="shared" si="14"/>
        <v>100</v>
      </c>
      <c r="X32" s="1489"/>
      <c r="Y32" s="3415"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148.99</v>
      </c>
      <c r="D33" s="1324">
        <v>100</v>
      </c>
      <c r="E33" s="1327">
        <v>450</v>
      </c>
      <c r="F33" s="1322">
        <f>LOOKUP(E33,103:103,104:104)-LOOKUP(C33,103:103,104:104)+100</f>
        <v>97</v>
      </c>
      <c r="G33" s="1326">
        <v>50.26</v>
      </c>
      <c r="H33" s="1324">
        <f>LOOKUP(G33,103:103,104:104)-LOOKUP(C33,103:103,104:104)+100</f>
        <v>101</v>
      </c>
      <c r="I33" s="1326">
        <v>70.34</v>
      </c>
      <c r="J33" s="1324">
        <f>LOOKUP(I33,103:103,104:104)-LOOKUP(C33,103:103,104:104)+100</f>
        <v>101</v>
      </c>
      <c r="K33" s="1464"/>
      <c r="L33" s="1457"/>
      <c r="M33" s="1466"/>
      <c r="N33" s="1466"/>
      <c r="O33" s="1466"/>
      <c r="P33" s="3411"/>
      <c r="Q33" s="1689" t="str">
        <f t="shared" si="11"/>
        <v>项目建筑规模</v>
      </c>
      <c r="R33" s="1496" t="s">
        <v>1515</v>
      </c>
      <c r="S33" s="1497">
        <f t="shared" si="12"/>
        <v>97</v>
      </c>
      <c r="T33" s="1496" t="s">
        <v>1515</v>
      </c>
      <c r="U33" s="1497">
        <f t="shared" si="13"/>
        <v>101</v>
      </c>
      <c r="V33" s="1496" t="s">
        <v>1515</v>
      </c>
      <c r="W33" s="1497">
        <f t="shared" si="14"/>
        <v>101</v>
      </c>
      <c r="X33" s="1498"/>
      <c r="Y33" s="3415"/>
      <c r="Z33" s="1502" t="str">
        <f t="shared" si="15"/>
        <v>项目建筑规模</v>
      </c>
      <c r="AA33" s="1479">
        <f t="shared" si="3"/>
        <v>1.0309278350515463</v>
      </c>
      <c r="AB33" s="1479">
        <f t="shared" si="4"/>
        <v>0.99009900990099009</v>
      </c>
      <c r="AC33" s="1479">
        <f t="shared" si="5"/>
        <v>0.99009900990099009</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1"/>
      <c r="Q35" s="912" t="str">
        <f t="shared" si="11"/>
        <v>公共部分装修</v>
      </c>
      <c r="R35" s="1494" t="s">
        <v>1515</v>
      </c>
      <c r="S35" s="1495">
        <f t="shared" si="12"/>
        <v>100</v>
      </c>
      <c r="T35" s="1494" t="s">
        <v>1515</v>
      </c>
      <c r="U35" s="1495">
        <f t="shared" si="13"/>
        <v>100</v>
      </c>
      <c r="V35" s="1494" t="s">
        <v>1515</v>
      </c>
      <c r="W35" s="1495">
        <f t="shared" si="14"/>
        <v>100</v>
      </c>
      <c r="X35" s="1489"/>
      <c r="Y35" s="3415"/>
      <c r="Z35" s="1479" t="str">
        <f t="shared" si="15"/>
        <v>公共部分装修</v>
      </c>
      <c r="AA35" s="1479">
        <f t="shared" si="3"/>
        <v>1</v>
      </c>
      <c r="AB35" s="1479">
        <f t="shared" si="4"/>
        <v>1</v>
      </c>
      <c r="AC35" s="1479">
        <f t="shared" si="5"/>
        <v>1</v>
      </c>
    </row>
    <row r="36" spans="1:29" ht="15">
      <c r="A36" s="1374"/>
      <c r="B36" s="1322" t="s">
        <v>683</v>
      </c>
      <c r="C36" s="1665">
        <f>'数据-取费表'!N6</f>
        <v>0.76</v>
      </c>
      <c r="D36" s="1045">
        <v>100</v>
      </c>
      <c r="E36" s="1665">
        <f>C36</f>
        <v>0.76</v>
      </c>
      <c r="F36" s="1474">
        <f>LOOKUP(E36,110:110,111:111)-LOOKUP(C36,110:110,111:111)+100</f>
        <v>100</v>
      </c>
      <c r="G36" s="1665">
        <f>E36</f>
        <v>0.76</v>
      </c>
      <c r="H36" s="1474">
        <f>LOOKUP(G36,110:110,111:111)-LOOKUP(C36,110:110,111:111)+100</f>
        <v>100</v>
      </c>
      <c r="I36" s="1665">
        <f>G36</f>
        <v>0.76</v>
      </c>
      <c r="J36" s="1045">
        <f>LOOKUP(I36,110:110,111:111)-LOOKUP(C36,110:110,111:111)+100</f>
        <v>100</v>
      </c>
      <c r="K36" s="1465"/>
      <c r="L36" s="1459"/>
      <c r="M36" s="1398"/>
      <c r="N36" s="1398"/>
      <c r="O36" s="1398"/>
      <c r="P36" s="3411"/>
      <c r="Q36" s="912" t="str">
        <f t="shared" si="11"/>
        <v>成新度</v>
      </c>
      <c r="R36" s="1494" t="s">
        <v>1515</v>
      </c>
      <c r="S36" s="1495">
        <f t="shared" si="12"/>
        <v>100</v>
      </c>
      <c r="T36" s="1494" t="s">
        <v>1515</v>
      </c>
      <c r="U36" s="1495">
        <f t="shared" si="13"/>
        <v>100</v>
      </c>
      <c r="V36" s="1494" t="s">
        <v>1515</v>
      </c>
      <c r="W36" s="1495">
        <f t="shared" si="14"/>
        <v>100</v>
      </c>
      <c r="X36" s="1489"/>
      <c r="Y36" s="3415"/>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1"/>
      <c r="Q37" s="1080" t="str">
        <f t="shared" si="11"/>
        <v>市政基础设施</v>
      </c>
      <c r="R37" s="1490" t="s">
        <v>1515</v>
      </c>
      <c r="S37" s="1491">
        <f t="shared" si="12"/>
        <v>100</v>
      </c>
      <c r="T37" s="1490" t="s">
        <v>1515</v>
      </c>
      <c r="U37" s="1491">
        <f t="shared" si="13"/>
        <v>100</v>
      </c>
      <c r="V37" s="1490" t="s">
        <v>1515</v>
      </c>
      <c r="W37" s="1491">
        <f t="shared" si="14"/>
        <v>100</v>
      </c>
      <c r="X37" s="1492"/>
      <c r="Y37" s="3415"/>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1" t="s">
        <v>1535</v>
      </c>
      <c r="Q38" s="912" t="str">
        <f t="shared" si="11"/>
        <v>业态</v>
      </c>
      <c r="R38" s="1494" t="s">
        <v>1515</v>
      </c>
      <c r="S38" s="1495">
        <f t="shared" si="12"/>
        <v>103</v>
      </c>
      <c r="T38" s="1494" t="s">
        <v>1515</v>
      </c>
      <c r="U38" s="1495">
        <f t="shared" si="13"/>
        <v>100</v>
      </c>
      <c r="V38" s="1494" t="s">
        <v>1515</v>
      </c>
      <c r="W38" s="1495">
        <f t="shared" si="14"/>
        <v>100</v>
      </c>
      <c r="X38" s="1489"/>
      <c r="Y38" s="3415"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1"/>
      <c r="Q39" s="912" t="str">
        <f t="shared" si="11"/>
        <v>层高</v>
      </c>
      <c r="R39" s="1494" t="s">
        <v>1515</v>
      </c>
      <c r="S39" s="1495">
        <f t="shared" si="12"/>
        <v>100</v>
      </c>
      <c r="T39" s="1494" t="s">
        <v>1515</v>
      </c>
      <c r="U39" s="1495">
        <f t="shared" si="13"/>
        <v>100</v>
      </c>
      <c r="V39" s="1494" t="s">
        <v>1515</v>
      </c>
      <c r="W39" s="1495">
        <f t="shared" si="14"/>
        <v>100</v>
      </c>
      <c r="X39" s="1489"/>
      <c r="Y39" s="3415"/>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1"/>
      <c r="Q40" s="912" t="str">
        <f t="shared" si="11"/>
        <v>单套建筑面积</v>
      </c>
      <c r="R40" s="1494" t="s">
        <v>1515</v>
      </c>
      <c r="S40" s="1495">
        <f t="shared" si="12"/>
        <v>100</v>
      </c>
      <c r="T40" s="1494" t="s">
        <v>1515</v>
      </c>
      <c r="U40" s="1495">
        <f t="shared" si="13"/>
        <v>100</v>
      </c>
      <c r="V40" s="1494" t="s">
        <v>1515</v>
      </c>
      <c r="W40" s="1495">
        <f t="shared" si="14"/>
        <v>100</v>
      </c>
      <c r="X40" s="1489"/>
      <c r="Y40" s="3415"/>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1"/>
      <c r="Q41" s="1689" t="str">
        <f t="shared" si="11"/>
        <v>进深比</v>
      </c>
      <c r="R41" s="1496" t="s">
        <v>1515</v>
      </c>
      <c r="S41" s="1497">
        <f t="shared" si="12"/>
        <v>100</v>
      </c>
      <c r="T41" s="1496" t="s">
        <v>1515</v>
      </c>
      <c r="U41" s="1497">
        <f t="shared" si="13"/>
        <v>100</v>
      </c>
      <c r="V41" s="1496" t="s">
        <v>1515</v>
      </c>
      <c r="W41" s="1497">
        <f t="shared" si="14"/>
        <v>100</v>
      </c>
      <c r="X41" s="1498"/>
      <c r="Y41" s="3415"/>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5" t="str">
        <f>A47</f>
        <v>成交单价（元/平方米）</v>
      </c>
      <c r="Q47" s="3405"/>
      <c r="R47" s="3406">
        <f>E47</f>
        <v>5</v>
      </c>
      <c r="S47" s="3406"/>
      <c r="T47" s="3406">
        <f>G47</f>
        <v>5.23</v>
      </c>
      <c r="U47" s="3406"/>
      <c r="V47" s="3406">
        <f>I47</f>
        <v>5.84</v>
      </c>
      <c r="W47" s="3406"/>
      <c r="X47" s="1437"/>
      <c r="Y47" s="1503"/>
      <c r="Z47" s="1437"/>
      <c r="AA47" s="1437"/>
      <c r="AB47" s="1437"/>
      <c r="AC47" s="1437"/>
    </row>
    <row r="48" spans="1:29" ht="15">
      <c r="A48" s="1389" t="s">
        <v>1547</v>
      </c>
      <c r="B48" s="1674"/>
      <c r="C48" s="3169">
        <f>R49</f>
        <v>5</v>
      </c>
      <c r="D48" s="1392" t="s">
        <v>1548</v>
      </c>
      <c r="E48" s="1676">
        <f>R48</f>
        <v>4.5999999999999996</v>
      </c>
      <c r="F48" s="1393"/>
      <c r="G48" s="1675">
        <f>T48</f>
        <v>4.8</v>
      </c>
      <c r="H48" s="1393"/>
      <c r="I48" s="1676">
        <f>V48</f>
        <v>5.7</v>
      </c>
      <c r="J48" s="1393"/>
      <c r="K48" s="1472">
        <f>F48+H48+J48</f>
        <v>0</v>
      </c>
      <c r="L48" s="1471"/>
      <c r="M48" s="1398"/>
      <c r="N48" s="1398"/>
      <c r="O48" s="1398"/>
      <c r="P48" s="3405" t="str">
        <f>A48</f>
        <v>比较价值（元/平方米）</v>
      </c>
      <c r="Q48" s="3405"/>
      <c r="R48" s="3406">
        <f>IF(F1="售价",ROUND(PRODUCT(R47,AA7:AA46),0),ROUND(PRODUCT(R47,AA7:AA46),1))</f>
        <v>4.5999999999999996</v>
      </c>
      <c r="S48" s="3406"/>
      <c r="T48" s="3406">
        <f>IF(F1="售价",ROUND(PRODUCT(T47,AB7:AB46),0),ROUND(PRODUCT(T47,AB7:AB46),1))</f>
        <v>4.8</v>
      </c>
      <c r="U48" s="3406"/>
      <c r="V48" s="3406">
        <f>IF(F1="售价",ROUND(PRODUCT(V47,AC7:AC46),0),ROUND(PRODUCT(V47,AC7:AC46),1))</f>
        <v>5.7</v>
      </c>
      <c r="W48" s="3406"/>
      <c r="X48" s="1437"/>
      <c r="Y48" s="1437"/>
      <c r="Z48" s="1437"/>
      <c r="AA48" s="1437"/>
      <c r="AB48" s="1437"/>
      <c r="AC48" s="1437"/>
    </row>
    <row r="49" spans="1:29" ht="15">
      <c r="A49" s="1395" t="s">
        <v>1549</v>
      </c>
      <c r="B49" s="1396"/>
      <c r="C49" s="3170">
        <f>R49</f>
        <v>5</v>
      </c>
      <c r="D49" s="1308"/>
      <c r="E49" s="1308"/>
      <c r="F49" s="1308"/>
      <c r="G49" s="1308"/>
      <c r="H49" s="1308"/>
      <c r="I49" s="1308"/>
      <c r="J49" s="1308"/>
      <c r="K49" s="1473"/>
      <c r="L49" s="1471"/>
      <c r="M49" s="1398"/>
      <c r="N49" s="1398"/>
      <c r="O49" s="1398"/>
      <c r="P49" s="3417" t="str">
        <f>A49</f>
        <v>估价对象XX用房的比较价值（楼面单价，元/平方米）</v>
      </c>
      <c r="Q49" s="3418"/>
      <c r="R49" s="3419">
        <f>IF(F1="售价",ROUND(IF(D48="简单平均",AVERAGE(R48:V48),R48*F48+T48*H48+V48*J48),0),ROUND(IF(D48="简单平均",AVERAGE(R48:V48),R48*F48+T48*H48+V48*J48),1))</f>
        <v>5</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8.6956521739130599E-2</v>
      </c>
      <c r="F52" s="1402" t="str">
        <f>IF(OR(E52&gt;=0.3,E52&lt;=-0.3),"超过30%","")</f>
        <v/>
      </c>
      <c r="G52" s="1401">
        <f>IF(G47&lt;G48,G48/G47-1,G47/G48-1)</f>
        <v>8.958333333333357E-2</v>
      </c>
      <c r="H52" s="1402" t="str">
        <f>IF(OR(G52&gt;=0.3,G52&lt;=-0.3),"超过30%","")</f>
        <v/>
      </c>
      <c r="I52" s="1401">
        <f>IF(I47&lt;I48,I48/I47-1,I47/I48-1)</f>
        <v>2.4561403508771784E-2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4.3478260869565188E-2</v>
      </c>
      <c r="F53" s="1402" t="str">
        <f>IF(OR(E53&gt;=0.2,E53&lt;=-0.2),"超过20%","")</f>
        <v/>
      </c>
      <c r="G53" s="1401">
        <f>IF(G48&lt;I48,I48/G48-1,G48/I48-1)</f>
        <v>0.1875</v>
      </c>
      <c r="H53" s="1402" t="str">
        <f>IF(OR(G53&gt;=0.2,G53&lt;=-0.2),"超过20%","")</f>
        <v/>
      </c>
      <c r="I53" s="1401">
        <f>IF(I48&lt;E48,E48/I48-1,I48/E48-1)</f>
        <v>0.23913043478260887</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2025-9</v>
      </c>
      <c r="D58" s="1681">
        <f>EDATE(C58,-1)</f>
        <v>45870</v>
      </c>
      <c r="E58" s="1681">
        <f t="shared" ref="E58:O58" si="16">EDATE(D58,-1)</f>
        <v>45839</v>
      </c>
      <c r="F58" s="1681">
        <f t="shared" si="16"/>
        <v>45809</v>
      </c>
      <c r="G58" s="1681">
        <f t="shared" si="16"/>
        <v>45778</v>
      </c>
      <c r="H58" s="1681">
        <f t="shared" si="16"/>
        <v>45748</v>
      </c>
      <c r="I58" s="1681">
        <f t="shared" si="16"/>
        <v>45717</v>
      </c>
      <c r="J58" s="1681">
        <f t="shared" si="16"/>
        <v>45689</v>
      </c>
      <c r="K58" s="1681">
        <f t="shared" si="16"/>
        <v>45658</v>
      </c>
      <c r="L58" s="1681">
        <f t="shared" si="16"/>
        <v>45627</v>
      </c>
      <c r="M58" s="1681">
        <f t="shared" si="16"/>
        <v>45597</v>
      </c>
      <c r="N58" s="1681">
        <f t="shared" si="16"/>
        <v>45566</v>
      </c>
      <c r="O58" s="1681">
        <f t="shared" si="16"/>
        <v>45536</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35" t="s">
        <v>1691</v>
      </c>
      <c r="D1" s="3436"/>
      <c r="E1" s="3436"/>
      <c r="F1" s="3436"/>
      <c r="G1" s="3436"/>
      <c r="H1" s="3436"/>
      <c r="I1" s="3436"/>
      <c r="J1" s="3436"/>
      <c r="K1" s="3436"/>
      <c r="L1" s="3436"/>
      <c r="M1" s="3436"/>
      <c r="N1" s="3436"/>
      <c r="O1" s="3436"/>
      <c r="P1" s="3436"/>
      <c r="Q1" s="3436"/>
      <c r="R1" s="3436"/>
      <c r="S1" s="3437"/>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97</v>
      </c>
      <c r="E18" s="1220">
        <f>'比较法-办公'!E90</f>
        <v>94</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3071</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38919</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789.07000000000016</v>
      </c>
      <c r="C22" s="3438" t="s">
        <v>124</v>
      </c>
      <c r="D22" s="3439"/>
      <c r="E22" s="3439"/>
      <c r="F22" s="3439"/>
      <c r="G22" s="3439"/>
      <c r="H22" s="3439"/>
      <c r="I22" s="3439"/>
      <c r="J22" s="3439"/>
      <c r="K22" s="3439"/>
      <c r="L22" s="3439"/>
      <c r="M22" s="3439"/>
      <c r="N22" s="3439"/>
      <c r="O22" s="3439"/>
      <c r="P22" s="3439"/>
      <c r="Q22" s="3440"/>
      <c r="R22" s="295">
        <f ca="1">ROUND(S22*10000/B22,0)</f>
        <v>38919</v>
      </c>
      <c r="S22" s="295">
        <f ca="1">SUM(S24:S10000)</f>
        <v>3071</v>
      </c>
      <c r="T22" s="1183">
        <f ca="1">SUM(T24:T31)</f>
        <v>30708237</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148.99</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38917</v>
      </c>
      <c r="S24" s="1281">
        <f t="shared" ref="S24:S54" ca="1" si="11">ROUND(R24*B24/10000,0)</f>
        <v>580</v>
      </c>
      <c r="T24" s="1282">
        <f ca="1">ROUND(R24*B24,0)</f>
        <v>5798244</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38917</v>
      </c>
      <c r="S25" s="270">
        <f t="shared" ca="1" si="11"/>
        <v>468</v>
      </c>
      <c r="T25" s="1282">
        <f t="shared" ref="T25:T29" ca="1" si="12">ROUND(R25*B25,0)</f>
        <v>4679380</v>
      </c>
    </row>
    <row r="26" spans="1:45">
      <c r="A26" s="1231">
        <v>1706</v>
      </c>
      <c r="B26" s="1235">
        <v>168.71</v>
      </c>
      <c r="C26" s="295">
        <f t="shared" ref="C26:C89" si="13">IF(B26="",1,(LOOKUP(B26,$3:$3,$4:$4)-LOOKUP($B$24,$3:$3,$4:$4)+100)/100)</f>
        <v>1</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38917</v>
      </c>
      <c r="S26" s="270">
        <f t="shared" ca="1" si="11"/>
        <v>657</v>
      </c>
      <c r="T26" s="1282">
        <f t="shared" ca="1" si="12"/>
        <v>6565687</v>
      </c>
    </row>
    <row r="27" spans="1:45">
      <c r="A27" s="1231">
        <v>1707</v>
      </c>
      <c r="B27" s="1235">
        <v>120.24</v>
      </c>
      <c r="C27" s="295">
        <f t="shared" si="13"/>
        <v>1</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38917</v>
      </c>
      <c r="S27" s="270">
        <f t="shared" ca="1" si="11"/>
        <v>468</v>
      </c>
      <c r="T27" s="1282">
        <f t="shared" ca="1" si="12"/>
        <v>4679380</v>
      </c>
    </row>
    <row r="28" spans="1:45">
      <c r="A28" s="1231">
        <v>1708</v>
      </c>
      <c r="B28" s="1235">
        <v>115.46</v>
      </c>
      <c r="C28" s="295">
        <f t="shared" si="13"/>
        <v>1</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38917</v>
      </c>
      <c r="S28" s="270">
        <f t="shared" ca="1" si="11"/>
        <v>449</v>
      </c>
      <c r="T28" s="1282">
        <f t="shared" ca="1" si="12"/>
        <v>4493357</v>
      </c>
    </row>
    <row r="29" spans="1:45">
      <c r="A29" s="1231">
        <v>1709</v>
      </c>
      <c r="B29" s="1235">
        <v>115.43</v>
      </c>
      <c r="C29" s="295">
        <f t="shared" si="13"/>
        <v>1</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38917</v>
      </c>
      <c r="S29" s="270">
        <f t="shared" ca="1" si="11"/>
        <v>449</v>
      </c>
      <c r="T29" s="1282">
        <f t="shared" ca="1" si="12"/>
        <v>4492189</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 zoomScaleNormal="70" workbookViewId="0">
      <selection activeCell="F105" sqref="F105"/>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660.30880000000002</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44319</v>
      </c>
      <c r="C3" s="1650" t="s">
        <v>1499</v>
      </c>
      <c r="D3" s="1651">
        <f>IF(D1="",'数据-汇总表'!E3,SUMIF('数据-汇总表'!$C19:$C33,D1,'数据-汇总表'!$E19:$E33))</f>
        <v>148.99</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51" t="s">
        <v>1506</v>
      </c>
      <c r="Q4" s="3452"/>
      <c r="R4" s="3455" t="s">
        <v>1502</v>
      </c>
      <c r="S4" s="3456"/>
      <c r="T4" s="3455" t="s">
        <v>1503</v>
      </c>
      <c r="U4" s="3456"/>
      <c r="V4" s="3457" t="s">
        <v>1504</v>
      </c>
      <c r="W4" s="3457"/>
      <c r="X4" s="1808"/>
      <c r="Y4" s="3455" t="s">
        <v>1506</v>
      </c>
      <c r="Z4" s="3456"/>
      <c r="AA4" s="3447" t="s">
        <v>1502</v>
      </c>
      <c r="AB4" s="3447" t="s">
        <v>1503</v>
      </c>
      <c r="AC4" s="3448" t="s">
        <v>1504</v>
      </c>
    </row>
    <row r="5" spans="1:29" ht="15">
      <c r="A5" s="1305"/>
      <c r="B5" s="1306"/>
      <c r="C5" s="3394" t="s">
        <v>1507</v>
      </c>
      <c r="D5" s="3395"/>
      <c r="E5" s="3441"/>
      <c r="F5" s="3442"/>
      <c r="G5" s="3441"/>
      <c r="H5" s="3442"/>
      <c r="I5" s="3441"/>
      <c r="J5" s="3442"/>
      <c r="K5" s="1446"/>
      <c r="L5" s="1447"/>
      <c r="M5" s="1398"/>
      <c r="N5" s="1398"/>
      <c r="O5" s="1398"/>
      <c r="P5" s="3453"/>
      <c r="Q5" s="3426"/>
      <c r="R5" s="3431"/>
      <c r="S5" s="3432"/>
      <c r="T5" s="3431"/>
      <c r="U5" s="3432"/>
      <c r="V5" s="3406"/>
      <c r="W5" s="3406"/>
      <c r="X5" s="1489"/>
      <c r="Y5" s="3431"/>
      <c r="Z5" s="3432"/>
      <c r="AA5" s="3421"/>
      <c r="AB5" s="3421"/>
      <c r="AC5" s="3449"/>
    </row>
    <row r="6" spans="1:29" ht="15">
      <c r="A6" s="1307"/>
      <c r="B6" s="1308"/>
      <c r="C6" s="3398" t="s">
        <v>1511</v>
      </c>
      <c r="D6" s="3399"/>
      <c r="E6" s="3400" t="s">
        <v>1511</v>
      </c>
      <c r="F6" s="3401"/>
      <c r="G6" s="3398" t="s">
        <v>1511</v>
      </c>
      <c r="H6" s="3399"/>
      <c r="I6" s="3398" t="s">
        <v>1511</v>
      </c>
      <c r="J6" s="3399"/>
      <c r="K6" s="1446" t="s">
        <v>1512</v>
      </c>
      <c r="L6" s="1447"/>
      <c r="M6" s="1398"/>
      <c r="N6" s="1398"/>
      <c r="O6" s="1398"/>
      <c r="P6" s="3454"/>
      <c r="Q6" s="3428"/>
      <c r="R6" s="3431"/>
      <c r="S6" s="3432"/>
      <c r="T6" s="3433"/>
      <c r="U6" s="3434"/>
      <c r="V6" s="3406"/>
      <c r="W6" s="3406"/>
      <c r="X6" s="1489"/>
      <c r="Y6" s="3433"/>
      <c r="Z6" s="3434"/>
      <c r="AA6" s="3422"/>
      <c r="AB6" s="3422"/>
      <c r="AC6" s="3450"/>
    </row>
    <row r="7" spans="1:29" s="1284" customFormat="1" ht="15">
      <c r="A7" s="1309" t="s">
        <v>1513</v>
      </c>
      <c r="B7" s="1310"/>
      <c r="C7" s="1311">
        <f>'数据-取费表'!B2</f>
        <v>45909</v>
      </c>
      <c r="D7" s="1312">
        <v>100</v>
      </c>
      <c r="E7" s="1313">
        <v>45870</v>
      </c>
      <c r="F7" s="1314">
        <f>SUMIF(59:59,YEAR(E7)&amp;"-"&amp;MONTH(E7),60:60)</f>
        <v>100</v>
      </c>
      <c r="G7" s="1313">
        <f>E7</f>
        <v>45870</v>
      </c>
      <c r="H7" s="1312">
        <f>SUMIF(59:59,YEAR(G7)&amp;"-"&amp;MONTH(G7),60:60)</f>
        <v>100</v>
      </c>
      <c r="I7" s="1313">
        <f>G7</f>
        <v>45870</v>
      </c>
      <c r="J7" s="1312">
        <f>SUMIF(59:59,YEAR(I7)&amp;"-"&amp;MONTH(I7),60:60)</f>
        <v>100</v>
      </c>
      <c r="K7" s="1448"/>
      <c r="L7" s="1449"/>
      <c r="M7" s="1450"/>
      <c r="N7" s="1450"/>
      <c r="O7" s="1450"/>
      <c r="P7" s="3443"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810">
        <f>D7/J7</f>
        <v>1</v>
      </c>
    </row>
    <row r="8" spans="1:29" s="1284" customFormat="1" ht="15">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43" t="s">
        <v>1517</v>
      </c>
      <c r="Q8" s="3404"/>
      <c r="R8" s="1490" t="s">
        <v>1515</v>
      </c>
      <c r="S8" s="1491">
        <f t="shared" si="0"/>
        <v>105</v>
      </c>
      <c r="T8" s="1490" t="s">
        <v>1515</v>
      </c>
      <c r="U8" s="1491">
        <f t="shared" si="1"/>
        <v>105</v>
      </c>
      <c r="V8" s="1490" t="s">
        <v>1515</v>
      </c>
      <c r="W8" s="1491">
        <f t="shared" si="2"/>
        <v>105</v>
      </c>
      <c r="X8" s="1492"/>
      <c r="Y8" s="3402" t="s">
        <v>1517</v>
      </c>
      <c r="Z8" s="3404"/>
      <c r="AA8" s="1501">
        <f t="shared" ref="AA8:AA47" si="3">D8/F8</f>
        <v>0.95238095238095233</v>
      </c>
      <c r="AB8" s="1501">
        <f t="shared" ref="AB8:AB47" si="4">D8/H8</f>
        <v>0.95238095238095233</v>
      </c>
      <c r="AC8" s="1810">
        <f t="shared" ref="AC8:AC47" si="5">D8/J8</f>
        <v>0.95238095238095233</v>
      </c>
    </row>
    <row r="9" spans="1:29" s="1284" customFormat="1">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8" t="s">
        <v>1526</v>
      </c>
      <c r="Q15" s="912" t="str">
        <f t="shared" si="6"/>
        <v>办公集聚程度</v>
      </c>
      <c r="R15" s="1494" t="s">
        <v>1515</v>
      </c>
      <c r="S15" s="1495">
        <f t="shared" si="0"/>
        <v>100</v>
      </c>
      <c r="T15" s="1494" t="s">
        <v>1515</v>
      </c>
      <c r="U15" s="1495">
        <f t="shared" si="1"/>
        <v>100</v>
      </c>
      <c r="V15" s="1494" t="s">
        <v>1515</v>
      </c>
      <c r="W15" s="1495">
        <f t="shared" si="2"/>
        <v>100</v>
      </c>
      <c r="X15" s="1489"/>
      <c r="Y15" s="3413" t="s">
        <v>1526</v>
      </c>
      <c r="Z15" s="1479" t="str">
        <f t="shared" si="7"/>
        <v>办公集聚程度</v>
      </c>
      <c r="AA15" s="1479">
        <f t="shared" si="3"/>
        <v>1</v>
      </c>
      <c r="AB15" s="1479">
        <f t="shared" si="4"/>
        <v>1</v>
      </c>
      <c r="AC15" s="1811">
        <f t="shared" si="5"/>
        <v>1</v>
      </c>
    </row>
    <row r="16" spans="1:29" ht="15">
      <c r="A16" s="1325"/>
      <c r="B16" s="1343"/>
      <c r="C16" s="1346" t="s">
        <v>1607</v>
      </c>
      <c r="D16" s="1345"/>
      <c r="E16" s="1346" t="s">
        <v>1607</v>
      </c>
      <c r="F16" s="1345"/>
      <c r="G16" s="1346" t="s">
        <v>1607</v>
      </c>
      <c r="H16" s="1347"/>
      <c r="I16" s="1346" t="s">
        <v>1607</v>
      </c>
      <c r="J16" s="1345"/>
      <c r="K16" s="1687"/>
      <c r="L16" s="1459"/>
      <c r="M16" s="1398"/>
      <c r="N16" s="1398"/>
      <c r="O16" s="1398"/>
      <c r="P16" s="3409"/>
      <c r="Q16" s="912"/>
      <c r="R16" s="1494"/>
      <c r="S16" s="1495"/>
      <c r="T16" s="1494"/>
      <c r="U16" s="1495"/>
      <c r="V16" s="1494"/>
      <c r="W16" s="1495"/>
      <c r="X16" s="1489"/>
      <c r="Y16" s="3414"/>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811">
        <f t="shared" si="5"/>
        <v>1</v>
      </c>
    </row>
    <row r="18" spans="1:29" ht="15">
      <c r="A18" s="1325"/>
      <c r="B18" s="1352"/>
      <c r="C18" s="1346" t="s">
        <v>1607</v>
      </c>
      <c r="D18" s="1347"/>
      <c r="E18" s="1346" t="s">
        <v>1607</v>
      </c>
      <c r="F18" s="1347"/>
      <c r="G18" s="1346" t="s">
        <v>1607</v>
      </c>
      <c r="H18" s="1345"/>
      <c r="I18" s="1346" t="s">
        <v>1607</v>
      </c>
      <c r="J18" s="1345"/>
      <c r="K18" s="1687"/>
      <c r="L18" s="1459"/>
      <c r="M18" s="1398"/>
      <c r="N18" s="1398"/>
      <c r="O18" s="1398"/>
      <c r="P18" s="3409"/>
      <c r="Q18" s="912"/>
      <c r="R18" s="1494"/>
      <c r="S18" s="1495"/>
      <c r="T18" s="1494"/>
      <c r="U18" s="1495"/>
      <c r="V18" s="1494"/>
      <c r="W18" s="1495"/>
      <c r="X18" s="1489"/>
      <c r="Y18" s="3414"/>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811">
        <f t="shared" si="5"/>
        <v>1</v>
      </c>
    </row>
    <row r="20" spans="1:29" ht="15">
      <c r="A20" s="1325"/>
      <c r="B20" s="1352"/>
      <c r="C20" s="1346" t="s">
        <v>1607</v>
      </c>
      <c r="D20" s="1345"/>
      <c r="E20" s="1346" t="s">
        <v>1607</v>
      </c>
      <c r="F20" s="1345"/>
      <c r="G20" s="1346" t="s">
        <v>1607</v>
      </c>
      <c r="H20" s="1345"/>
      <c r="I20" s="1346" t="s">
        <v>1607</v>
      </c>
      <c r="J20" s="1345"/>
      <c r="K20" s="1687"/>
      <c r="L20" s="1459"/>
      <c r="M20" s="1398"/>
      <c r="N20" s="1398"/>
      <c r="O20" s="1398"/>
      <c r="P20" s="3409"/>
      <c r="Q20" s="912"/>
      <c r="R20" s="1494"/>
      <c r="S20" s="1495"/>
      <c r="T20" s="1494"/>
      <c r="U20" s="1495"/>
      <c r="V20" s="1494"/>
      <c r="W20" s="1495"/>
      <c r="X20" s="1489"/>
      <c r="Y20" s="3414"/>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9"/>
      <c r="Q22" s="912"/>
      <c r="R22" s="1494"/>
      <c r="S22" s="1495"/>
      <c r="T22" s="1494"/>
      <c r="U22" s="1495"/>
      <c r="V22" s="1494"/>
      <c r="W22" s="1495"/>
      <c r="X22" s="1489"/>
      <c r="Y22" s="3414"/>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9"/>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9"/>
      <c r="Q25" s="912" t="str">
        <f>B25</f>
        <v>毗邻道路的类型与等级</v>
      </c>
      <c r="R25" s="1494" t="s">
        <v>1515</v>
      </c>
      <c r="S25" s="1495">
        <f>F25</f>
        <v>100</v>
      </c>
      <c r="T25" s="1494" t="s">
        <v>1515</v>
      </c>
      <c r="U25" s="1495">
        <f>H25</f>
        <v>100</v>
      </c>
      <c r="V25" s="1494" t="s">
        <v>1515</v>
      </c>
      <c r="W25" s="1495">
        <f>J25</f>
        <v>100</v>
      </c>
      <c r="X25" s="1489"/>
      <c r="Y25" s="3414"/>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9"/>
      <c r="Q26" s="912"/>
      <c r="R26" s="1494"/>
      <c r="S26" s="1495"/>
      <c r="T26" s="1494"/>
      <c r="U26" s="1495"/>
      <c r="V26" s="1494"/>
      <c r="W26" s="1495"/>
      <c r="X26" s="1489"/>
      <c r="Y26" s="3414"/>
      <c r="Z26" s="1479"/>
      <c r="AA26" s="1479">
        <v>1</v>
      </c>
      <c r="AB26" s="1479">
        <v>1</v>
      </c>
      <c r="AC26" s="1811">
        <v>1</v>
      </c>
    </row>
    <row r="27" spans="1:29" ht="15">
      <c r="A27" s="1325"/>
      <c r="B27" s="1352" t="s">
        <v>1592</v>
      </c>
      <c r="C27" s="1359" t="s">
        <v>2788</v>
      </c>
      <c r="D27" s="1045">
        <v>100</v>
      </c>
      <c r="E27" s="1358" t="s">
        <v>2789</v>
      </c>
      <c r="F27" s="1045">
        <f>SUMIF(89:89,E27,90:90)-SUMIF(89:89,C27,90:90)+100</f>
        <v>94</v>
      </c>
      <c r="G27" s="1358" t="s">
        <v>2789</v>
      </c>
      <c r="H27" s="1045">
        <f>SUMIF(89:89,G27,90:90)-SUMIF(89:89,C27,90:90)+100</f>
        <v>94</v>
      </c>
      <c r="I27" s="1358" t="s">
        <v>2784</v>
      </c>
      <c r="J27" s="1045">
        <f>SUMIF(89:89,I27,90:90)-SUMIF(89:89,C27,90:90)+100</f>
        <v>97</v>
      </c>
      <c r="K27" s="1465">
        <v>3</v>
      </c>
      <c r="L27" s="1459"/>
      <c r="M27" s="1398"/>
      <c r="N27" s="1398"/>
      <c r="O27" s="1398"/>
      <c r="P27" s="3409"/>
      <c r="Q27" s="912" t="str">
        <f t="shared" ref="Q27:Q47" si="11">B27</f>
        <v>楼层</v>
      </c>
      <c r="R27" s="1494" t="s">
        <v>1515</v>
      </c>
      <c r="S27" s="1495">
        <f>F27</f>
        <v>94</v>
      </c>
      <c r="T27" s="1494" t="s">
        <v>1515</v>
      </c>
      <c r="U27" s="1495">
        <f>H27</f>
        <v>94</v>
      </c>
      <c r="V27" s="1494" t="s">
        <v>1515</v>
      </c>
      <c r="W27" s="1495">
        <f>J27</f>
        <v>97</v>
      </c>
      <c r="X27" s="1489"/>
      <c r="Y27" s="3414"/>
      <c r="Z27" s="1479" t="str">
        <f>Q27</f>
        <v>楼层</v>
      </c>
      <c r="AA27" s="1479">
        <f t="shared" si="3"/>
        <v>1.0638297872340425</v>
      </c>
      <c r="AB27" s="1479">
        <f t="shared" si="4"/>
        <v>1.0638297872340425</v>
      </c>
      <c r="AC27" s="1811">
        <f t="shared" si="5"/>
        <v>1.0309278350515463</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9"/>
      <c r="Q28" s="1080" t="str">
        <f t="shared" si="11"/>
        <v>朝向</v>
      </c>
      <c r="R28" s="1490" t="s">
        <v>1515</v>
      </c>
      <c r="S28" s="1491">
        <f>F28</f>
        <v>100</v>
      </c>
      <c r="T28" s="1490" t="s">
        <v>1515</v>
      </c>
      <c r="U28" s="1491">
        <f>H28</f>
        <v>100</v>
      </c>
      <c r="V28" s="1490" t="s">
        <v>1515</v>
      </c>
      <c r="W28" s="1491">
        <f>J28</f>
        <v>100</v>
      </c>
      <c r="X28" s="1492"/>
      <c r="Y28" s="3414"/>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9"/>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4"/>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9"/>
      <c r="Q32" s="912">
        <f t="shared" si="11"/>
        <v>111</v>
      </c>
      <c r="R32" s="1494" t="s">
        <v>1515</v>
      </c>
      <c r="S32" s="1495">
        <f t="shared" si="12"/>
        <v>100</v>
      </c>
      <c r="T32" s="1494" t="s">
        <v>1515</v>
      </c>
      <c r="U32" s="1495">
        <f t="shared" si="13"/>
        <v>100</v>
      </c>
      <c r="V32" s="1494" t="s">
        <v>1515</v>
      </c>
      <c r="W32" s="1495">
        <f t="shared" si="14"/>
        <v>100</v>
      </c>
      <c r="X32" s="1489"/>
      <c r="Y32" s="3414"/>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10" t="s">
        <v>1535</v>
      </c>
      <c r="Q33" s="912" t="str">
        <f t="shared" si="11"/>
        <v>建筑类型</v>
      </c>
      <c r="R33" s="1494" t="s">
        <v>1515</v>
      </c>
      <c r="S33" s="1495">
        <f t="shared" si="12"/>
        <v>100</v>
      </c>
      <c r="T33" s="1494" t="s">
        <v>1515</v>
      </c>
      <c r="U33" s="1495">
        <f t="shared" si="13"/>
        <v>100</v>
      </c>
      <c r="V33" s="1494" t="s">
        <v>1515</v>
      </c>
      <c r="W33" s="1495">
        <f t="shared" si="14"/>
        <v>100</v>
      </c>
      <c r="X33" s="1489"/>
      <c r="Y33" s="3415"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148.99</v>
      </c>
      <c r="D34" s="1324">
        <v>100</v>
      </c>
      <c r="E34" s="1655">
        <v>281.39</v>
      </c>
      <c r="F34" s="1322">
        <f>LOOKUP(E34,104:104,105:105)-LOOKUP(C34,104:104,105:105)+100</f>
        <v>100</v>
      </c>
      <c r="G34" s="1655">
        <v>166.28</v>
      </c>
      <c r="H34" s="1324">
        <f>LOOKUP(G34,104:104,105:105)-LOOKUP(C34,104:104,105:105)+100</f>
        <v>100</v>
      </c>
      <c r="I34" s="1655">
        <v>304</v>
      </c>
      <c r="J34" s="1324">
        <f>LOOKUP(I34,104:104,105:105)-LOOKUP(C34,104:104,105:105)+100</f>
        <v>101</v>
      </c>
      <c r="K34" s="1464"/>
      <c r="L34" s="1457"/>
      <c r="M34" s="1466"/>
      <c r="N34" s="1466"/>
      <c r="O34" s="1466"/>
      <c r="P34" s="3411"/>
      <c r="Q34" s="1689" t="str">
        <f t="shared" si="11"/>
        <v>项目建筑规模</v>
      </c>
      <c r="R34" s="1496" t="s">
        <v>1515</v>
      </c>
      <c r="S34" s="1497">
        <f t="shared" si="12"/>
        <v>100</v>
      </c>
      <c r="T34" s="1496" t="s">
        <v>1515</v>
      </c>
      <c r="U34" s="1497">
        <f t="shared" si="13"/>
        <v>100</v>
      </c>
      <c r="V34" s="1496" t="s">
        <v>1515</v>
      </c>
      <c r="W34" s="1497">
        <f t="shared" si="14"/>
        <v>101</v>
      </c>
      <c r="X34" s="1498"/>
      <c r="Y34" s="3415"/>
      <c r="Z34" s="1502" t="str">
        <f t="shared" si="15"/>
        <v>项目建筑规模</v>
      </c>
      <c r="AA34" s="1479">
        <f t="shared" si="3"/>
        <v>1</v>
      </c>
      <c r="AB34" s="1479">
        <f t="shared" si="4"/>
        <v>1</v>
      </c>
      <c r="AC34" s="1811">
        <f t="shared" si="5"/>
        <v>0.99009900990099009</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1"/>
      <c r="Q35" s="912" t="str">
        <f t="shared" si="11"/>
        <v>建筑结构</v>
      </c>
      <c r="R35" s="1494" t="s">
        <v>1515</v>
      </c>
      <c r="S35" s="1495">
        <f t="shared" si="12"/>
        <v>100</v>
      </c>
      <c r="T35" s="1494" t="s">
        <v>1515</v>
      </c>
      <c r="U35" s="1495">
        <f t="shared" si="13"/>
        <v>100</v>
      </c>
      <c r="V35" s="1494" t="s">
        <v>1515</v>
      </c>
      <c r="W35" s="1495">
        <f t="shared" si="14"/>
        <v>100</v>
      </c>
      <c r="X35" s="1489"/>
      <c r="Y35" s="3415"/>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5"/>
        <v>公共部分装修</v>
      </c>
      <c r="AA36" s="1479">
        <f t="shared" si="3"/>
        <v>1</v>
      </c>
      <c r="AB36" s="1479">
        <f t="shared" si="4"/>
        <v>1</v>
      </c>
      <c r="AC36" s="1811">
        <f t="shared" si="5"/>
        <v>1</v>
      </c>
    </row>
    <row r="37" spans="1:29" ht="15">
      <c r="A37" s="1374"/>
      <c r="B37" s="1322" t="s">
        <v>683</v>
      </c>
      <c r="C37" s="1665">
        <f>'数据-取费表'!N6</f>
        <v>0.76</v>
      </c>
      <c r="D37" s="1045">
        <v>100</v>
      </c>
      <c r="E37" s="1665">
        <f>C37</f>
        <v>0.76</v>
      </c>
      <c r="F37" s="1474">
        <f>LOOKUP(E37,111:111,112:112)-LOOKUP(C37,111:111,112:112)+100</f>
        <v>100</v>
      </c>
      <c r="G37" s="1665">
        <f>C37</f>
        <v>0.76</v>
      </c>
      <c r="H37" s="1474">
        <f>LOOKUP(G37,111:111,112:112)-LOOKUP(C37,111:111,112:112)+100</f>
        <v>100</v>
      </c>
      <c r="I37" s="1665">
        <f>C37</f>
        <v>0.76</v>
      </c>
      <c r="J37" s="1045">
        <f>LOOKUP(I37,111:111,112:112)-LOOKUP(C37,111:111,112:112)+100</f>
        <v>100</v>
      </c>
      <c r="K37" s="1465"/>
      <c r="L37" s="1459"/>
      <c r="M37" s="1398"/>
      <c r="N37" s="1398"/>
      <c r="O37" s="1398"/>
      <c r="P37" s="3411"/>
      <c r="Q37" s="912" t="str">
        <f t="shared" si="11"/>
        <v>成新度</v>
      </c>
      <c r="R37" s="1494" t="s">
        <v>1515</v>
      </c>
      <c r="S37" s="1495">
        <f t="shared" si="12"/>
        <v>100</v>
      </c>
      <c r="T37" s="1494" t="s">
        <v>1515</v>
      </c>
      <c r="U37" s="1495">
        <f t="shared" si="13"/>
        <v>100</v>
      </c>
      <c r="V37" s="1494" t="s">
        <v>1515</v>
      </c>
      <c r="W37" s="1495">
        <f t="shared" si="14"/>
        <v>100</v>
      </c>
      <c r="X37" s="1489"/>
      <c r="Y37" s="3415"/>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1"/>
      <c r="Q38" s="1080" t="str">
        <f t="shared" si="11"/>
        <v>写字楼等级</v>
      </c>
      <c r="R38" s="1490" t="s">
        <v>1515</v>
      </c>
      <c r="S38" s="1491">
        <f t="shared" si="12"/>
        <v>100</v>
      </c>
      <c r="T38" s="1490" t="s">
        <v>1515</v>
      </c>
      <c r="U38" s="1491">
        <f t="shared" si="13"/>
        <v>100</v>
      </c>
      <c r="V38" s="1490" t="s">
        <v>1515</v>
      </c>
      <c r="W38" s="1491">
        <f t="shared" si="14"/>
        <v>100</v>
      </c>
      <c r="X38" s="1492"/>
      <c r="Y38" s="3415"/>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1" t="s">
        <v>1535</v>
      </c>
      <c r="Q39" s="912" t="str">
        <f t="shared" si="11"/>
        <v>物业管理</v>
      </c>
      <c r="R39" s="1494" t="s">
        <v>1515</v>
      </c>
      <c r="S39" s="1495">
        <f t="shared" si="12"/>
        <v>100</v>
      </c>
      <c r="T39" s="1494" t="s">
        <v>1515</v>
      </c>
      <c r="U39" s="1495">
        <f t="shared" si="13"/>
        <v>100</v>
      </c>
      <c r="V39" s="1494" t="s">
        <v>1515</v>
      </c>
      <c r="W39" s="1495">
        <f t="shared" si="14"/>
        <v>100</v>
      </c>
      <c r="X39" s="1489"/>
      <c r="Y39" s="3415"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1"/>
      <c r="Q40" s="912" t="str">
        <f t="shared" si="11"/>
        <v>市政基础设施</v>
      </c>
      <c r="R40" s="1494" t="s">
        <v>1515</v>
      </c>
      <c r="S40" s="1495">
        <f t="shared" si="12"/>
        <v>100</v>
      </c>
      <c r="T40" s="1494" t="s">
        <v>1515</v>
      </c>
      <c r="U40" s="1495">
        <f t="shared" si="13"/>
        <v>100</v>
      </c>
      <c r="V40" s="1494" t="s">
        <v>1515</v>
      </c>
      <c r="W40" s="1495">
        <f t="shared" si="14"/>
        <v>100</v>
      </c>
      <c r="X40" s="1489"/>
      <c r="Y40" s="3415"/>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1"/>
      <c r="Q41" s="912" t="str">
        <f t="shared" si="11"/>
        <v>层高</v>
      </c>
      <c r="R41" s="1494" t="s">
        <v>1515</v>
      </c>
      <c r="S41" s="1495">
        <f t="shared" si="12"/>
        <v>100</v>
      </c>
      <c r="T41" s="1494" t="s">
        <v>1515</v>
      </c>
      <c r="U41" s="1495">
        <f t="shared" si="13"/>
        <v>100</v>
      </c>
      <c r="V41" s="1494" t="s">
        <v>1515</v>
      </c>
      <c r="W41" s="1495">
        <f t="shared" si="14"/>
        <v>100</v>
      </c>
      <c r="X41" s="1489"/>
      <c r="Y41" s="3415"/>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1"/>
      <c r="Q42" s="1689" t="str">
        <f t="shared" si="11"/>
        <v>单套建筑面积</v>
      </c>
      <c r="R42" s="1496" t="s">
        <v>1515</v>
      </c>
      <c r="S42" s="1497">
        <f t="shared" si="12"/>
        <v>100</v>
      </c>
      <c r="T42" s="1496" t="s">
        <v>1515</v>
      </c>
      <c r="U42" s="1497">
        <f t="shared" si="13"/>
        <v>100</v>
      </c>
      <c r="V42" s="1496" t="s">
        <v>1515</v>
      </c>
      <c r="W42" s="1497">
        <f t="shared" si="14"/>
        <v>100</v>
      </c>
      <c r="X42" s="1498"/>
      <c r="Y42" s="3415"/>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1"/>
      <c r="Q43" s="912" t="str">
        <f t="shared" si="11"/>
        <v>内部装修</v>
      </c>
      <c r="R43" s="1494" t="s">
        <v>1515</v>
      </c>
      <c r="S43" s="1495">
        <f t="shared" si="12"/>
        <v>100</v>
      </c>
      <c r="T43" s="1494" t="s">
        <v>1515</v>
      </c>
      <c r="U43" s="1495">
        <f t="shared" si="13"/>
        <v>100</v>
      </c>
      <c r="V43" s="1494" t="s">
        <v>1515</v>
      </c>
      <c r="W43" s="1495">
        <f t="shared" si="14"/>
        <v>100</v>
      </c>
      <c r="X43" s="1489"/>
      <c r="Y43" s="3415"/>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1"/>
      <c r="Q44" s="912" t="str">
        <f t="shared" si="11"/>
        <v>内部装修维护情况</v>
      </c>
      <c r="R44" s="1494" t="s">
        <v>1515</v>
      </c>
      <c r="S44" s="1495">
        <f t="shared" si="12"/>
        <v>100</v>
      </c>
      <c r="T44" s="1494" t="s">
        <v>1515</v>
      </c>
      <c r="U44" s="1495">
        <f t="shared" si="13"/>
        <v>100</v>
      </c>
      <c r="V44" s="1494" t="s">
        <v>1515</v>
      </c>
      <c r="W44" s="1495">
        <f t="shared" si="14"/>
        <v>100</v>
      </c>
      <c r="X44" s="1489"/>
      <c r="Y44" s="3415"/>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1"/>
      <c r="Q45" s="1080">
        <f t="shared" si="11"/>
        <v>0</v>
      </c>
      <c r="R45" s="1490" t="s">
        <v>1515</v>
      </c>
      <c r="S45" s="1491">
        <f t="shared" si="12"/>
        <v>100</v>
      </c>
      <c r="T45" s="1490" t="s">
        <v>1515</v>
      </c>
      <c r="U45" s="1491">
        <f t="shared" si="13"/>
        <v>100</v>
      </c>
      <c r="V45" s="1490" t="s">
        <v>1515</v>
      </c>
      <c r="W45" s="1491">
        <f t="shared" si="14"/>
        <v>100</v>
      </c>
      <c r="X45" s="1492"/>
      <c r="Y45" s="3415"/>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1"/>
      <c r="Q46" s="912">
        <f t="shared" si="11"/>
        <v>111</v>
      </c>
      <c r="R46" s="1494" t="s">
        <v>1515</v>
      </c>
      <c r="S46" s="1495">
        <f t="shared" si="12"/>
        <v>100</v>
      </c>
      <c r="T46" s="1494" t="s">
        <v>1515</v>
      </c>
      <c r="U46" s="1495">
        <f t="shared" si="13"/>
        <v>100</v>
      </c>
      <c r="V46" s="1494" t="s">
        <v>1515</v>
      </c>
      <c r="W46" s="1495">
        <f t="shared" si="14"/>
        <v>100</v>
      </c>
      <c r="X46" s="1489"/>
      <c r="Y46" s="3415"/>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2"/>
      <c r="Q47" s="912">
        <f t="shared" si="11"/>
        <v>111</v>
      </c>
      <c r="R47" s="1494" t="s">
        <v>1515</v>
      </c>
      <c r="S47" s="1495">
        <f t="shared" si="12"/>
        <v>100</v>
      </c>
      <c r="T47" s="1494" t="s">
        <v>1515</v>
      </c>
      <c r="U47" s="1495">
        <f t="shared" si="13"/>
        <v>100</v>
      </c>
      <c r="V47" s="1494" t="s">
        <v>1515</v>
      </c>
      <c r="W47" s="1495">
        <f t="shared" si="14"/>
        <v>100</v>
      </c>
      <c r="X47" s="1489"/>
      <c r="Y47" s="3416"/>
      <c r="Z47" s="1479">
        <f t="shared" si="15"/>
        <v>111</v>
      </c>
      <c r="AA47" s="1479">
        <f t="shared" si="3"/>
        <v>1</v>
      </c>
      <c r="AB47" s="1479">
        <f t="shared" si="4"/>
        <v>1</v>
      </c>
      <c r="AC47" s="1811">
        <f t="shared" si="5"/>
        <v>1</v>
      </c>
    </row>
    <row r="48" spans="1:29" ht="15">
      <c r="A48" s="1381" t="s">
        <v>1546</v>
      </c>
      <c r="B48" s="1672"/>
      <c r="C48" s="1673" t="s">
        <v>124</v>
      </c>
      <c r="D48" s="1384"/>
      <c r="E48" s="1385">
        <v>44990</v>
      </c>
      <c r="F48" s="1386"/>
      <c r="G48" s="1387">
        <v>44984</v>
      </c>
      <c r="H48" s="1388"/>
      <c r="I48" s="1385">
        <v>42998</v>
      </c>
      <c r="J48" s="1388"/>
      <c r="K48" s="1470"/>
      <c r="L48" s="1471"/>
      <c r="M48" s="1398"/>
      <c r="N48" s="1398"/>
      <c r="O48" s="1398"/>
      <c r="P48" s="3407" t="str">
        <f>A48</f>
        <v>成交单价（元/平方米）</v>
      </c>
      <c r="Q48" s="3405"/>
      <c r="R48" s="3406">
        <f>E48</f>
        <v>44990</v>
      </c>
      <c r="S48" s="3406"/>
      <c r="T48" s="3406">
        <f>G48</f>
        <v>44984</v>
      </c>
      <c r="U48" s="3406"/>
      <c r="V48" s="3406">
        <f>I48</f>
        <v>42998</v>
      </c>
      <c r="W48" s="3406"/>
      <c r="X48" s="1437"/>
      <c r="Y48" s="1503"/>
      <c r="Z48" s="1437"/>
      <c r="AA48" s="1437"/>
      <c r="AB48" s="1437"/>
      <c r="AC48" s="1343"/>
    </row>
    <row r="49" spans="1:29" ht="15">
      <c r="A49" s="1389" t="s">
        <v>1547</v>
      </c>
      <c r="B49" s="1674"/>
      <c r="C49" s="1675">
        <f>R50</f>
        <v>44319</v>
      </c>
      <c r="D49" s="1392" t="s">
        <v>1548</v>
      </c>
      <c r="E49" s="1676">
        <f>R49</f>
        <v>45583</v>
      </c>
      <c r="F49" s="1393"/>
      <c r="G49" s="1675">
        <f>T49</f>
        <v>45576</v>
      </c>
      <c r="H49" s="1393"/>
      <c r="I49" s="1676">
        <f>V49</f>
        <v>41799</v>
      </c>
      <c r="J49" s="1393"/>
      <c r="K49" s="1472">
        <f>F49+H49+J49</f>
        <v>0</v>
      </c>
      <c r="L49" s="1471"/>
      <c r="M49" s="1398"/>
      <c r="N49" s="1398"/>
      <c r="O49" s="1398"/>
      <c r="P49" s="3407" t="str">
        <f>A49</f>
        <v>比较价值（元/平方米）</v>
      </c>
      <c r="Q49" s="3405"/>
      <c r="R49" s="3406">
        <f>IF(F1="售价",ROUND(PRODUCT(R48,AA7:AA47),0),ROUND(PRODUCT(R48,AA7:AA47),1))</f>
        <v>45583</v>
      </c>
      <c r="S49" s="3406"/>
      <c r="T49" s="3406">
        <f>IF(F1="售价",ROUND(PRODUCT(T48,AB7:AB47),0),ROUND(PRODUCT(T48,AB7:AB47),1))</f>
        <v>45576</v>
      </c>
      <c r="U49" s="3406"/>
      <c r="V49" s="3406">
        <f>IF(F1="售价",ROUND(PRODUCT(V48,AC7:AC47),0),ROUND(PRODUCT(V48,AC7:AC47),1))</f>
        <v>41799</v>
      </c>
      <c r="W49" s="3406"/>
      <c r="X49" s="1437"/>
      <c r="Y49" s="1437"/>
      <c r="Z49" s="1437"/>
      <c r="AA49" s="1437"/>
      <c r="AB49" s="1437"/>
      <c r="AC49" s="1343"/>
    </row>
    <row r="50" spans="1:29" ht="15">
      <c r="A50" s="1395" t="s">
        <v>1549</v>
      </c>
      <c r="B50" s="1396"/>
      <c r="C50" s="1308">
        <f>R50</f>
        <v>44319</v>
      </c>
      <c r="D50" s="1308"/>
      <c r="E50" s="1308"/>
      <c r="F50" s="1308"/>
      <c r="G50" s="1308"/>
      <c r="H50" s="1308"/>
      <c r="I50" s="1308"/>
      <c r="J50" s="1397"/>
      <c r="K50" s="1473"/>
      <c r="L50" s="1471"/>
      <c r="M50" s="1398"/>
      <c r="N50" s="1398"/>
      <c r="O50" s="1398"/>
      <c r="P50" s="3444" t="str">
        <f>A50</f>
        <v>估价对象XX用房的比较价值（楼面单价，元/平方米）</v>
      </c>
      <c r="Q50" s="3445"/>
      <c r="R50" s="3446">
        <f>IF(F1="售价",ROUND(IF(D49="简单平均",AVERAGE(R49:V49),R49*F49+T49*H49+V49*J49),0),ROUND(IF(D49="简单平均",AVERAGE(R49:V49),R49*F49+T49*H49+V49*J49),1))</f>
        <v>44319</v>
      </c>
      <c r="S50" s="3446"/>
      <c r="T50" s="3446"/>
      <c r="U50" s="3446"/>
      <c r="V50" s="3446"/>
      <c r="W50" s="3446"/>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1.3180706823738619E-2</v>
      </c>
      <c r="F53" s="1402" t="str">
        <f>IF(OR(E53&gt;=0.3,E53&lt;=-0.3),"超过30%","")</f>
        <v/>
      </c>
      <c r="G53" s="1401">
        <f>IF(G48&lt;G49,G49/G48-1,G48/G49-1)</f>
        <v>1.3160234750133393E-2</v>
      </c>
      <c r="H53" s="1402" t="str">
        <f>IF(OR(G53&gt;=0.3,G53&lt;=-0.3),"超过30%","")</f>
        <v/>
      </c>
      <c r="I53" s="1401">
        <f>IF(I48&lt;I49,I49/I48-1,I48/I49-1)</f>
        <v>2.8684896767865231E-2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1.5358960856581838E-4</v>
      </c>
      <c r="F54" s="1402" t="str">
        <f>IF(OR(E54&gt;=0.2,E54&lt;=-0.2),"超过20%","")</f>
        <v/>
      </c>
      <c r="G54" s="1401">
        <f>IF(G49&lt;I49,I49/G49-1,G49/I49-1)</f>
        <v>9.0361013421373704E-2</v>
      </c>
      <c r="H54" s="1402" t="str">
        <f>IF(OR(G54&gt;=0.2,G54&lt;=-0.2),"超过20%","")</f>
        <v/>
      </c>
      <c r="I54" s="1401">
        <f>IF(I49&lt;E49,E49/I49-1,I49/E49-1)</f>
        <v>9.0528481542620609E-2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1.3338075760271906E-4</v>
      </c>
      <c r="F55" s="1402" t="str">
        <f>IF(OR(E55&gt;=0.3,E55&lt;=-0.3),"超过30%","")</f>
        <v/>
      </c>
      <c r="G55" s="1401">
        <f>IF(G48&lt;I48,I48/G48-1,G48/I48-1)</f>
        <v>4.618819479975822E-2</v>
      </c>
      <c r="H55" s="1402" t="str">
        <f>IF(OR(G55&gt;=0.3,G55&lt;=-0.3),"超过30%","")</f>
        <v/>
      </c>
      <c r="I55" s="1401">
        <f>IF(I48&lt;E48,E48/I48-1,I48/E48-1)</f>
        <v>4.6327736173775502E-2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2025-9</v>
      </c>
      <c r="D59" s="1681">
        <f>EDATE(C59,-1)</f>
        <v>45870</v>
      </c>
      <c r="E59" s="1681">
        <f>EDATE(D59,-1)</f>
        <v>45839</v>
      </c>
      <c r="F59" s="1681">
        <f t="shared" ref="F59:O59" si="16">EDATE(E59,-1)</f>
        <v>45809</v>
      </c>
      <c r="G59" s="1681">
        <f t="shared" si="16"/>
        <v>45778</v>
      </c>
      <c r="H59" s="1681">
        <f t="shared" si="16"/>
        <v>45748</v>
      </c>
      <c r="I59" s="1681">
        <f t="shared" si="16"/>
        <v>45717</v>
      </c>
      <c r="J59" s="1681">
        <f t="shared" si="16"/>
        <v>45689</v>
      </c>
      <c r="K59" s="1681">
        <f t="shared" si="16"/>
        <v>45658</v>
      </c>
      <c r="L59" s="1681">
        <f t="shared" si="16"/>
        <v>45627</v>
      </c>
      <c r="M59" s="1681">
        <f t="shared" si="16"/>
        <v>45597</v>
      </c>
      <c r="N59" s="1681">
        <f t="shared" si="16"/>
        <v>45566</v>
      </c>
      <c r="O59" s="1681">
        <f t="shared" si="16"/>
        <v>45536</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v>100</v>
      </c>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97</v>
      </c>
      <c r="E90" s="1526">
        <f t="shared" ref="E90:M90" si="20">D90-$K27</f>
        <v>94</v>
      </c>
      <c r="F90" s="1526">
        <f t="shared" si="20"/>
        <v>91</v>
      </c>
      <c r="G90" s="1526">
        <f t="shared" si="20"/>
        <v>88</v>
      </c>
      <c r="H90" s="1526">
        <f t="shared" si="20"/>
        <v>85</v>
      </c>
      <c r="I90" s="1526">
        <f t="shared" si="20"/>
        <v>82</v>
      </c>
      <c r="J90" s="1526">
        <f t="shared" si="20"/>
        <v>79</v>
      </c>
      <c r="K90" s="1526">
        <f t="shared" si="20"/>
        <v>76</v>
      </c>
      <c r="L90" s="1526">
        <f t="shared" si="20"/>
        <v>73</v>
      </c>
      <c r="M90" s="1526">
        <f t="shared" si="20"/>
        <v>70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99</v>
      </c>
      <c r="D105" s="1522">
        <v>100</v>
      </c>
      <c r="E105" s="1522">
        <v>99</v>
      </c>
      <c r="F105" s="1522">
        <v>98</v>
      </c>
      <c r="G105" s="1522">
        <v>97</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4">C107-$K35</f>
        <v>100</v>
      </c>
      <c r="E107" s="1526">
        <f t="shared" si="24"/>
        <v>100</v>
      </c>
      <c r="F107" s="1526">
        <f t="shared" si="24"/>
        <v>100</v>
      </c>
      <c r="G107" s="1526">
        <f t="shared" si="24"/>
        <v>100</v>
      </c>
      <c r="H107" s="1526">
        <f t="shared" si="24"/>
        <v>100</v>
      </c>
      <c r="I107" s="1526">
        <f t="shared" si="24"/>
        <v>100</v>
      </c>
      <c r="J107" s="1526">
        <f t="shared" si="24"/>
        <v>100</v>
      </c>
      <c r="K107" s="1526">
        <f t="shared" si="24"/>
        <v>100</v>
      </c>
      <c r="L107" s="1526">
        <f t="shared" si="24"/>
        <v>100</v>
      </c>
      <c r="M107" s="1569">
        <f t="shared" si="24"/>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5">C109-$K36</f>
        <v>100</v>
      </c>
      <c r="E109" s="1526">
        <f t="shared" si="25"/>
        <v>100</v>
      </c>
      <c r="F109" s="1526">
        <f t="shared" si="25"/>
        <v>100</v>
      </c>
      <c r="G109" s="1526">
        <f t="shared" si="25"/>
        <v>100</v>
      </c>
      <c r="H109" s="1526">
        <f t="shared" si="25"/>
        <v>100</v>
      </c>
      <c r="I109" s="1526">
        <f t="shared" si="25"/>
        <v>100</v>
      </c>
      <c r="J109" s="1526">
        <f t="shared" si="25"/>
        <v>100</v>
      </c>
      <c r="K109" s="1526">
        <f t="shared" si="25"/>
        <v>100</v>
      </c>
      <c r="L109" s="1526">
        <f t="shared" si="25"/>
        <v>100</v>
      </c>
      <c r="M109" s="1569">
        <f t="shared" si="25"/>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6">D112+$K37</f>
        <v>100</v>
      </c>
      <c r="F112" s="1526">
        <f t="shared" si="26"/>
        <v>100</v>
      </c>
      <c r="G112" s="1526">
        <f t="shared" si="26"/>
        <v>100</v>
      </c>
      <c r="H112" s="1526">
        <f t="shared" si="26"/>
        <v>100</v>
      </c>
      <c r="I112" s="1526">
        <f t="shared" si="26"/>
        <v>100</v>
      </c>
      <c r="J112" s="1526">
        <f t="shared" si="26"/>
        <v>100</v>
      </c>
      <c r="K112" s="1526">
        <f t="shared" si="26"/>
        <v>100</v>
      </c>
      <c r="L112" s="1526">
        <f t="shared" si="26"/>
        <v>100</v>
      </c>
      <c r="M112" s="1526">
        <f t="shared" si="26"/>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7">D114-$K38</f>
        <v>100</v>
      </c>
      <c r="F114" s="1526">
        <f t="shared" si="27"/>
        <v>100</v>
      </c>
      <c r="G114" s="1526">
        <f t="shared" si="27"/>
        <v>100</v>
      </c>
      <c r="H114" s="1526">
        <f t="shared" si="27"/>
        <v>100</v>
      </c>
      <c r="I114" s="1526">
        <f t="shared" si="27"/>
        <v>100</v>
      </c>
      <c r="J114" s="1526">
        <f t="shared" si="27"/>
        <v>100</v>
      </c>
      <c r="K114" s="1526">
        <f t="shared" si="27"/>
        <v>100</v>
      </c>
      <c r="L114" s="1526">
        <f t="shared" si="27"/>
        <v>100</v>
      </c>
      <c r="M114" s="1526">
        <f t="shared" si="27"/>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8">C116-$K39</f>
        <v>100</v>
      </c>
      <c r="E116" s="1526">
        <f t="shared" si="28"/>
        <v>100</v>
      </c>
      <c r="F116" s="1526">
        <f t="shared" si="28"/>
        <v>100</v>
      </c>
      <c r="G116" s="1526">
        <f t="shared" si="28"/>
        <v>100</v>
      </c>
      <c r="H116" s="1526">
        <f t="shared" si="28"/>
        <v>100</v>
      </c>
      <c r="I116" s="1526">
        <f t="shared" si="28"/>
        <v>100</v>
      </c>
      <c r="J116" s="1526">
        <f t="shared" si="28"/>
        <v>100</v>
      </c>
      <c r="K116" s="1526">
        <f t="shared" si="28"/>
        <v>100</v>
      </c>
      <c r="L116" s="1526">
        <f t="shared" si="28"/>
        <v>100</v>
      </c>
      <c r="M116" s="1569">
        <f t="shared" si="28"/>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29">D120-$K41</f>
        <v>100</v>
      </c>
      <c r="F120" s="1526">
        <f t="shared" si="29"/>
        <v>100</v>
      </c>
      <c r="G120" s="1526">
        <f t="shared" si="29"/>
        <v>100</v>
      </c>
      <c r="H120" s="1526">
        <f t="shared" si="29"/>
        <v>100</v>
      </c>
      <c r="I120" s="1526">
        <f t="shared" si="29"/>
        <v>100</v>
      </c>
      <c r="J120" s="1526">
        <f t="shared" si="29"/>
        <v>100</v>
      </c>
      <c r="K120" s="1526">
        <f t="shared" si="29"/>
        <v>100</v>
      </c>
      <c r="L120" s="1526">
        <f t="shared" si="29"/>
        <v>100</v>
      </c>
      <c r="M120" s="1526">
        <f t="shared" si="29"/>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0">C124-$K43</f>
        <v>99</v>
      </c>
      <c r="E124" s="1526">
        <f t="shared" si="30"/>
        <v>98</v>
      </c>
      <c r="F124" s="1526">
        <f t="shared" si="30"/>
        <v>97</v>
      </c>
      <c r="G124" s="1526">
        <f t="shared" si="30"/>
        <v>96</v>
      </c>
      <c r="H124" s="1526">
        <f t="shared" si="30"/>
        <v>95</v>
      </c>
      <c r="I124" s="1526">
        <f t="shared" si="30"/>
        <v>94</v>
      </c>
      <c r="J124" s="1526">
        <f t="shared" si="30"/>
        <v>93</v>
      </c>
      <c r="K124" s="1526">
        <f t="shared" si="30"/>
        <v>92</v>
      </c>
      <c r="L124" s="1526">
        <f t="shared" si="30"/>
        <v>91</v>
      </c>
      <c r="M124" s="1569">
        <f t="shared" si="30"/>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148.99</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761"/>
      <c r="M4" s="1432"/>
      <c r="N4" s="1432"/>
      <c r="O4" s="1432"/>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761"/>
      <c r="M5" s="1432"/>
      <c r="N5" s="1432"/>
      <c r="O5" s="1432"/>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761"/>
      <c r="M6" s="1432"/>
      <c r="N6" s="1432"/>
      <c r="O6" s="1432"/>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45909</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5"/>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4"/>
      <c r="Q16" s="912"/>
      <c r="R16" s="1494"/>
      <c r="S16" s="1495"/>
      <c r="T16" s="1494"/>
      <c r="U16" s="1495"/>
      <c r="V16" s="1494"/>
      <c r="W16" s="1495"/>
      <c r="X16" s="1489"/>
      <c r="Y16" s="3414"/>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4"/>
      <c r="Q18" s="912"/>
      <c r="R18" s="1494"/>
      <c r="S18" s="1495"/>
      <c r="T18" s="1494"/>
      <c r="U18" s="1495"/>
      <c r="V18" s="1494"/>
      <c r="W18" s="1495"/>
      <c r="X18" s="1489"/>
      <c r="Y18" s="3414"/>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4"/>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4"/>
      <c r="Q20" s="912"/>
      <c r="R20" s="1494"/>
      <c r="S20" s="1495"/>
      <c r="T20" s="1494"/>
      <c r="U20" s="1495"/>
      <c r="V20" s="1494"/>
      <c r="W20" s="1495"/>
      <c r="X20" s="1489"/>
      <c r="Y20" s="3414"/>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4"/>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4"/>
      <c r="Q22" s="912"/>
      <c r="R22" s="1494"/>
      <c r="S22" s="1495"/>
      <c r="T22" s="1494"/>
      <c r="U22" s="1495"/>
      <c r="V22" s="1494"/>
      <c r="W22" s="1495"/>
      <c r="X22" s="1489"/>
      <c r="Y22" s="3414"/>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4"/>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4"/>
      <c r="Q24" s="912"/>
      <c r="R24" s="1494"/>
      <c r="S24" s="1495"/>
      <c r="T24" s="1494"/>
      <c r="U24" s="1495"/>
      <c r="V24" s="1494"/>
      <c r="W24" s="1495"/>
      <c r="X24" s="1489"/>
      <c r="Y24" s="3414"/>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4"/>
      <c r="Q25" s="912">
        <f>B25</f>
        <v>111</v>
      </c>
      <c r="R25" s="1494" t="s">
        <v>1515</v>
      </c>
      <c r="S25" s="1495">
        <f>F25</f>
        <v>100</v>
      </c>
      <c r="T25" s="1494" t="s">
        <v>1515</v>
      </c>
      <c r="U25" s="1495">
        <f>H25</f>
        <v>100</v>
      </c>
      <c r="V25" s="1494" t="s">
        <v>1515</v>
      </c>
      <c r="W25" s="1495">
        <f>J25</f>
        <v>100</v>
      </c>
      <c r="X25" s="1489"/>
      <c r="Y25" s="3414"/>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4"/>
      <c r="Q26" s="912">
        <f t="shared" ref="Q26:Q40" si="11">B26</f>
        <v>111</v>
      </c>
      <c r="R26" s="1494" t="s">
        <v>1515</v>
      </c>
      <c r="S26" s="1495">
        <f>F26</f>
        <v>100</v>
      </c>
      <c r="T26" s="1494" t="s">
        <v>1515</v>
      </c>
      <c r="U26" s="1495">
        <f>H26</f>
        <v>100</v>
      </c>
      <c r="V26" s="1494" t="s">
        <v>1515</v>
      </c>
      <c r="W26" s="1495">
        <f>J26</f>
        <v>100</v>
      </c>
      <c r="X26" s="1489"/>
      <c r="Y26" s="3414"/>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4"/>
      <c r="Q27" s="1080">
        <f t="shared" si="11"/>
        <v>111</v>
      </c>
      <c r="R27" s="1490" t="s">
        <v>1515</v>
      </c>
      <c r="S27" s="1491">
        <f>F27</f>
        <v>100</v>
      </c>
      <c r="T27" s="1490" t="s">
        <v>1515</v>
      </c>
      <c r="U27" s="1491">
        <f>H27</f>
        <v>100</v>
      </c>
      <c r="V27" s="1490" t="s">
        <v>1515</v>
      </c>
      <c r="W27" s="1491">
        <f>J27</f>
        <v>100</v>
      </c>
      <c r="X27" s="1492"/>
      <c r="Y27" s="3414"/>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4"/>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4"/>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15"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15"/>
      <c r="Q30" s="1689" t="str">
        <f t="shared" si="11"/>
        <v>项目建筑规模</v>
      </c>
      <c r="R30" s="1496" t="s">
        <v>1515</v>
      </c>
      <c r="S30" s="1497" t="e">
        <f t="shared" si="12"/>
        <v>#N/A</v>
      </c>
      <c r="T30" s="1496" t="s">
        <v>1515</v>
      </c>
      <c r="U30" s="1497" t="e">
        <f t="shared" si="13"/>
        <v>#N/A</v>
      </c>
      <c r="V30" s="1496" t="s">
        <v>1515</v>
      </c>
      <c r="W30" s="1497" t="e">
        <f t="shared" si="14"/>
        <v>#N/A</v>
      </c>
      <c r="X30" s="1498"/>
      <c r="Y30" s="3415"/>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15"/>
      <c r="Q31" s="912" t="str">
        <f t="shared" si="11"/>
        <v>建筑结构</v>
      </c>
      <c r="R31" s="1494" t="s">
        <v>1515</v>
      </c>
      <c r="S31" s="1495">
        <f t="shared" si="12"/>
        <v>100</v>
      </c>
      <c r="T31" s="1494" t="s">
        <v>1515</v>
      </c>
      <c r="U31" s="1495">
        <f t="shared" si="13"/>
        <v>100</v>
      </c>
      <c r="V31" s="1494" t="s">
        <v>1515</v>
      </c>
      <c r="W31" s="1495">
        <f t="shared" si="14"/>
        <v>100</v>
      </c>
      <c r="X31" s="1489"/>
      <c r="Y31" s="3415"/>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15"/>
      <c r="Q32" s="912" t="str">
        <f t="shared" si="11"/>
        <v>公共部分装修</v>
      </c>
      <c r="R32" s="1494" t="s">
        <v>1515</v>
      </c>
      <c r="S32" s="1495">
        <f t="shared" si="12"/>
        <v>100</v>
      </c>
      <c r="T32" s="1494" t="s">
        <v>1515</v>
      </c>
      <c r="U32" s="1495">
        <f t="shared" si="13"/>
        <v>100</v>
      </c>
      <c r="V32" s="1494" t="s">
        <v>1515</v>
      </c>
      <c r="W32" s="1495">
        <f t="shared" si="14"/>
        <v>100</v>
      </c>
      <c r="X32" s="1489"/>
      <c r="Y32" s="3415"/>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15"/>
      <c r="Q33" s="912" t="str">
        <f t="shared" si="11"/>
        <v>成新度</v>
      </c>
      <c r="R33" s="1494" t="s">
        <v>1515</v>
      </c>
      <c r="S33" s="1495" t="e">
        <f t="shared" si="12"/>
        <v>#N/A</v>
      </c>
      <c r="T33" s="1494" t="s">
        <v>1515</v>
      </c>
      <c r="U33" s="1495" t="e">
        <f t="shared" si="13"/>
        <v>#N/A</v>
      </c>
      <c r="V33" s="1494" t="s">
        <v>1515</v>
      </c>
      <c r="W33" s="1495" t="e">
        <f t="shared" si="14"/>
        <v>#N/A</v>
      </c>
      <c r="X33" s="1489"/>
      <c r="Y33" s="3415"/>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15"/>
      <c r="Q34" s="1080" t="str">
        <f t="shared" si="11"/>
        <v>物业管理</v>
      </c>
      <c r="R34" s="1490" t="s">
        <v>1515</v>
      </c>
      <c r="S34" s="1491">
        <f t="shared" si="12"/>
        <v>100</v>
      </c>
      <c r="T34" s="1490" t="s">
        <v>1515</v>
      </c>
      <c r="U34" s="1491">
        <f t="shared" si="13"/>
        <v>100</v>
      </c>
      <c r="V34" s="1490" t="s">
        <v>1515</v>
      </c>
      <c r="W34" s="1491">
        <f t="shared" si="14"/>
        <v>100</v>
      </c>
      <c r="X34" s="1492"/>
      <c r="Y34" s="3415"/>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15" t="s">
        <v>1535</v>
      </c>
      <c r="Q35" s="912" t="str">
        <f t="shared" si="11"/>
        <v>市政基础设施</v>
      </c>
      <c r="R35" s="1494" t="s">
        <v>1515</v>
      </c>
      <c r="S35" s="1495">
        <f t="shared" si="12"/>
        <v>100</v>
      </c>
      <c r="T35" s="1494" t="s">
        <v>1515</v>
      </c>
      <c r="U35" s="1495">
        <f t="shared" si="13"/>
        <v>100</v>
      </c>
      <c r="V35" s="1494" t="s">
        <v>1515</v>
      </c>
      <c r="W35" s="1495">
        <f t="shared" si="14"/>
        <v>100</v>
      </c>
      <c r="X35" s="1489"/>
      <c r="Y35" s="3415"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15"/>
      <c r="Q36" s="912" t="str">
        <f t="shared" si="11"/>
        <v>内部装修</v>
      </c>
      <c r="R36" s="1494" t="s">
        <v>1515</v>
      </c>
      <c r="S36" s="1495">
        <f t="shared" si="12"/>
        <v>100</v>
      </c>
      <c r="T36" s="1494" t="s">
        <v>1515</v>
      </c>
      <c r="U36" s="1495">
        <f t="shared" si="13"/>
        <v>100</v>
      </c>
      <c r="V36" s="1494" t="s">
        <v>1515</v>
      </c>
      <c r="W36" s="1495">
        <f t="shared" si="14"/>
        <v>100</v>
      </c>
      <c r="X36" s="1489"/>
      <c r="Y36" s="3415"/>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15"/>
      <c r="Q37" s="912" t="str">
        <f t="shared" si="11"/>
        <v>内部装修状况</v>
      </c>
      <c r="R37" s="1494" t="s">
        <v>1515</v>
      </c>
      <c r="S37" s="1495">
        <f t="shared" si="12"/>
        <v>100</v>
      </c>
      <c r="T37" s="1494" t="s">
        <v>1515</v>
      </c>
      <c r="U37" s="1495">
        <f t="shared" si="13"/>
        <v>100</v>
      </c>
      <c r="V37" s="1494" t="s">
        <v>1515</v>
      </c>
      <c r="W37" s="1495">
        <f t="shared" si="14"/>
        <v>100</v>
      </c>
      <c r="X37" s="1489"/>
      <c r="Y37" s="3415"/>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15"/>
      <c r="Q38" s="1689">
        <f t="shared" si="11"/>
        <v>111</v>
      </c>
      <c r="R38" s="1496" t="s">
        <v>1515</v>
      </c>
      <c r="S38" s="1497">
        <f t="shared" si="12"/>
        <v>100</v>
      </c>
      <c r="T38" s="1496" t="s">
        <v>1515</v>
      </c>
      <c r="U38" s="1497">
        <f t="shared" si="13"/>
        <v>100</v>
      </c>
      <c r="V38" s="1496" t="s">
        <v>1515</v>
      </c>
      <c r="W38" s="1497">
        <f t="shared" si="14"/>
        <v>100</v>
      </c>
      <c r="X38" s="1498"/>
      <c r="Y38" s="3415"/>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15"/>
      <c r="Q39" s="912">
        <f t="shared" si="11"/>
        <v>111</v>
      </c>
      <c r="R39" s="1494" t="s">
        <v>1515</v>
      </c>
      <c r="S39" s="1495">
        <f t="shared" si="12"/>
        <v>100</v>
      </c>
      <c r="T39" s="1494" t="s">
        <v>1515</v>
      </c>
      <c r="U39" s="1495">
        <f t="shared" si="13"/>
        <v>100</v>
      </c>
      <c r="V39" s="1494" t="s">
        <v>1515</v>
      </c>
      <c r="W39" s="1495">
        <f t="shared" si="14"/>
        <v>100</v>
      </c>
      <c r="X39" s="1489"/>
      <c r="Y39" s="3415"/>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6"/>
      <c r="Q40" s="912">
        <f t="shared" si="11"/>
        <v>111</v>
      </c>
      <c r="R40" s="1494" t="s">
        <v>1515</v>
      </c>
      <c r="S40" s="1495">
        <f t="shared" si="12"/>
        <v>100</v>
      </c>
      <c r="T40" s="1494" t="s">
        <v>1515</v>
      </c>
      <c r="U40" s="1495">
        <f t="shared" si="13"/>
        <v>100</v>
      </c>
      <c r="V40" s="1494" t="s">
        <v>1515</v>
      </c>
      <c r="W40" s="1495">
        <f t="shared" si="14"/>
        <v>100</v>
      </c>
      <c r="X40" s="1489"/>
      <c r="Y40" s="3416"/>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5" t="str">
        <f>A41</f>
        <v>成交单价（元/平方米）</v>
      </c>
      <c r="Q41" s="3405"/>
      <c r="R41" s="3406">
        <f>E41</f>
        <v>0</v>
      </c>
      <c r="S41" s="3406"/>
      <c r="T41" s="3406">
        <f>G41</f>
        <v>0</v>
      </c>
      <c r="U41" s="3406"/>
      <c r="V41" s="3406">
        <f>I41</f>
        <v>0</v>
      </c>
      <c r="W41" s="3406"/>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2025-9</v>
      </c>
      <c r="D52" s="1681">
        <f>EDATE(C52,-1)</f>
        <v>45870</v>
      </c>
      <c r="E52" s="1681">
        <f t="shared" ref="E52:O52" si="16">EDATE(D52,-1)</f>
        <v>45839</v>
      </c>
      <c r="F52" s="1681">
        <f t="shared" si="16"/>
        <v>45809</v>
      </c>
      <c r="G52" s="1681">
        <f t="shared" si="16"/>
        <v>45778</v>
      </c>
      <c r="H52" s="1681">
        <f t="shared" si="16"/>
        <v>45748</v>
      </c>
      <c r="I52" s="1681">
        <f t="shared" si="16"/>
        <v>45717</v>
      </c>
      <c r="J52" s="1681">
        <f t="shared" si="16"/>
        <v>45689</v>
      </c>
      <c r="K52" s="1681">
        <f t="shared" si="16"/>
        <v>45658</v>
      </c>
      <c r="L52" s="1681">
        <f t="shared" si="16"/>
        <v>45627</v>
      </c>
      <c r="M52" s="1681">
        <f t="shared" si="16"/>
        <v>45597</v>
      </c>
      <c r="N52" s="1681">
        <f t="shared" si="16"/>
        <v>45566</v>
      </c>
      <c r="O52" s="1681">
        <f t="shared" si="16"/>
        <v>45536</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45909</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4"/>
      <c r="Q15" s="912"/>
      <c r="R15" s="1494"/>
      <c r="S15" s="1495"/>
      <c r="T15" s="1494"/>
      <c r="U15" s="1495"/>
      <c r="V15" s="1494"/>
      <c r="W15" s="1495"/>
      <c r="X15" s="1489"/>
      <c r="Y15" s="3414"/>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4"/>
      <c r="Q17" s="912"/>
      <c r="R17" s="1494"/>
      <c r="S17" s="1495"/>
      <c r="T17" s="1494"/>
      <c r="U17" s="1495"/>
      <c r="V17" s="1494"/>
      <c r="W17" s="1495"/>
      <c r="X17" s="1489"/>
      <c r="Y17" s="3414"/>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4"/>
      <c r="Q19" s="912"/>
      <c r="R19" s="1494"/>
      <c r="S19" s="1495"/>
      <c r="T19" s="1494"/>
      <c r="U19" s="1495"/>
      <c r="V19" s="1494"/>
      <c r="W19" s="1495"/>
      <c r="X19" s="1489"/>
      <c r="Y19" s="3414"/>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4"/>
      <c r="Q21" s="912"/>
      <c r="R21" s="1494"/>
      <c r="S21" s="1495"/>
      <c r="T21" s="1494"/>
      <c r="U21" s="1495"/>
      <c r="V21" s="1494"/>
      <c r="W21" s="1495"/>
      <c r="X21" s="1489"/>
      <c r="Y21" s="3414"/>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4"/>
      <c r="Q24" s="912">
        <f t="shared" ref="Q24:Q36"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15"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15"/>
      <c r="Q27" s="1689" t="str">
        <f t="shared" si="11"/>
        <v>项目停车位配比</v>
      </c>
      <c r="R27" s="1496" t="s">
        <v>1515</v>
      </c>
      <c r="S27" s="1497">
        <f t="shared" si="12"/>
        <v>100</v>
      </c>
      <c r="T27" s="1496" t="s">
        <v>1515</v>
      </c>
      <c r="U27" s="1497">
        <f t="shared" si="13"/>
        <v>100</v>
      </c>
      <c r="V27" s="1496" t="s">
        <v>1515</v>
      </c>
      <c r="W27" s="1497">
        <f t="shared" si="14"/>
        <v>100</v>
      </c>
      <c r="X27" s="1498"/>
      <c r="Y27" s="3415"/>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15"/>
      <c r="Q28" s="912" t="str">
        <f t="shared" si="11"/>
        <v>公共部分装修</v>
      </c>
      <c r="R28" s="1494" t="s">
        <v>1515</v>
      </c>
      <c r="S28" s="1495">
        <f t="shared" si="12"/>
        <v>100</v>
      </c>
      <c r="T28" s="1494" t="s">
        <v>1515</v>
      </c>
      <c r="U28" s="1495">
        <f t="shared" si="13"/>
        <v>100</v>
      </c>
      <c r="V28" s="1494" t="s">
        <v>1515</v>
      </c>
      <c r="W28" s="1495">
        <f t="shared" si="14"/>
        <v>100</v>
      </c>
      <c r="X28" s="1489"/>
      <c r="Y28" s="3415"/>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15"/>
      <c r="Q29" s="912" t="str">
        <f t="shared" si="11"/>
        <v>成新率</v>
      </c>
      <c r="R29" s="1494" t="s">
        <v>1515</v>
      </c>
      <c r="S29" s="1495" t="e">
        <f t="shared" si="12"/>
        <v>#N/A</v>
      </c>
      <c r="T29" s="1494" t="s">
        <v>1515</v>
      </c>
      <c r="U29" s="1495" t="e">
        <f t="shared" si="13"/>
        <v>#N/A</v>
      </c>
      <c r="V29" s="1494" t="s">
        <v>1515</v>
      </c>
      <c r="W29" s="1495" t="e">
        <f t="shared" si="14"/>
        <v>#N/A</v>
      </c>
      <c r="X29" s="1489"/>
      <c r="Y29" s="3415"/>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15"/>
      <c r="Q30" s="912" t="str">
        <f t="shared" si="11"/>
        <v>物业等级</v>
      </c>
      <c r="R30" s="1494" t="s">
        <v>1515</v>
      </c>
      <c r="S30" s="1495">
        <f t="shared" si="12"/>
        <v>100</v>
      </c>
      <c r="T30" s="1494" t="s">
        <v>1515</v>
      </c>
      <c r="U30" s="1495">
        <f t="shared" si="13"/>
        <v>100</v>
      </c>
      <c r="V30" s="1494" t="s">
        <v>1515</v>
      </c>
      <c r="W30" s="1495">
        <f t="shared" si="14"/>
        <v>100</v>
      </c>
      <c r="X30" s="1489"/>
      <c r="Y30" s="3415"/>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15"/>
      <c r="Q31" s="1080" t="str">
        <f t="shared" si="11"/>
        <v>停车位面积</v>
      </c>
      <c r="R31" s="1490" t="s">
        <v>1515</v>
      </c>
      <c r="S31" s="1491" t="e">
        <f t="shared" si="12"/>
        <v>#N/A</v>
      </c>
      <c r="T31" s="1490" t="s">
        <v>1515</v>
      </c>
      <c r="U31" s="1491" t="e">
        <f t="shared" si="13"/>
        <v>#N/A</v>
      </c>
      <c r="V31" s="1490" t="s">
        <v>1515</v>
      </c>
      <c r="W31" s="1491" t="e">
        <f t="shared" si="14"/>
        <v>#N/A</v>
      </c>
      <c r="X31" s="1492"/>
      <c r="Y31" s="3415"/>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15" t="s">
        <v>1535</v>
      </c>
      <c r="Q32" s="912" t="str">
        <f t="shared" si="11"/>
        <v>车位类型</v>
      </c>
      <c r="R32" s="1494" t="s">
        <v>1515</v>
      </c>
      <c r="S32" s="1495">
        <f t="shared" si="12"/>
        <v>100</v>
      </c>
      <c r="T32" s="1494" t="s">
        <v>1515</v>
      </c>
      <c r="U32" s="1495">
        <f t="shared" si="13"/>
        <v>100</v>
      </c>
      <c r="V32" s="1494" t="s">
        <v>1515</v>
      </c>
      <c r="W32" s="1495">
        <f t="shared" si="14"/>
        <v>100</v>
      </c>
      <c r="X32" s="1489"/>
      <c r="Y32" s="3415"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15"/>
      <c r="Q33" s="912" t="str">
        <f t="shared" si="11"/>
        <v>是否直接入户</v>
      </c>
      <c r="R33" s="1494" t="s">
        <v>1515</v>
      </c>
      <c r="S33" s="1495">
        <f t="shared" si="12"/>
        <v>100</v>
      </c>
      <c r="T33" s="1494" t="s">
        <v>1515</v>
      </c>
      <c r="U33" s="1495">
        <f t="shared" si="13"/>
        <v>100</v>
      </c>
      <c r="V33" s="1494" t="s">
        <v>1515</v>
      </c>
      <c r="W33" s="1495">
        <f t="shared" si="14"/>
        <v>100</v>
      </c>
      <c r="X33" s="1489"/>
      <c r="Y33" s="3415"/>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15"/>
      <c r="Q35" s="1689">
        <f t="shared" si="11"/>
        <v>111</v>
      </c>
      <c r="R35" s="1496" t="s">
        <v>1515</v>
      </c>
      <c r="S35" s="1497">
        <f t="shared" si="12"/>
        <v>100</v>
      </c>
      <c r="T35" s="1496" t="s">
        <v>1515</v>
      </c>
      <c r="U35" s="1497">
        <f t="shared" si="13"/>
        <v>100</v>
      </c>
      <c r="V35" s="1496" t="s">
        <v>1515</v>
      </c>
      <c r="W35" s="1497">
        <f t="shared" si="14"/>
        <v>100</v>
      </c>
      <c r="X35" s="1498"/>
      <c r="Y35" s="3415"/>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15"/>
      <c r="Q36" s="912">
        <f t="shared" si="11"/>
        <v>111</v>
      </c>
      <c r="R36" s="1494" t="s">
        <v>1515</v>
      </c>
      <c r="S36" s="1495">
        <f t="shared" si="12"/>
        <v>100</v>
      </c>
      <c r="T36" s="1494" t="s">
        <v>1515</v>
      </c>
      <c r="U36" s="1495">
        <f t="shared" si="13"/>
        <v>100</v>
      </c>
      <c r="V36" s="1494" t="s">
        <v>1515</v>
      </c>
      <c r="W36" s="1495">
        <f t="shared" si="14"/>
        <v>100</v>
      </c>
      <c r="X36" s="1489"/>
      <c r="Y36" s="3415"/>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405" t="str">
        <f>A37</f>
        <v>成交单价</v>
      </c>
      <c r="Q37" s="3405"/>
      <c r="R37" s="3406">
        <f>E37</f>
        <v>0</v>
      </c>
      <c r="S37" s="3406"/>
      <c r="T37" s="3406">
        <f>G37</f>
        <v>0</v>
      </c>
      <c r="U37" s="3406"/>
      <c r="V37" s="3406">
        <f>I37</f>
        <v>0</v>
      </c>
      <c r="W37" s="3406"/>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17" t="str">
        <f>A39</f>
        <v>估价对象XX用房的比较价值（楼面单价，元/平方米）</v>
      </c>
      <c r="Q39" s="341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2025-9</v>
      </c>
      <c r="D48" s="1681">
        <f>EDATE(C48,-1)</f>
        <v>45870</v>
      </c>
      <c r="E48" s="1681">
        <f t="shared" ref="E48:O48" si="16">EDATE(D48,-1)</f>
        <v>45839</v>
      </c>
      <c r="F48" s="1681">
        <f t="shared" si="16"/>
        <v>45809</v>
      </c>
      <c r="G48" s="1681">
        <f t="shared" si="16"/>
        <v>45778</v>
      </c>
      <c r="H48" s="1681">
        <f t="shared" si="16"/>
        <v>45748</v>
      </c>
      <c r="I48" s="1681">
        <f t="shared" si="16"/>
        <v>45717</v>
      </c>
      <c r="J48" s="1681">
        <f t="shared" si="16"/>
        <v>45689</v>
      </c>
      <c r="K48" s="1681">
        <f t="shared" si="16"/>
        <v>45658</v>
      </c>
      <c r="L48" s="1681">
        <f t="shared" si="16"/>
        <v>45627</v>
      </c>
      <c r="M48" s="1681">
        <f t="shared" si="16"/>
        <v>45597</v>
      </c>
      <c r="N48" s="1681">
        <f t="shared" si="16"/>
        <v>45566</v>
      </c>
      <c r="O48" s="1681">
        <f t="shared" si="16"/>
        <v>45536</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估价对象为北京市房地产，为所有。根据《国有土地使用证》[]，估价对象（分摊）出让国有建设用地使用权面积为0平方米，建筑面积为148.99平方米。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估价对象为北京市房地产,属开发建设的办公项目，该项目尚在开发建设中。根据《国有土地使用证》[]，估价对象（分摊）出让国有建设用地使用权面积为0平方米，规划建筑面积为148.99平方米。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2025年9月9日（评估专业人员实地查勘之日）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45909</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4"/>
      <c r="Q15" s="912"/>
      <c r="R15" s="1494"/>
      <c r="S15" s="1495"/>
      <c r="T15" s="1494"/>
      <c r="U15" s="1495"/>
      <c r="V15" s="1494"/>
      <c r="W15" s="1495"/>
      <c r="X15" s="1489"/>
      <c r="Y15" s="3414"/>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4"/>
      <c r="Q17" s="912"/>
      <c r="R17" s="1494"/>
      <c r="S17" s="1495"/>
      <c r="T17" s="1494"/>
      <c r="U17" s="1495"/>
      <c r="V17" s="1494"/>
      <c r="W17" s="1495"/>
      <c r="X17" s="1489"/>
      <c r="Y17" s="3414"/>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4"/>
      <c r="Q19" s="912"/>
      <c r="R19" s="1494"/>
      <c r="S19" s="1495"/>
      <c r="T19" s="1494"/>
      <c r="U19" s="1495"/>
      <c r="V19" s="1494"/>
      <c r="W19" s="1495"/>
      <c r="X19" s="1489"/>
      <c r="Y19" s="3414"/>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4"/>
      <c r="Q21" s="912"/>
      <c r="R21" s="1494"/>
      <c r="S21" s="1495"/>
      <c r="T21" s="1494"/>
      <c r="U21" s="1495"/>
      <c r="V21" s="1494"/>
      <c r="W21" s="1495"/>
      <c r="X21" s="1489"/>
      <c r="Y21" s="3414"/>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4"/>
      <c r="Q24" s="912">
        <f t="shared" ref="Q24:Q34"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15"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15"/>
      <c r="Q27" s="1689" t="str">
        <f t="shared" si="11"/>
        <v>成新率</v>
      </c>
      <c r="R27" s="1496" t="s">
        <v>1515</v>
      </c>
      <c r="S27" s="1497" t="e">
        <f t="shared" si="12"/>
        <v>#N/A</v>
      </c>
      <c r="T27" s="1496" t="s">
        <v>1515</v>
      </c>
      <c r="U27" s="1497" t="e">
        <f t="shared" si="13"/>
        <v>#N/A</v>
      </c>
      <c r="V27" s="1496" t="s">
        <v>1515</v>
      </c>
      <c r="W27" s="1497" t="e">
        <f t="shared" si="14"/>
        <v>#N/A</v>
      </c>
      <c r="X27" s="1498"/>
      <c r="Y27" s="3415"/>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15"/>
      <c r="Q28" s="912" t="str">
        <f t="shared" si="11"/>
        <v>物业等级</v>
      </c>
      <c r="R28" s="1494" t="s">
        <v>1515</v>
      </c>
      <c r="S28" s="1495">
        <f t="shared" si="12"/>
        <v>100</v>
      </c>
      <c r="T28" s="1494" t="s">
        <v>1515</v>
      </c>
      <c r="U28" s="1495">
        <f t="shared" si="13"/>
        <v>100</v>
      </c>
      <c r="V28" s="1494" t="s">
        <v>1515</v>
      </c>
      <c r="W28" s="1495">
        <f t="shared" si="14"/>
        <v>100</v>
      </c>
      <c r="X28" s="1489"/>
      <c r="Y28" s="3415"/>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15"/>
      <c r="Q29" s="912" t="str">
        <f t="shared" si="11"/>
        <v>有无电梯</v>
      </c>
      <c r="R29" s="1494" t="s">
        <v>1515</v>
      </c>
      <c r="S29" s="1495">
        <f t="shared" si="12"/>
        <v>100</v>
      </c>
      <c r="T29" s="1494" t="s">
        <v>1515</v>
      </c>
      <c r="U29" s="1495">
        <f t="shared" si="13"/>
        <v>100</v>
      </c>
      <c r="V29" s="1494" t="s">
        <v>1515</v>
      </c>
      <c r="W29" s="1495">
        <f t="shared" si="14"/>
        <v>100</v>
      </c>
      <c r="X29" s="1489"/>
      <c r="Y29" s="3415"/>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15"/>
      <c r="Q30" s="912" t="str">
        <f t="shared" si="11"/>
        <v>建筑面积</v>
      </c>
      <c r="R30" s="1494" t="s">
        <v>1515</v>
      </c>
      <c r="S30" s="1495" t="e">
        <f t="shared" si="12"/>
        <v>#N/A</v>
      </c>
      <c r="T30" s="1494" t="s">
        <v>1515</v>
      </c>
      <c r="U30" s="1495" t="e">
        <f t="shared" si="13"/>
        <v>#N/A</v>
      </c>
      <c r="V30" s="1494" t="s">
        <v>1515</v>
      </c>
      <c r="W30" s="1495" t="e">
        <f t="shared" si="14"/>
        <v>#N/A</v>
      </c>
      <c r="X30" s="1489"/>
      <c r="Y30" s="3415"/>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15"/>
      <c r="Q31" s="1080" t="str">
        <f t="shared" si="11"/>
        <v>是否封闭</v>
      </c>
      <c r="R31" s="1490" t="s">
        <v>1515</v>
      </c>
      <c r="S31" s="1491">
        <f t="shared" si="12"/>
        <v>100</v>
      </c>
      <c r="T31" s="1490" t="s">
        <v>1515</v>
      </c>
      <c r="U31" s="1491">
        <f t="shared" si="13"/>
        <v>100</v>
      </c>
      <c r="V31" s="1490" t="s">
        <v>1515</v>
      </c>
      <c r="W31" s="1491">
        <f t="shared" si="14"/>
        <v>100</v>
      </c>
      <c r="X31" s="1492"/>
      <c r="Y31" s="3415"/>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15" t="s">
        <v>1535</v>
      </c>
      <c r="Q32" s="912">
        <f t="shared" si="11"/>
        <v>111</v>
      </c>
      <c r="R32" s="1494" t="s">
        <v>1515</v>
      </c>
      <c r="S32" s="1495">
        <f t="shared" si="12"/>
        <v>100</v>
      </c>
      <c r="T32" s="1494" t="s">
        <v>1515</v>
      </c>
      <c r="U32" s="1495">
        <f t="shared" si="13"/>
        <v>100</v>
      </c>
      <c r="V32" s="1494" t="s">
        <v>1515</v>
      </c>
      <c r="W32" s="1495">
        <f t="shared" si="14"/>
        <v>100</v>
      </c>
      <c r="X32" s="1489"/>
      <c r="Y32" s="3415"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15"/>
      <c r="Q33" s="912">
        <f t="shared" si="11"/>
        <v>111</v>
      </c>
      <c r="R33" s="1494" t="s">
        <v>1515</v>
      </c>
      <c r="S33" s="1495">
        <f t="shared" si="12"/>
        <v>100</v>
      </c>
      <c r="T33" s="1494" t="s">
        <v>1515</v>
      </c>
      <c r="U33" s="1495">
        <f t="shared" si="13"/>
        <v>100</v>
      </c>
      <c r="V33" s="1494" t="s">
        <v>1515</v>
      </c>
      <c r="W33" s="1495">
        <f t="shared" si="14"/>
        <v>100</v>
      </c>
      <c r="X33" s="1489"/>
      <c r="Y33" s="3415"/>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5" t="str">
        <f>A35</f>
        <v>成交单价（元/平方米）</v>
      </c>
      <c r="Q35" s="3405"/>
      <c r="R35" s="3406">
        <f>E35</f>
        <v>0</v>
      </c>
      <c r="S35" s="3406"/>
      <c r="T35" s="3406">
        <f>G35</f>
        <v>0</v>
      </c>
      <c r="U35" s="3406"/>
      <c r="V35" s="3406">
        <f>I35</f>
        <v>0</v>
      </c>
      <c r="W35" s="3406"/>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17" t="str">
        <f>A37</f>
        <v>估价对象XX用房的比较价值（楼面单价，元/平方米）</v>
      </c>
      <c r="Q37" s="341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2025-9</v>
      </c>
      <c r="D46" s="1681">
        <f>EDATE(C46,-1)</f>
        <v>45870</v>
      </c>
      <c r="E46" s="1681">
        <f t="shared" ref="E46:O46" si="16">EDATE(D46,-1)</f>
        <v>45839</v>
      </c>
      <c r="F46" s="1681">
        <f t="shared" si="16"/>
        <v>45809</v>
      </c>
      <c r="G46" s="1681">
        <f t="shared" si="16"/>
        <v>45778</v>
      </c>
      <c r="H46" s="1681">
        <f t="shared" si="16"/>
        <v>45748</v>
      </c>
      <c r="I46" s="1681">
        <f t="shared" si="16"/>
        <v>45717</v>
      </c>
      <c r="J46" s="1681">
        <f t="shared" si="16"/>
        <v>45689</v>
      </c>
      <c r="K46" s="1681">
        <f t="shared" si="16"/>
        <v>45658</v>
      </c>
      <c r="L46" s="1681">
        <f t="shared" si="16"/>
        <v>45627</v>
      </c>
      <c r="M46" s="1681">
        <f t="shared" si="16"/>
        <v>45597</v>
      </c>
      <c r="N46" s="1681">
        <f t="shared" si="16"/>
        <v>45566</v>
      </c>
      <c r="O46" s="1681">
        <f t="shared" si="16"/>
        <v>45536</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45909</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124</v>
      </c>
      <c r="G10" s="1608"/>
      <c r="H10" s="1324">
        <f>ROUND(100/'数据-取费表'!G16,0)</f>
        <v>124</v>
      </c>
      <c r="I10" s="1608"/>
      <c r="J10" s="1324">
        <f>ROUND(100/'数据-取费表'!G16,0)</f>
        <v>124</v>
      </c>
      <c r="K10" s="1452"/>
      <c r="L10" s="1453"/>
      <c r="M10" s="1454"/>
      <c r="N10" s="1454"/>
      <c r="O10" s="1455"/>
      <c r="P10" s="3405"/>
      <c r="Q10" s="1080" t="str">
        <f t="shared" si="6"/>
        <v>土地使用年限（年）</v>
      </c>
      <c r="R10" s="1490" t="s">
        <v>1515</v>
      </c>
      <c r="S10" s="1491">
        <f t="shared" si="0"/>
        <v>124</v>
      </c>
      <c r="T10" s="1490" t="s">
        <v>1515</v>
      </c>
      <c r="U10" s="1491">
        <f t="shared" si="1"/>
        <v>124</v>
      </c>
      <c r="V10" s="1490" t="s">
        <v>1515</v>
      </c>
      <c r="W10" s="1491">
        <f t="shared" si="2"/>
        <v>124</v>
      </c>
      <c r="X10" s="1492"/>
      <c r="Y10" s="3355"/>
      <c r="Z10" s="1501" t="str">
        <f t="shared" si="7"/>
        <v>土地使用年限（年）</v>
      </c>
      <c r="AA10" s="1501">
        <f t="shared" si="3"/>
        <v>0.80645161290322576</v>
      </c>
      <c r="AB10" s="1501">
        <f t="shared" si="4"/>
        <v>0.80645161290322576</v>
      </c>
      <c r="AC10" s="1501">
        <f t="shared" si="5"/>
        <v>0.80645161290322576</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5"/>
      <c r="Q12" s="1080" t="str">
        <f t="shared" si="6"/>
        <v>配建</v>
      </c>
      <c r="R12" s="1490" t="s">
        <v>1515</v>
      </c>
      <c r="S12" s="1491">
        <f t="shared" si="0"/>
        <v>100</v>
      </c>
      <c r="T12" s="1490" t="s">
        <v>1515</v>
      </c>
      <c r="U12" s="1491">
        <f t="shared" si="1"/>
        <v>100</v>
      </c>
      <c r="V12" s="1490" t="s">
        <v>1515</v>
      </c>
      <c r="W12" s="1491">
        <f t="shared" si="2"/>
        <v>100</v>
      </c>
      <c r="X12" s="1492"/>
      <c r="Y12" s="3355"/>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4"/>
      <c r="Q17" s="912" t="str">
        <f>B17</f>
        <v>商业繁华度</v>
      </c>
      <c r="R17" s="1494" t="s">
        <v>1515</v>
      </c>
      <c r="S17" s="1495">
        <f>F17</f>
        <v>100</v>
      </c>
      <c r="T17" s="1494" t="s">
        <v>1515</v>
      </c>
      <c r="U17" s="1495">
        <f>H17</f>
        <v>100</v>
      </c>
      <c r="V17" s="1494" t="s">
        <v>1515</v>
      </c>
      <c r="W17" s="1495">
        <f>J17</f>
        <v>100</v>
      </c>
      <c r="X17" s="1489"/>
      <c r="Y17" s="3414"/>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4"/>
      <c r="Q19" s="912" t="str">
        <f>B19</f>
        <v>办公集聚程度</v>
      </c>
      <c r="R19" s="1494" t="s">
        <v>1515</v>
      </c>
      <c r="S19" s="1495">
        <f>F19</f>
        <v>100</v>
      </c>
      <c r="T19" s="1494" t="s">
        <v>1515</v>
      </c>
      <c r="U19" s="1495">
        <f>H19</f>
        <v>100</v>
      </c>
      <c r="V19" s="1494" t="s">
        <v>1515</v>
      </c>
      <c r="W19" s="1495">
        <f>J19</f>
        <v>100</v>
      </c>
      <c r="X19" s="1489"/>
      <c r="Y19" s="3414"/>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4"/>
      <c r="Q20" s="912"/>
      <c r="R20" s="1494"/>
      <c r="S20" s="1495"/>
      <c r="T20" s="1494"/>
      <c r="U20" s="1495"/>
      <c r="V20" s="1494"/>
      <c r="W20" s="1495"/>
      <c r="X20" s="1489"/>
      <c r="Y20" s="3414"/>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4"/>
      <c r="Q21" s="912" t="str">
        <f>B21</f>
        <v>交通便捷度</v>
      </c>
      <c r="R21" s="1494" t="s">
        <v>1515</v>
      </c>
      <c r="S21" s="1495">
        <f>F21</f>
        <v>100</v>
      </c>
      <c r="T21" s="1494" t="s">
        <v>1515</v>
      </c>
      <c r="U21" s="1495">
        <f>H21</f>
        <v>100</v>
      </c>
      <c r="V21" s="1494" t="s">
        <v>1515</v>
      </c>
      <c r="W21" s="1495">
        <f>J21</f>
        <v>100</v>
      </c>
      <c r="X21" s="1489"/>
      <c r="Y21" s="3414"/>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4"/>
      <c r="Q23" s="912" t="str">
        <f t="shared" ref="Q23:Q38" si="8">B23</f>
        <v>区域土地利用方向</v>
      </c>
      <c r="R23" s="1494" t="s">
        <v>1515</v>
      </c>
      <c r="S23" s="1495">
        <f>F23</f>
        <v>100</v>
      </c>
      <c r="T23" s="1494" t="s">
        <v>1515</v>
      </c>
      <c r="U23" s="1495">
        <f>H23</f>
        <v>100</v>
      </c>
      <c r="V23" s="1494" t="s">
        <v>1515</v>
      </c>
      <c r="W23" s="1495">
        <f>J23</f>
        <v>100</v>
      </c>
      <c r="X23" s="1489"/>
      <c r="Y23" s="3414"/>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4"/>
      <c r="Q24" s="912"/>
      <c r="R24" s="1494"/>
      <c r="S24" s="1495"/>
      <c r="T24" s="1494"/>
      <c r="U24" s="1495"/>
      <c r="V24" s="1494"/>
      <c r="W24" s="1495"/>
      <c r="X24" s="1489"/>
      <c r="Y24" s="3414"/>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4"/>
      <c r="Q25" s="912" t="str">
        <f t="shared" si="8"/>
        <v>自然及人文环境状况</v>
      </c>
      <c r="R25" s="1494" t="s">
        <v>1515</v>
      </c>
      <c r="S25" s="1495">
        <f>F25</f>
        <v>100</v>
      </c>
      <c r="T25" s="1494" t="s">
        <v>1515</v>
      </c>
      <c r="U25" s="1495">
        <f>H25</f>
        <v>100</v>
      </c>
      <c r="V25" s="1494" t="s">
        <v>1515</v>
      </c>
      <c r="W25" s="1495">
        <f>J25</f>
        <v>100</v>
      </c>
      <c r="X25" s="1489"/>
      <c r="Y25" s="3414"/>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4"/>
      <c r="Q26" s="912"/>
      <c r="R26" s="1494"/>
      <c r="S26" s="1495"/>
      <c r="T26" s="1494"/>
      <c r="U26" s="1495"/>
      <c r="V26" s="1494"/>
      <c r="W26" s="1495"/>
      <c r="X26" s="1489"/>
      <c r="Y26" s="3414"/>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4"/>
      <c r="Q27" s="1080" t="str">
        <f t="shared" si="8"/>
        <v>公共配套设施</v>
      </c>
      <c r="R27" s="1490" t="s">
        <v>1515</v>
      </c>
      <c r="S27" s="1491">
        <f>F27</f>
        <v>100</v>
      </c>
      <c r="T27" s="1490" t="s">
        <v>1515</v>
      </c>
      <c r="U27" s="1491">
        <f>H27</f>
        <v>100</v>
      </c>
      <c r="V27" s="1490" t="s">
        <v>1515</v>
      </c>
      <c r="W27" s="1491">
        <f>J27</f>
        <v>100</v>
      </c>
      <c r="X27" s="1492"/>
      <c r="Y27" s="3414"/>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4"/>
      <c r="Q28" s="1080"/>
      <c r="R28" s="1490"/>
      <c r="S28" s="1491"/>
      <c r="T28" s="1490"/>
      <c r="U28" s="1491"/>
      <c r="V28" s="1490"/>
      <c r="W28" s="1491"/>
      <c r="X28" s="1492"/>
      <c r="Y28" s="3414"/>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4"/>
      <c r="Q29" s="1080" t="str">
        <f t="shared" ref="Q29" si="9">B29</f>
        <v>基础设施水平</v>
      </c>
      <c r="R29" s="1490" t="s">
        <v>1515</v>
      </c>
      <c r="S29" s="1491">
        <f>F29</f>
        <v>100</v>
      </c>
      <c r="T29" s="1490" t="s">
        <v>1515</v>
      </c>
      <c r="U29" s="1491">
        <f>H29</f>
        <v>100</v>
      </c>
      <c r="V29" s="1490" t="s">
        <v>1515</v>
      </c>
      <c r="W29" s="1491">
        <f>J29</f>
        <v>100</v>
      </c>
      <c r="X29" s="1492"/>
      <c r="Y29" s="3414"/>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4"/>
      <c r="Q30" s="1080"/>
      <c r="R30" s="1490"/>
      <c r="S30" s="1491"/>
      <c r="T30" s="1490"/>
      <c r="U30" s="1491"/>
      <c r="V30" s="1490"/>
      <c r="W30" s="1491"/>
      <c r="X30" s="1492"/>
      <c r="Y30" s="3414"/>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4"/>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4"/>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4"/>
      <c r="Q32" s="912" t="str">
        <f t="shared" si="8"/>
        <v>毗邻道路的类型与等级</v>
      </c>
      <c r="R32" s="1494" t="s">
        <v>1515</v>
      </c>
      <c r="S32" s="1495">
        <f t="shared" si="10"/>
        <v>100</v>
      </c>
      <c r="T32" s="1494" t="s">
        <v>1515</v>
      </c>
      <c r="U32" s="1495">
        <f t="shared" si="11"/>
        <v>100</v>
      </c>
      <c r="V32" s="1494" t="s">
        <v>1515</v>
      </c>
      <c r="W32" s="1495">
        <f t="shared" si="12"/>
        <v>100</v>
      </c>
      <c r="X32" s="1489"/>
      <c r="Y32" s="3414"/>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4"/>
      <c r="Q33" s="912"/>
      <c r="R33" s="1494"/>
      <c r="S33" s="1495"/>
      <c r="T33" s="1494"/>
      <c r="U33" s="1495"/>
      <c r="V33" s="1494"/>
      <c r="W33" s="1495"/>
      <c r="X33" s="1489"/>
      <c r="Y33" s="3414"/>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4"/>
      <c r="Q34" s="912" t="str">
        <f t="shared" si="8"/>
        <v>土地级别</v>
      </c>
      <c r="R34" s="1494" t="s">
        <v>1515</v>
      </c>
      <c r="S34" s="1495">
        <f t="shared" si="10"/>
        <v>100</v>
      </c>
      <c r="T34" s="1494" t="s">
        <v>1515</v>
      </c>
      <c r="U34" s="1495">
        <f t="shared" si="11"/>
        <v>100</v>
      </c>
      <c r="V34" s="1494" t="s">
        <v>1515</v>
      </c>
      <c r="W34" s="1495">
        <f t="shared" si="12"/>
        <v>100</v>
      </c>
      <c r="X34" s="1489"/>
      <c r="Y34" s="3414"/>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4"/>
      <c r="Q35" s="912">
        <f t="shared" si="8"/>
        <v>111</v>
      </c>
      <c r="R35" s="1494" t="s">
        <v>1515</v>
      </c>
      <c r="S35" s="1495">
        <f t="shared" si="10"/>
        <v>100</v>
      </c>
      <c r="T35" s="1494" t="s">
        <v>1515</v>
      </c>
      <c r="U35" s="1495">
        <f t="shared" si="11"/>
        <v>100</v>
      </c>
      <c r="V35" s="1494" t="s">
        <v>1515</v>
      </c>
      <c r="W35" s="1495">
        <f t="shared" si="12"/>
        <v>100</v>
      </c>
      <c r="X35" s="1489"/>
      <c r="Y35" s="3414"/>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15"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15"/>
      <c r="Q37" s="912">
        <f t="shared" si="8"/>
        <v>111</v>
      </c>
      <c r="R37" s="1496" t="s">
        <v>1515</v>
      </c>
      <c r="S37" s="1497">
        <f t="shared" si="10"/>
        <v>100</v>
      </c>
      <c r="T37" s="1496" t="s">
        <v>1515</v>
      </c>
      <c r="U37" s="1497">
        <f t="shared" si="11"/>
        <v>100</v>
      </c>
      <c r="V37" s="1496" t="s">
        <v>1515</v>
      </c>
      <c r="W37" s="1497">
        <f t="shared" si="12"/>
        <v>100</v>
      </c>
      <c r="X37" s="1498"/>
      <c r="Y37" s="3415"/>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15"/>
      <c r="Q38" s="912" t="str">
        <f t="shared" si="8"/>
        <v>宗地面积</v>
      </c>
      <c r="R38" s="1494" t="s">
        <v>1515</v>
      </c>
      <c r="S38" s="1495" t="e">
        <f t="shared" si="10"/>
        <v>#N/A</v>
      </c>
      <c r="T38" s="1494" t="s">
        <v>1515</v>
      </c>
      <c r="U38" s="1495" t="e">
        <f t="shared" si="11"/>
        <v>#N/A</v>
      </c>
      <c r="V38" s="1494" t="s">
        <v>1515</v>
      </c>
      <c r="W38" s="1495" t="e">
        <f t="shared" si="12"/>
        <v>#N/A</v>
      </c>
      <c r="X38" s="1489"/>
      <c r="Y38" s="3415"/>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15"/>
      <c r="Q39" s="912" t="str">
        <f t="shared" ref="Q39:Q45" si="14">B39</f>
        <v>宗地形状</v>
      </c>
      <c r="R39" s="1494" t="s">
        <v>1515</v>
      </c>
      <c r="S39" s="1495">
        <f t="shared" si="10"/>
        <v>100</v>
      </c>
      <c r="T39" s="1494" t="s">
        <v>1515</v>
      </c>
      <c r="U39" s="1495">
        <f t="shared" si="11"/>
        <v>100</v>
      </c>
      <c r="V39" s="1494" t="s">
        <v>1515</v>
      </c>
      <c r="W39" s="1495">
        <f t="shared" si="12"/>
        <v>100</v>
      </c>
      <c r="X39" s="1489"/>
      <c r="Y39" s="3415"/>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15"/>
      <c r="Q40" s="912" t="str">
        <f t="shared" si="14"/>
        <v>临街宽度及深度</v>
      </c>
      <c r="R40" s="1494" t="s">
        <v>1515</v>
      </c>
      <c r="S40" s="1495">
        <f t="shared" si="10"/>
        <v>100</v>
      </c>
      <c r="T40" s="1494" t="s">
        <v>1515</v>
      </c>
      <c r="U40" s="1495">
        <f t="shared" si="11"/>
        <v>100</v>
      </c>
      <c r="V40" s="1494" t="s">
        <v>1515</v>
      </c>
      <c r="W40" s="1495">
        <f t="shared" si="12"/>
        <v>100</v>
      </c>
      <c r="X40" s="1489"/>
      <c r="Y40" s="3415"/>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15"/>
      <c r="Q41" s="912" t="str">
        <f t="shared" si="14"/>
        <v>宗地开发程度</v>
      </c>
      <c r="R41" s="1490" t="s">
        <v>1515</v>
      </c>
      <c r="S41" s="1491">
        <f t="shared" si="10"/>
        <v>100</v>
      </c>
      <c r="T41" s="1490" t="s">
        <v>1515</v>
      </c>
      <c r="U41" s="1491">
        <f t="shared" si="11"/>
        <v>100</v>
      </c>
      <c r="V41" s="1490" t="s">
        <v>1515</v>
      </c>
      <c r="W41" s="1491">
        <f t="shared" si="12"/>
        <v>100</v>
      </c>
      <c r="X41" s="1492"/>
      <c r="Y41" s="3415"/>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15" t="s">
        <v>1535</v>
      </c>
      <c r="Q42" s="912" t="str">
        <f t="shared" si="14"/>
        <v>工程地质条件</v>
      </c>
      <c r="R42" s="1494" t="s">
        <v>1515</v>
      </c>
      <c r="S42" s="1495">
        <f t="shared" si="10"/>
        <v>100</v>
      </c>
      <c r="T42" s="1494" t="s">
        <v>1515</v>
      </c>
      <c r="U42" s="1495">
        <f t="shared" si="11"/>
        <v>100</v>
      </c>
      <c r="V42" s="1494" t="s">
        <v>1515</v>
      </c>
      <c r="W42" s="1495">
        <f t="shared" si="12"/>
        <v>100</v>
      </c>
      <c r="X42" s="1489"/>
      <c r="Y42" s="3415"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15"/>
      <c r="Q43" s="912">
        <f t="shared" si="14"/>
        <v>111</v>
      </c>
      <c r="R43" s="1494" t="s">
        <v>1515</v>
      </c>
      <c r="S43" s="1495">
        <f t="shared" si="10"/>
        <v>100</v>
      </c>
      <c r="T43" s="1494" t="s">
        <v>1515</v>
      </c>
      <c r="U43" s="1495">
        <f t="shared" si="11"/>
        <v>100</v>
      </c>
      <c r="V43" s="1494" t="s">
        <v>1515</v>
      </c>
      <c r="W43" s="1495">
        <f t="shared" si="12"/>
        <v>100</v>
      </c>
      <c r="X43" s="1489"/>
      <c r="Y43" s="3415"/>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15"/>
      <c r="Q44" s="912">
        <f t="shared" si="14"/>
        <v>111</v>
      </c>
      <c r="R44" s="1494" t="s">
        <v>1515</v>
      </c>
      <c r="S44" s="1495">
        <f t="shared" si="10"/>
        <v>100</v>
      </c>
      <c r="T44" s="1494" t="s">
        <v>1515</v>
      </c>
      <c r="U44" s="1495">
        <f t="shared" si="11"/>
        <v>100</v>
      </c>
      <c r="V44" s="1494" t="s">
        <v>1515</v>
      </c>
      <c r="W44" s="1495">
        <f t="shared" si="12"/>
        <v>100</v>
      </c>
      <c r="X44" s="1489"/>
      <c r="Y44" s="3415"/>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15"/>
      <c r="Q45" s="912">
        <f t="shared" si="14"/>
        <v>111</v>
      </c>
      <c r="R45" s="1496" t="s">
        <v>1515</v>
      </c>
      <c r="S45" s="1497">
        <f t="shared" si="10"/>
        <v>100</v>
      </c>
      <c r="T45" s="1496" t="s">
        <v>1515</v>
      </c>
      <c r="U45" s="1497">
        <f t="shared" si="11"/>
        <v>100</v>
      </c>
      <c r="V45" s="1496" t="s">
        <v>1515</v>
      </c>
      <c r="W45" s="1497">
        <f t="shared" si="12"/>
        <v>100</v>
      </c>
      <c r="X45" s="1498"/>
      <c r="Y45" s="3415"/>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405" t="str">
        <f>A46</f>
        <v>成交单价</v>
      </c>
      <c r="Q46" s="3405"/>
      <c r="R46" s="3406">
        <f>E46</f>
        <v>0</v>
      </c>
      <c r="S46" s="3406"/>
      <c r="T46" s="3406">
        <f>G46</f>
        <v>0</v>
      </c>
      <c r="U46" s="3406"/>
      <c r="V46" s="3406">
        <f>I46</f>
        <v>0</v>
      </c>
      <c r="W46" s="3406"/>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5" t="str">
        <f>A47</f>
        <v>比较价值（元/平方米）</v>
      </c>
      <c r="Q47" s="3405"/>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17" t="str">
        <f>A48</f>
        <v>估价对象XX用房的比较价值（楼面单价，元/平方米）</v>
      </c>
      <c r="Q48" s="341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390" t="s">
        <v>1661</v>
      </c>
      <c r="H55" s="3460"/>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148.99</v>
      </c>
      <c r="F56" s="1619" t="e">
        <f t="shared" ref="F56:F64" si="15">ROUND(B56*E56/10000,0)</f>
        <v>#DIV/0!</v>
      </c>
      <c r="G56" s="3407"/>
      <c r="H56" s="3405"/>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148.99</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2025-9-1</v>
      </c>
      <c r="D67" s="1435">
        <f>EDATE(C67,-3)</f>
        <v>45809</v>
      </c>
      <c r="E67" s="1435">
        <f>EDATE(D67,-3)</f>
        <v>45717</v>
      </c>
      <c r="F67" s="1435">
        <f t="shared" ref="F67:O67" si="18">EDATE(E67,-3)</f>
        <v>45627</v>
      </c>
      <c r="G67" s="1435">
        <f t="shared" si="18"/>
        <v>45536</v>
      </c>
      <c r="H67" s="1435">
        <f t="shared" si="18"/>
        <v>45444</v>
      </c>
      <c r="I67" s="1435">
        <f t="shared" si="18"/>
        <v>45352</v>
      </c>
      <c r="J67" s="1435">
        <f t="shared" si="18"/>
        <v>45261</v>
      </c>
      <c r="K67" s="1435">
        <f t="shared" si="18"/>
        <v>45170</v>
      </c>
      <c r="L67" s="1435">
        <f t="shared" si="18"/>
        <v>45078</v>
      </c>
      <c r="M67" s="1435">
        <f t="shared" si="18"/>
        <v>44986</v>
      </c>
      <c r="N67" s="1435">
        <f t="shared" si="18"/>
        <v>44896</v>
      </c>
      <c r="O67" s="1435">
        <f t="shared" si="18"/>
        <v>44805</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463" t="s">
        <v>1685</v>
      </c>
      <c r="D6" s="3464"/>
      <c r="E6" s="3465" t="s">
        <v>1685</v>
      </c>
      <c r="F6" s="3466"/>
      <c r="G6" s="3463" t="s">
        <v>1685</v>
      </c>
      <c r="H6" s="3464"/>
      <c r="I6" s="3463" t="s">
        <v>1685</v>
      </c>
      <c r="J6" s="3464"/>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45909</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124</v>
      </c>
      <c r="G10" s="1323"/>
      <c r="H10" s="1324">
        <f>ROUND(100/'数据-取费表'!G16,0)</f>
        <v>124</v>
      </c>
      <c r="I10" s="1323"/>
      <c r="J10" s="1324">
        <f>ROUND(100/'数据-取费表'!G16,0)</f>
        <v>124</v>
      </c>
      <c r="K10" s="1452"/>
      <c r="L10" s="1453"/>
      <c r="M10" s="1454"/>
      <c r="N10" s="1454"/>
      <c r="O10" s="1455"/>
      <c r="P10" s="3405"/>
      <c r="Q10" s="1080" t="str">
        <f t="shared" si="6"/>
        <v>土地使用年限（年）</v>
      </c>
      <c r="R10" s="1490" t="s">
        <v>1515</v>
      </c>
      <c r="S10" s="1491">
        <f t="shared" si="0"/>
        <v>124</v>
      </c>
      <c r="T10" s="1490" t="s">
        <v>1515</v>
      </c>
      <c r="U10" s="1491">
        <f t="shared" si="1"/>
        <v>124</v>
      </c>
      <c r="V10" s="1490" t="s">
        <v>1515</v>
      </c>
      <c r="W10" s="1491">
        <f t="shared" si="2"/>
        <v>124</v>
      </c>
      <c r="X10" s="1492"/>
      <c r="Y10" s="3355"/>
      <c r="Z10" s="1501" t="str">
        <f t="shared" si="7"/>
        <v>土地使用年限（年）</v>
      </c>
      <c r="AA10" s="1501">
        <f t="shared" si="3"/>
        <v>0.80645161290322576</v>
      </c>
      <c r="AB10" s="1501">
        <f t="shared" si="4"/>
        <v>0.80645161290322576</v>
      </c>
      <c r="AC10" s="1501">
        <f t="shared" si="5"/>
        <v>0.80645161290322576</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4"/>
      <c r="Q19" s="912" t="str">
        <f t="shared" ref="Q19:Q34" si="8">B19</f>
        <v>区域土地利用方向</v>
      </c>
      <c r="R19" s="1494" t="s">
        <v>1515</v>
      </c>
      <c r="S19" s="1495">
        <f>F19</f>
        <v>100</v>
      </c>
      <c r="T19" s="1494" t="s">
        <v>1515</v>
      </c>
      <c r="U19" s="1495">
        <f>H19</f>
        <v>100</v>
      </c>
      <c r="V19" s="1494" t="s">
        <v>1515</v>
      </c>
      <c r="W19" s="1495">
        <f>J19</f>
        <v>100</v>
      </c>
      <c r="X19" s="1489"/>
      <c r="Y19" s="3414"/>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4"/>
      <c r="Q20" s="912"/>
      <c r="R20" s="1494"/>
      <c r="S20" s="1495"/>
      <c r="T20" s="1494"/>
      <c r="U20" s="1495"/>
      <c r="V20" s="1494"/>
      <c r="W20" s="1495"/>
      <c r="X20" s="1489"/>
      <c r="Y20" s="3414"/>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4"/>
      <c r="Q21" s="912" t="str">
        <f t="shared" si="8"/>
        <v>环境状况</v>
      </c>
      <c r="R21" s="1494" t="s">
        <v>1515</v>
      </c>
      <c r="S21" s="1495">
        <f>F21</f>
        <v>100</v>
      </c>
      <c r="T21" s="1494" t="s">
        <v>1515</v>
      </c>
      <c r="U21" s="1495">
        <f>H21</f>
        <v>100</v>
      </c>
      <c r="V21" s="1494" t="s">
        <v>1515</v>
      </c>
      <c r="W21" s="1495">
        <f>J21</f>
        <v>100</v>
      </c>
      <c r="X21" s="1489"/>
      <c r="Y21" s="3414"/>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4"/>
      <c r="Q23" s="1080" t="str">
        <f t="shared" si="8"/>
        <v>公共配套设施</v>
      </c>
      <c r="R23" s="1490" t="s">
        <v>1515</v>
      </c>
      <c r="S23" s="1491">
        <f>F23</f>
        <v>100</v>
      </c>
      <c r="T23" s="1490" t="s">
        <v>1515</v>
      </c>
      <c r="U23" s="1491">
        <f>H23</f>
        <v>100</v>
      </c>
      <c r="V23" s="1490" t="s">
        <v>1515</v>
      </c>
      <c r="W23" s="1491">
        <f>J23</f>
        <v>100</v>
      </c>
      <c r="X23" s="1492"/>
      <c r="Y23" s="3414"/>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4"/>
      <c r="Q24" s="1080"/>
      <c r="R24" s="1490"/>
      <c r="S24" s="1491"/>
      <c r="T24" s="1490"/>
      <c r="U24" s="1491"/>
      <c r="V24" s="1490"/>
      <c r="W24" s="1491"/>
      <c r="X24" s="1492"/>
      <c r="Y24" s="3414"/>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4"/>
      <c r="Q25" s="1080" t="str">
        <f t="shared" ref="Q25" si="9">B25</f>
        <v>基础设施水平</v>
      </c>
      <c r="R25" s="1490" t="s">
        <v>1515</v>
      </c>
      <c r="S25" s="1491">
        <f>F25</f>
        <v>100</v>
      </c>
      <c r="T25" s="1490" t="s">
        <v>1515</v>
      </c>
      <c r="U25" s="1491">
        <f>H25</f>
        <v>100</v>
      </c>
      <c r="V25" s="1490" t="s">
        <v>1515</v>
      </c>
      <c r="W25" s="1491">
        <f>J25</f>
        <v>100</v>
      </c>
      <c r="X25" s="1492"/>
      <c r="Y25" s="3414"/>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4"/>
      <c r="Q26" s="1080"/>
      <c r="R26" s="1490"/>
      <c r="S26" s="1491"/>
      <c r="T26" s="1490"/>
      <c r="U26" s="1491"/>
      <c r="V26" s="1490"/>
      <c r="W26" s="1491"/>
      <c r="X26" s="1492"/>
      <c r="Y26" s="3414"/>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4"/>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4"/>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4"/>
      <c r="Q28" s="912" t="str">
        <f t="shared" si="8"/>
        <v>毗邻道路的类型与等级</v>
      </c>
      <c r="R28" s="1494" t="s">
        <v>1515</v>
      </c>
      <c r="S28" s="1495">
        <f t="shared" si="10"/>
        <v>100</v>
      </c>
      <c r="T28" s="1494" t="s">
        <v>1515</v>
      </c>
      <c r="U28" s="1495">
        <f t="shared" si="11"/>
        <v>100</v>
      </c>
      <c r="V28" s="1494" t="s">
        <v>1515</v>
      </c>
      <c r="W28" s="1495">
        <f t="shared" si="12"/>
        <v>100</v>
      </c>
      <c r="X28" s="1489"/>
      <c r="Y28" s="3414"/>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4"/>
      <c r="Q29" s="912"/>
      <c r="R29" s="1494"/>
      <c r="S29" s="1495"/>
      <c r="T29" s="1494"/>
      <c r="U29" s="1495"/>
      <c r="V29" s="1494"/>
      <c r="W29" s="1495"/>
      <c r="X29" s="1489"/>
      <c r="Y29" s="3414"/>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4"/>
      <c r="Q30" s="912" t="str">
        <f t="shared" si="8"/>
        <v>土地级别</v>
      </c>
      <c r="R30" s="1494" t="s">
        <v>1515</v>
      </c>
      <c r="S30" s="1495">
        <f t="shared" si="10"/>
        <v>100</v>
      </c>
      <c r="T30" s="1494" t="s">
        <v>1515</v>
      </c>
      <c r="U30" s="1495">
        <f t="shared" si="11"/>
        <v>100</v>
      </c>
      <c r="V30" s="1494" t="s">
        <v>1515</v>
      </c>
      <c r="W30" s="1495">
        <f t="shared" si="12"/>
        <v>100</v>
      </c>
      <c r="X30" s="1489"/>
      <c r="Y30" s="3414"/>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4"/>
      <c r="Q31" s="912">
        <f t="shared" si="8"/>
        <v>111</v>
      </c>
      <c r="R31" s="1494" t="s">
        <v>1515</v>
      </c>
      <c r="S31" s="1495">
        <f t="shared" si="10"/>
        <v>100</v>
      </c>
      <c r="T31" s="1494" t="s">
        <v>1515</v>
      </c>
      <c r="U31" s="1495">
        <f t="shared" si="11"/>
        <v>100</v>
      </c>
      <c r="V31" s="1494" t="s">
        <v>1515</v>
      </c>
      <c r="W31" s="1495">
        <f t="shared" si="12"/>
        <v>100</v>
      </c>
      <c r="X31" s="1489"/>
      <c r="Y31" s="3414"/>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15"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15"/>
      <c r="Q33" s="912">
        <f t="shared" si="8"/>
        <v>111</v>
      </c>
      <c r="R33" s="1496" t="s">
        <v>1515</v>
      </c>
      <c r="S33" s="1497">
        <f t="shared" si="10"/>
        <v>100</v>
      </c>
      <c r="T33" s="1496" t="s">
        <v>1515</v>
      </c>
      <c r="U33" s="1497">
        <f t="shared" si="11"/>
        <v>100</v>
      </c>
      <c r="V33" s="1496" t="s">
        <v>1515</v>
      </c>
      <c r="W33" s="1497">
        <f t="shared" si="12"/>
        <v>100</v>
      </c>
      <c r="X33" s="1498"/>
      <c r="Y33" s="3415"/>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15"/>
      <c r="Q34" s="912" t="str">
        <f t="shared" si="8"/>
        <v>宗地面积</v>
      </c>
      <c r="R34" s="1494" t="s">
        <v>1515</v>
      </c>
      <c r="S34" s="1495" t="e">
        <f t="shared" si="10"/>
        <v>#N/A</v>
      </c>
      <c r="T34" s="1494" t="s">
        <v>1515</v>
      </c>
      <c r="U34" s="1495" t="e">
        <f t="shared" si="11"/>
        <v>#N/A</v>
      </c>
      <c r="V34" s="1494" t="s">
        <v>1515</v>
      </c>
      <c r="W34" s="1495" t="e">
        <f t="shared" si="12"/>
        <v>#N/A</v>
      </c>
      <c r="X34" s="1489"/>
      <c r="Y34" s="3415"/>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15"/>
      <c r="Q35" s="912" t="str">
        <f t="shared" ref="Q35:Q40" si="14">B35</f>
        <v>宗地形状</v>
      </c>
      <c r="R35" s="1494" t="s">
        <v>1515</v>
      </c>
      <c r="S35" s="1495">
        <f t="shared" si="10"/>
        <v>100</v>
      </c>
      <c r="T35" s="1494" t="s">
        <v>1515</v>
      </c>
      <c r="U35" s="1495">
        <f t="shared" si="11"/>
        <v>100</v>
      </c>
      <c r="V35" s="1494" t="s">
        <v>1515</v>
      </c>
      <c r="W35" s="1495">
        <f t="shared" si="12"/>
        <v>100</v>
      </c>
      <c r="X35" s="1489"/>
      <c r="Y35" s="3415"/>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15"/>
      <c r="Q36" s="912" t="str">
        <f t="shared" si="14"/>
        <v>宗地开发程度</v>
      </c>
      <c r="R36" s="1490" t="s">
        <v>1515</v>
      </c>
      <c r="S36" s="1491">
        <f t="shared" si="10"/>
        <v>100</v>
      </c>
      <c r="T36" s="1490" t="s">
        <v>1515</v>
      </c>
      <c r="U36" s="1491">
        <f t="shared" si="11"/>
        <v>100</v>
      </c>
      <c r="V36" s="1490" t="s">
        <v>1515</v>
      </c>
      <c r="W36" s="1491">
        <f t="shared" si="12"/>
        <v>100</v>
      </c>
      <c r="X36" s="1492"/>
      <c r="Y36" s="3415"/>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15" t="s">
        <v>1535</v>
      </c>
      <c r="Q37" s="912" t="str">
        <f t="shared" si="14"/>
        <v>工程地质条件</v>
      </c>
      <c r="R37" s="1494" t="s">
        <v>1515</v>
      </c>
      <c r="S37" s="1495">
        <f t="shared" si="10"/>
        <v>100</v>
      </c>
      <c r="T37" s="1494" t="s">
        <v>1515</v>
      </c>
      <c r="U37" s="1495">
        <f t="shared" si="11"/>
        <v>100</v>
      </c>
      <c r="V37" s="1494" t="s">
        <v>1515</v>
      </c>
      <c r="W37" s="1495">
        <f t="shared" si="12"/>
        <v>100</v>
      </c>
      <c r="X37" s="1489"/>
      <c r="Y37" s="3415"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15"/>
      <c r="Q38" s="912">
        <f t="shared" si="14"/>
        <v>111</v>
      </c>
      <c r="R38" s="1494" t="s">
        <v>1515</v>
      </c>
      <c r="S38" s="1495">
        <f t="shared" si="10"/>
        <v>100</v>
      </c>
      <c r="T38" s="1494" t="s">
        <v>1515</v>
      </c>
      <c r="U38" s="1495">
        <f t="shared" si="11"/>
        <v>100</v>
      </c>
      <c r="V38" s="1494" t="s">
        <v>1515</v>
      </c>
      <c r="W38" s="1495">
        <f t="shared" si="12"/>
        <v>100</v>
      </c>
      <c r="X38" s="1489"/>
      <c r="Y38" s="3415"/>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15"/>
      <c r="Q39" s="912">
        <f t="shared" si="14"/>
        <v>111</v>
      </c>
      <c r="R39" s="1494" t="s">
        <v>1515</v>
      </c>
      <c r="S39" s="1495">
        <f t="shared" si="10"/>
        <v>100</v>
      </c>
      <c r="T39" s="1494" t="s">
        <v>1515</v>
      </c>
      <c r="U39" s="1495">
        <f t="shared" si="11"/>
        <v>100</v>
      </c>
      <c r="V39" s="1494" t="s">
        <v>1515</v>
      </c>
      <c r="W39" s="1495">
        <f t="shared" si="12"/>
        <v>100</v>
      </c>
      <c r="X39" s="1489"/>
      <c r="Y39" s="3415"/>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15"/>
      <c r="Q40" s="912">
        <f t="shared" si="14"/>
        <v>111</v>
      </c>
      <c r="R40" s="1496" t="s">
        <v>1515</v>
      </c>
      <c r="S40" s="1497">
        <f t="shared" si="10"/>
        <v>100</v>
      </c>
      <c r="T40" s="1496" t="s">
        <v>1515</v>
      </c>
      <c r="U40" s="1497">
        <f t="shared" si="11"/>
        <v>100</v>
      </c>
      <c r="V40" s="1496" t="s">
        <v>1515</v>
      </c>
      <c r="W40" s="1497">
        <f t="shared" si="12"/>
        <v>100</v>
      </c>
      <c r="X40" s="1498"/>
      <c r="Y40" s="3415"/>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405" t="str">
        <f>A41</f>
        <v>成交单价</v>
      </c>
      <c r="Q41" s="3405"/>
      <c r="R41" s="3406">
        <f>E41</f>
        <v>0</v>
      </c>
      <c r="S41" s="3406"/>
      <c r="T41" s="3406">
        <f>G41</f>
        <v>0</v>
      </c>
      <c r="U41" s="3406"/>
      <c r="V41" s="3406">
        <f>I41</f>
        <v>0</v>
      </c>
      <c r="W41" s="3406"/>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5" t="str">
        <f>A42</f>
        <v>比较价值（元/平方米）</v>
      </c>
      <c r="Q42" s="3405"/>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17" t="str">
        <f>A43</f>
        <v>估价对象XX用房的比较价值（楼面单价，元/平方米）</v>
      </c>
      <c r="Q43" s="341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390" t="s">
        <v>1661</v>
      </c>
      <c r="H50" s="3460"/>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148.99</v>
      </c>
      <c r="F51" s="1416" t="e">
        <f t="shared" ref="F51:F60" si="15">ROUND(B51*E51/10000,0)</f>
        <v>#DIV/0!</v>
      </c>
      <c r="G51" s="3407"/>
      <c r="H51" s="3405"/>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2025-9-1</v>
      </c>
      <c r="D63" s="1435">
        <f>EDATE(C63,-3)</f>
        <v>45809</v>
      </c>
      <c r="E63" s="1435">
        <f>EDATE(D63,-3)</f>
        <v>45717</v>
      </c>
      <c r="F63" s="1435">
        <f t="shared" ref="F63:O63" si="18">EDATE(E63,-3)</f>
        <v>45627</v>
      </c>
      <c r="G63" s="1435">
        <f t="shared" si="18"/>
        <v>45536</v>
      </c>
      <c r="H63" s="1435">
        <f t="shared" si="18"/>
        <v>45444</v>
      </c>
      <c r="I63" s="1435">
        <f t="shared" si="18"/>
        <v>45352</v>
      </c>
      <c r="J63" s="1435">
        <f t="shared" si="18"/>
        <v>45261</v>
      </c>
      <c r="K63" s="1435">
        <f t="shared" si="18"/>
        <v>45170</v>
      </c>
      <c r="L63" s="1435">
        <f t="shared" si="18"/>
        <v>45078</v>
      </c>
      <c r="M63" s="1435">
        <f t="shared" si="18"/>
        <v>44986</v>
      </c>
      <c r="N63" s="1435">
        <f t="shared" si="18"/>
        <v>44896</v>
      </c>
      <c r="O63" s="1435">
        <f t="shared" si="18"/>
        <v>44805</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71</v>
      </c>
      <c r="C2" s="1169" t="s">
        <v>1709</v>
      </c>
      <c r="D2" s="1169" t="s">
        <v>1710</v>
      </c>
      <c r="E2" s="1171">
        <f ca="1">SUMIF(E6:E13,"&lt;&gt;#ref!",E6:E13)</f>
        <v>148.99</v>
      </c>
      <c r="F2" s="1168"/>
      <c r="G2" s="1168"/>
      <c r="H2" s="1168"/>
      <c r="I2" s="1168"/>
      <c r="J2" s="1168"/>
      <c r="K2" s="1168"/>
      <c r="L2" s="1168"/>
      <c r="M2" s="1168"/>
      <c r="N2" s="1168"/>
      <c r="O2" s="1168"/>
      <c r="P2" s="1168"/>
    </row>
    <row r="3" spans="1:16" ht="15.75">
      <c r="A3" s="1169" t="s">
        <v>1711</v>
      </c>
      <c r="B3" s="1170">
        <f ca="1">ROUND(B2*10000/E2,0)</f>
        <v>4765</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71</v>
      </c>
      <c r="C6" s="1169" t="s">
        <v>1709</v>
      </c>
      <c r="D6" s="1168"/>
      <c r="E6" s="1171">
        <f ca="1">SUMIF(INDIRECT("'"&amp;A6&amp;"'"&amp;"!C:C"),"建筑面积",INDIRECT("'"&amp;A6&amp;"'"&amp;"!D:D"))</f>
        <v>148.99</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67" t="s">
        <v>229</v>
      </c>
      <c r="B20" s="3473" t="s">
        <v>1923</v>
      </c>
      <c r="C20" s="750" t="s">
        <v>244</v>
      </c>
      <c r="D20" s="750"/>
      <c r="E20" s="751">
        <v>1</v>
      </c>
      <c r="F20" s="752" t="s">
        <v>1924</v>
      </c>
      <c r="G20" s="752"/>
    </row>
    <row r="21" spans="1:13" ht="19.5" customHeight="1">
      <c r="A21" s="3468"/>
      <c r="B21" s="3474"/>
      <c r="C21" s="753" t="s">
        <v>259</v>
      </c>
      <c r="D21" s="753"/>
      <c r="E21" s="754">
        <v>1</v>
      </c>
      <c r="F21" s="752" t="s">
        <v>1925</v>
      </c>
      <c r="G21" s="752"/>
    </row>
    <row r="22" spans="1:13" ht="19.5" customHeight="1">
      <c r="A22" s="3468"/>
      <c r="B22" s="3474"/>
      <c r="C22" s="753" t="s">
        <v>270</v>
      </c>
      <c r="D22" s="753"/>
      <c r="E22" s="754">
        <v>0.9</v>
      </c>
      <c r="F22" s="752" t="s">
        <v>1926</v>
      </c>
      <c r="G22" s="752"/>
    </row>
    <row r="23" spans="1:13" ht="19.5" customHeight="1">
      <c r="A23" s="3468"/>
      <c r="B23" s="3474"/>
      <c r="C23" s="753" t="s">
        <v>281</v>
      </c>
      <c r="D23" s="753"/>
      <c r="E23" s="754">
        <v>0.9</v>
      </c>
      <c r="F23" s="752" t="s">
        <v>1927</v>
      </c>
      <c r="G23" s="752"/>
    </row>
    <row r="24" spans="1:13" ht="19.5" customHeight="1">
      <c r="A24" s="3468"/>
      <c r="B24" s="3474"/>
      <c r="C24" s="753" t="s">
        <v>290</v>
      </c>
      <c r="D24" s="753"/>
      <c r="E24" s="754">
        <v>0.8</v>
      </c>
      <c r="F24" s="752" t="s">
        <v>1928</v>
      </c>
      <c r="G24" s="752"/>
    </row>
    <row r="25" spans="1:13" ht="19.5" customHeight="1">
      <c r="A25" s="3468"/>
      <c r="B25" s="3474"/>
      <c r="C25" s="753" t="s">
        <v>298</v>
      </c>
      <c r="D25" s="753"/>
      <c r="E25" s="754">
        <v>0.8</v>
      </c>
      <c r="F25" s="752"/>
      <c r="G25" s="752"/>
    </row>
    <row r="26" spans="1:13" ht="19.5" customHeight="1">
      <c r="A26" s="3468"/>
      <c r="B26" s="3474"/>
      <c r="C26" s="753" t="s">
        <v>306</v>
      </c>
      <c r="D26" s="753"/>
      <c r="E26" s="754">
        <v>0.43</v>
      </c>
      <c r="F26" s="752"/>
      <c r="G26" s="752"/>
    </row>
    <row r="27" spans="1:13" ht="19.5" customHeight="1">
      <c r="A27" s="3469"/>
      <c r="B27" s="3475"/>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70" t="s">
        <v>231</v>
      </c>
      <c r="B29" s="3476" t="s">
        <v>231</v>
      </c>
      <c r="C29" s="762" t="s">
        <v>246</v>
      </c>
      <c r="D29" s="763"/>
      <c r="E29" s="751">
        <v>1</v>
      </c>
      <c r="F29" s="752" t="s">
        <v>1931</v>
      </c>
      <c r="G29" s="752"/>
    </row>
    <row r="30" spans="1:13" ht="19.5" customHeight="1">
      <c r="A30" s="3471"/>
      <c r="B30" s="3477"/>
      <c r="C30" s="764" t="s">
        <v>260</v>
      </c>
      <c r="D30" s="765"/>
      <c r="E30" s="754">
        <v>1</v>
      </c>
      <c r="F30" s="752" t="s">
        <v>1932</v>
      </c>
      <c r="G30" s="752"/>
    </row>
    <row r="31" spans="1:13" ht="19.5" customHeight="1">
      <c r="A31" s="3471"/>
      <c r="B31" s="3477"/>
      <c r="C31" s="764" t="s">
        <v>271</v>
      </c>
      <c r="D31" s="765"/>
      <c r="E31" s="754">
        <v>0.8</v>
      </c>
      <c r="F31" s="752" t="s">
        <v>1933</v>
      </c>
      <c r="G31" s="752"/>
    </row>
    <row r="32" spans="1:13" ht="19.5" customHeight="1">
      <c r="A32" s="3471"/>
      <c r="B32" s="3477"/>
      <c r="C32" s="764" t="s">
        <v>282</v>
      </c>
      <c r="D32" s="765"/>
      <c r="E32" s="754">
        <v>0.8</v>
      </c>
      <c r="F32" s="752" t="s">
        <v>1934</v>
      </c>
      <c r="G32" s="752"/>
    </row>
    <row r="33" spans="1:7" ht="19.5" customHeight="1">
      <c r="A33" s="3471"/>
      <c r="B33" s="3477"/>
      <c r="C33" s="764" t="s">
        <v>291</v>
      </c>
      <c r="D33" s="765"/>
      <c r="E33" s="754">
        <v>0.8</v>
      </c>
      <c r="F33" s="752" t="s">
        <v>1935</v>
      </c>
      <c r="G33" s="752"/>
    </row>
    <row r="34" spans="1:7" ht="19.5" customHeight="1">
      <c r="A34" s="3471"/>
      <c r="B34" s="3477"/>
      <c r="C34" s="764" t="s">
        <v>299</v>
      </c>
      <c r="D34" s="765"/>
      <c r="E34" s="754">
        <v>0.7</v>
      </c>
      <c r="F34" s="752" t="s">
        <v>1936</v>
      </c>
      <c r="G34" s="752"/>
    </row>
    <row r="35" spans="1:7" ht="19.5" customHeight="1">
      <c r="A35" s="3471"/>
      <c r="B35" s="3477"/>
      <c r="C35" s="764" t="s">
        <v>307</v>
      </c>
      <c r="D35" s="765"/>
      <c r="E35" s="754">
        <v>0.8</v>
      </c>
      <c r="F35" s="752" t="s">
        <v>1937</v>
      </c>
      <c r="G35" s="752"/>
    </row>
    <row r="36" spans="1:7" ht="19.5" customHeight="1">
      <c r="A36" s="3471"/>
      <c r="B36" s="3477"/>
      <c r="C36" s="764" t="s">
        <v>314</v>
      </c>
      <c r="D36" s="765"/>
      <c r="E36" s="754">
        <v>0.6</v>
      </c>
      <c r="F36" s="752" t="s">
        <v>1938</v>
      </c>
      <c r="G36" s="752"/>
    </row>
    <row r="37" spans="1:7" ht="19.5" customHeight="1">
      <c r="A37" s="3471"/>
      <c r="B37" s="3477"/>
      <c r="C37" s="764" t="s">
        <v>320</v>
      </c>
      <c r="D37" s="765"/>
      <c r="E37" s="754">
        <v>0.2</v>
      </c>
      <c r="F37" s="752" t="s">
        <v>1939</v>
      </c>
      <c r="G37" s="752"/>
    </row>
    <row r="38" spans="1:7" ht="19.5" customHeight="1">
      <c r="A38" s="3471"/>
      <c r="B38" s="3477"/>
      <c r="C38" s="764" t="s">
        <v>326</v>
      </c>
      <c r="D38" s="765"/>
      <c r="E38" s="754">
        <v>0.2</v>
      </c>
      <c r="F38" s="752" t="s">
        <v>1940</v>
      </c>
      <c r="G38" s="752"/>
    </row>
    <row r="39" spans="1:7" ht="19.5" customHeight="1">
      <c r="A39" s="3471"/>
      <c r="B39" s="3478" t="s">
        <v>1941</v>
      </c>
      <c r="C39" s="764" t="s">
        <v>332</v>
      </c>
      <c r="D39" s="765"/>
      <c r="E39" s="754">
        <v>0.6</v>
      </c>
      <c r="F39" s="752" t="s">
        <v>1942</v>
      </c>
      <c r="G39" s="752"/>
    </row>
    <row r="40" spans="1:7" ht="19.5" customHeight="1">
      <c r="A40" s="3471"/>
      <c r="B40" s="3477"/>
      <c r="C40" s="764" t="s">
        <v>338</v>
      </c>
      <c r="D40" s="765"/>
      <c r="E40" s="754">
        <v>0.6</v>
      </c>
      <c r="F40" s="752" t="s">
        <v>1943</v>
      </c>
      <c r="G40" s="752"/>
    </row>
    <row r="41" spans="1:7" ht="19.5" customHeight="1">
      <c r="A41" s="3472"/>
      <c r="B41" s="3479"/>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67" t="s">
        <v>233</v>
      </c>
      <c r="B43" s="3476" t="s">
        <v>1946</v>
      </c>
      <c r="C43" s="762" t="s">
        <v>248</v>
      </c>
      <c r="D43" s="763"/>
      <c r="E43" s="751">
        <v>1</v>
      </c>
      <c r="F43" s="752" t="s">
        <v>1947</v>
      </c>
      <c r="G43" s="752"/>
    </row>
    <row r="44" spans="1:7" ht="19.5" customHeight="1">
      <c r="A44" s="3468"/>
      <c r="B44" s="3477"/>
      <c r="C44" s="764" t="s">
        <v>261</v>
      </c>
      <c r="D44" s="765"/>
      <c r="E44" s="754">
        <v>1</v>
      </c>
      <c r="F44" s="752" t="s">
        <v>1948</v>
      </c>
      <c r="G44" s="752"/>
    </row>
    <row r="45" spans="1:7" ht="19.5" customHeight="1">
      <c r="A45" s="3468"/>
      <c r="B45" s="3480"/>
      <c r="C45" s="764" t="s">
        <v>272</v>
      </c>
      <c r="D45" s="765"/>
      <c r="E45" s="754">
        <v>1.5</v>
      </c>
      <c r="F45" s="752" t="s">
        <v>1949</v>
      </c>
      <c r="G45" s="752"/>
    </row>
    <row r="46" spans="1:7" ht="19.5" customHeight="1">
      <c r="A46" s="3468"/>
      <c r="B46" s="753" t="s">
        <v>231</v>
      </c>
      <c r="C46" s="764" t="s">
        <v>283</v>
      </c>
      <c r="D46" s="765"/>
      <c r="E46" s="754">
        <v>2</v>
      </c>
      <c r="F46" s="752" t="s">
        <v>1950</v>
      </c>
      <c r="G46" s="752"/>
    </row>
    <row r="47" spans="1:7" ht="19.5" customHeight="1">
      <c r="A47" s="3468"/>
      <c r="B47" s="3478" t="s">
        <v>1951</v>
      </c>
      <c r="C47" s="764" t="s">
        <v>292</v>
      </c>
      <c r="D47" s="765"/>
      <c r="E47" s="754">
        <v>1</v>
      </c>
      <c r="F47" s="752" t="s">
        <v>1952</v>
      </c>
      <c r="G47" s="752"/>
    </row>
    <row r="48" spans="1:7" ht="19.5" customHeight="1">
      <c r="A48" s="3468"/>
      <c r="B48" s="3477"/>
      <c r="C48" s="764" t="s">
        <v>300</v>
      </c>
      <c r="D48" s="765"/>
      <c r="E48" s="754">
        <v>1</v>
      </c>
      <c r="F48" s="752" t="s">
        <v>1953</v>
      </c>
      <c r="G48" s="752"/>
    </row>
    <row r="49" spans="1:7" ht="19.5" customHeight="1">
      <c r="A49" s="3468"/>
      <c r="B49" s="3477"/>
      <c r="C49" s="764" t="s">
        <v>308</v>
      </c>
      <c r="D49" s="765"/>
      <c r="E49" s="754">
        <v>1</v>
      </c>
      <c r="F49" s="752" t="s">
        <v>1954</v>
      </c>
      <c r="G49" s="752"/>
    </row>
    <row r="50" spans="1:7" ht="19.5" customHeight="1">
      <c r="A50" s="3468"/>
      <c r="B50" s="3477"/>
      <c r="C50" s="764" t="s">
        <v>315</v>
      </c>
      <c r="D50" s="765"/>
      <c r="E50" s="754">
        <v>1</v>
      </c>
      <c r="F50" s="752" t="s">
        <v>1955</v>
      </c>
      <c r="G50" s="752"/>
    </row>
    <row r="51" spans="1:7" ht="19.5" customHeight="1">
      <c r="A51" s="3468"/>
      <c r="B51" s="3477"/>
      <c r="C51" s="764" t="s">
        <v>321</v>
      </c>
      <c r="D51" s="765"/>
      <c r="E51" s="754">
        <v>1</v>
      </c>
      <c r="F51" s="752" t="s">
        <v>1956</v>
      </c>
      <c r="G51" s="752"/>
    </row>
    <row r="52" spans="1:7" ht="19.5" customHeight="1">
      <c r="A52" s="3468"/>
      <c r="B52" s="3477"/>
      <c r="C52" s="764" t="s">
        <v>327</v>
      </c>
      <c r="D52" s="765"/>
      <c r="E52" s="754">
        <v>1</v>
      </c>
      <c r="F52" s="752" t="s">
        <v>1957</v>
      </c>
      <c r="G52" s="752"/>
    </row>
    <row r="53" spans="1:7" ht="19.5" customHeight="1">
      <c r="A53" s="3469"/>
      <c r="B53" s="3479"/>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78" t="s">
        <v>1969</v>
      </c>
      <c r="C75" s="742" t="s">
        <v>1970</v>
      </c>
      <c r="D75" s="742" t="s">
        <v>1971</v>
      </c>
      <c r="E75" s="753">
        <v>0.2</v>
      </c>
      <c r="F75" s="753">
        <v>25</v>
      </c>
    </row>
    <row r="76" spans="1:7" ht="24">
      <c r="A76" s="753">
        <v>2</v>
      </c>
      <c r="B76" s="3477"/>
      <c r="C76" s="742" t="s">
        <v>1972</v>
      </c>
      <c r="D76" s="742" t="s">
        <v>1973</v>
      </c>
      <c r="E76" s="753">
        <v>0.2</v>
      </c>
      <c r="F76" s="753">
        <v>25</v>
      </c>
    </row>
    <row r="77" spans="1:7" ht="24">
      <c r="A77" s="753">
        <v>3</v>
      </c>
      <c r="B77" s="3477"/>
      <c r="C77" s="742" t="s">
        <v>1974</v>
      </c>
      <c r="D77" s="742" t="s">
        <v>1975</v>
      </c>
      <c r="E77" s="753">
        <v>0.2</v>
      </c>
      <c r="F77" s="753">
        <v>25</v>
      </c>
    </row>
    <row r="78" spans="1:7" ht="13.5">
      <c r="A78" s="753">
        <v>4</v>
      </c>
      <c r="B78" s="3477"/>
      <c r="C78" s="742" t="s">
        <v>1976</v>
      </c>
      <c r="D78" s="742" t="s">
        <v>1977</v>
      </c>
      <c r="E78" s="753">
        <v>0.15</v>
      </c>
      <c r="F78" s="753">
        <v>20</v>
      </c>
    </row>
    <row r="79" spans="1:7" ht="24">
      <c r="A79" s="753">
        <v>5</v>
      </c>
      <c r="B79" s="3477"/>
      <c r="C79" s="742" t="s">
        <v>1978</v>
      </c>
      <c r="D79" s="742" t="s">
        <v>1979</v>
      </c>
      <c r="E79" s="753">
        <v>0.15</v>
      </c>
      <c r="F79" s="753">
        <v>20</v>
      </c>
    </row>
    <row r="80" spans="1:7" ht="24">
      <c r="A80" s="753">
        <v>6</v>
      </c>
      <c r="B80" s="3477"/>
      <c r="C80" s="742" t="s">
        <v>1980</v>
      </c>
      <c r="D80" s="742" t="s">
        <v>1981</v>
      </c>
      <c r="E80" s="753">
        <v>0.15</v>
      </c>
      <c r="F80" s="753">
        <v>20</v>
      </c>
    </row>
    <row r="81" spans="1:6" ht="24">
      <c r="A81" s="753">
        <v>7</v>
      </c>
      <c r="B81" s="3477"/>
      <c r="C81" s="742" t="s">
        <v>1982</v>
      </c>
      <c r="D81" s="742" t="s">
        <v>1983</v>
      </c>
      <c r="E81" s="753">
        <v>0.15</v>
      </c>
      <c r="F81" s="753">
        <v>20</v>
      </c>
    </row>
    <row r="82" spans="1:6" ht="24">
      <c r="A82" s="753">
        <v>8</v>
      </c>
      <c r="B82" s="3477"/>
      <c r="C82" s="742" t="s">
        <v>1984</v>
      </c>
      <c r="D82" s="742" t="s">
        <v>1985</v>
      </c>
      <c r="E82" s="753">
        <v>0.1</v>
      </c>
      <c r="F82" s="753">
        <v>15</v>
      </c>
    </row>
    <row r="83" spans="1:6" ht="24">
      <c r="A83" s="753">
        <v>9</v>
      </c>
      <c r="B83" s="3477"/>
      <c r="C83" s="742" t="s">
        <v>1986</v>
      </c>
      <c r="D83" s="742" t="s">
        <v>1987</v>
      </c>
      <c r="E83" s="753">
        <v>0.1</v>
      </c>
      <c r="F83" s="753">
        <v>15</v>
      </c>
    </row>
    <row r="84" spans="1:6" ht="24">
      <c r="A84" s="753">
        <v>10</v>
      </c>
      <c r="B84" s="3477"/>
      <c r="C84" s="742" t="s">
        <v>1988</v>
      </c>
      <c r="D84" s="742" t="s">
        <v>1989</v>
      </c>
      <c r="E84" s="753">
        <v>0.1</v>
      </c>
      <c r="F84" s="753">
        <v>15</v>
      </c>
    </row>
    <row r="85" spans="1:6" ht="24">
      <c r="A85" s="753">
        <v>11</v>
      </c>
      <c r="B85" s="3477"/>
      <c r="C85" s="742" t="s">
        <v>1990</v>
      </c>
      <c r="D85" s="742" t="s">
        <v>1991</v>
      </c>
      <c r="E85" s="753">
        <v>0.1</v>
      </c>
      <c r="F85" s="753">
        <v>15</v>
      </c>
    </row>
    <row r="86" spans="1:6" ht="24">
      <c r="A86" s="753">
        <v>12</v>
      </c>
      <c r="B86" s="3477"/>
      <c r="C86" s="742" t="s">
        <v>1992</v>
      </c>
      <c r="D86" s="742" t="s">
        <v>1993</v>
      </c>
      <c r="E86" s="753">
        <v>0.1</v>
      </c>
      <c r="F86" s="753">
        <v>15</v>
      </c>
    </row>
    <row r="87" spans="1:6" ht="13.5">
      <c r="A87" s="753">
        <v>13</v>
      </c>
      <c r="B87" s="3477"/>
      <c r="C87" s="742" t="s">
        <v>1994</v>
      </c>
      <c r="D87" s="742" t="s">
        <v>1995</v>
      </c>
      <c r="E87" s="753">
        <v>0.1</v>
      </c>
      <c r="F87" s="753">
        <v>15</v>
      </c>
    </row>
    <row r="88" spans="1:6" ht="13.5">
      <c r="A88" s="753">
        <v>14</v>
      </c>
      <c r="B88" s="3477"/>
      <c r="C88" s="742" t="s">
        <v>1996</v>
      </c>
      <c r="D88" s="742" t="s">
        <v>1997</v>
      </c>
      <c r="E88" s="753">
        <v>0.1</v>
      </c>
      <c r="F88" s="753">
        <v>15</v>
      </c>
    </row>
    <row r="89" spans="1:6" ht="13.5">
      <c r="A89" s="753">
        <v>15</v>
      </c>
      <c r="B89" s="3477"/>
      <c r="C89" s="742" t="s">
        <v>1998</v>
      </c>
      <c r="D89" s="742" t="s">
        <v>1999</v>
      </c>
      <c r="E89" s="753">
        <v>0.1</v>
      </c>
      <c r="F89" s="753">
        <v>15</v>
      </c>
    </row>
    <row r="90" spans="1:6" ht="24">
      <c r="A90" s="753">
        <v>16</v>
      </c>
      <c r="B90" s="3477"/>
      <c r="C90" s="742" t="s">
        <v>2000</v>
      </c>
      <c r="D90" s="742" t="s">
        <v>2001</v>
      </c>
      <c r="E90" s="753">
        <v>0.1</v>
      </c>
      <c r="F90" s="753">
        <v>15</v>
      </c>
    </row>
    <row r="91" spans="1:6" ht="24">
      <c r="A91" s="753">
        <v>17</v>
      </c>
      <c r="B91" s="3480"/>
      <c r="C91" s="742" t="s">
        <v>2002</v>
      </c>
      <c r="D91" s="742" t="s">
        <v>2003</v>
      </c>
      <c r="E91" s="753">
        <v>0.1</v>
      </c>
      <c r="F91" s="753">
        <v>15</v>
      </c>
    </row>
    <row r="92" spans="1:6" ht="13.5">
      <c r="A92" s="753">
        <v>18</v>
      </c>
      <c r="B92" s="3478" t="s">
        <v>2004</v>
      </c>
      <c r="C92" s="742" t="s">
        <v>2005</v>
      </c>
      <c r="D92" s="742" t="s">
        <v>2006</v>
      </c>
      <c r="E92" s="753">
        <v>0.2</v>
      </c>
      <c r="F92" s="753">
        <v>25</v>
      </c>
    </row>
    <row r="93" spans="1:6" ht="24">
      <c r="A93" s="753">
        <v>19</v>
      </c>
      <c r="B93" s="3477"/>
      <c r="C93" s="742" t="s">
        <v>2007</v>
      </c>
      <c r="D93" s="742" t="s">
        <v>2008</v>
      </c>
      <c r="E93" s="753">
        <v>0.2</v>
      </c>
      <c r="F93" s="753">
        <v>25</v>
      </c>
    </row>
    <row r="94" spans="1:6" ht="13.5">
      <c r="A94" s="753">
        <v>20</v>
      </c>
      <c r="B94" s="3477"/>
      <c r="C94" s="742" t="s">
        <v>2009</v>
      </c>
      <c r="D94" s="742" t="s">
        <v>2010</v>
      </c>
      <c r="E94" s="753">
        <v>0.15</v>
      </c>
      <c r="F94" s="753">
        <v>20</v>
      </c>
    </row>
    <row r="95" spans="1:6" ht="13.5">
      <c r="A95" s="753">
        <v>21</v>
      </c>
      <c r="B95" s="3477"/>
      <c r="C95" s="742" t="s">
        <v>2011</v>
      </c>
      <c r="D95" s="742" t="s">
        <v>2012</v>
      </c>
      <c r="E95" s="753">
        <v>0.15</v>
      </c>
      <c r="F95" s="753">
        <v>20</v>
      </c>
    </row>
    <row r="96" spans="1:6" ht="13.5">
      <c r="A96" s="753">
        <v>22</v>
      </c>
      <c r="B96" s="3477"/>
      <c r="C96" s="742" t="s">
        <v>2013</v>
      </c>
      <c r="D96" s="742" t="s">
        <v>2014</v>
      </c>
      <c r="E96" s="753">
        <v>0.15</v>
      </c>
      <c r="F96" s="753">
        <v>20</v>
      </c>
    </row>
    <row r="97" spans="1:6" ht="36">
      <c r="A97" s="753">
        <v>23</v>
      </c>
      <c r="B97" s="3477"/>
      <c r="C97" s="742" t="s">
        <v>2015</v>
      </c>
      <c r="D97" s="742" t="s">
        <v>2016</v>
      </c>
      <c r="E97" s="753">
        <v>0.15</v>
      </c>
      <c r="F97" s="753">
        <v>20</v>
      </c>
    </row>
    <row r="98" spans="1:6" ht="13.5">
      <c r="A98" s="753">
        <v>24</v>
      </c>
      <c r="B98" s="3477"/>
      <c r="C98" s="742" t="s">
        <v>2017</v>
      </c>
      <c r="D98" s="742" t="s">
        <v>2018</v>
      </c>
      <c r="E98" s="753">
        <v>0.1</v>
      </c>
      <c r="F98" s="753">
        <v>15</v>
      </c>
    </row>
    <row r="99" spans="1:6" ht="13.5">
      <c r="A99" s="753">
        <v>25</v>
      </c>
      <c r="B99" s="3477"/>
      <c r="C99" s="742" t="s">
        <v>2019</v>
      </c>
      <c r="D99" s="742" t="s">
        <v>2020</v>
      </c>
      <c r="E99" s="753">
        <v>0.1</v>
      </c>
      <c r="F99" s="753">
        <v>15</v>
      </c>
    </row>
    <row r="100" spans="1:6" ht="24">
      <c r="A100" s="753">
        <v>26</v>
      </c>
      <c r="B100" s="3477"/>
      <c r="C100" s="742" t="s">
        <v>2021</v>
      </c>
      <c r="D100" s="742" t="s">
        <v>2022</v>
      </c>
      <c r="E100" s="753">
        <v>0.1</v>
      </c>
      <c r="F100" s="753">
        <v>15</v>
      </c>
    </row>
    <row r="101" spans="1:6" ht="24">
      <c r="A101" s="753">
        <v>27</v>
      </c>
      <c r="B101" s="3477"/>
      <c r="C101" s="742" t="s">
        <v>2023</v>
      </c>
      <c r="D101" s="742" t="s">
        <v>2024</v>
      </c>
      <c r="E101" s="753">
        <v>0.1</v>
      </c>
      <c r="F101" s="753">
        <v>15</v>
      </c>
    </row>
    <row r="102" spans="1:6" ht="13.5">
      <c r="A102" s="753">
        <v>28</v>
      </c>
      <c r="B102" s="3477"/>
      <c r="C102" s="742" t="s">
        <v>2025</v>
      </c>
      <c r="D102" s="742" t="s">
        <v>2026</v>
      </c>
      <c r="E102" s="753">
        <v>0.1</v>
      </c>
      <c r="F102" s="753">
        <v>15</v>
      </c>
    </row>
    <row r="103" spans="1:6" ht="13.5">
      <c r="A103" s="753">
        <v>29</v>
      </c>
      <c r="B103" s="3477"/>
      <c r="C103" s="742" t="s">
        <v>2027</v>
      </c>
      <c r="D103" s="742" t="s">
        <v>2028</v>
      </c>
      <c r="E103" s="753">
        <v>0.1</v>
      </c>
      <c r="F103" s="753">
        <v>15</v>
      </c>
    </row>
    <row r="104" spans="1:6" ht="13.5">
      <c r="A104" s="753">
        <v>30</v>
      </c>
      <c r="B104" s="3477"/>
      <c r="C104" s="742" t="s">
        <v>2029</v>
      </c>
      <c r="D104" s="742" t="s">
        <v>2030</v>
      </c>
      <c r="E104" s="753">
        <v>0.1</v>
      </c>
      <c r="F104" s="753">
        <v>15</v>
      </c>
    </row>
    <row r="105" spans="1:6" ht="24">
      <c r="A105" s="753">
        <v>31</v>
      </c>
      <c r="B105" s="3477"/>
      <c r="C105" s="742" t="s">
        <v>2031</v>
      </c>
      <c r="D105" s="742" t="s">
        <v>2032</v>
      </c>
      <c r="E105" s="753">
        <v>0.1</v>
      </c>
      <c r="F105" s="753">
        <v>15</v>
      </c>
    </row>
    <row r="106" spans="1:6" ht="24">
      <c r="A106" s="753">
        <v>32</v>
      </c>
      <c r="B106" s="3477"/>
      <c r="C106" s="742" t="s">
        <v>2033</v>
      </c>
      <c r="D106" s="742" t="s">
        <v>2034</v>
      </c>
      <c r="E106" s="753">
        <v>0.1</v>
      </c>
      <c r="F106" s="753">
        <v>15</v>
      </c>
    </row>
    <row r="107" spans="1:6" ht="24">
      <c r="A107" s="753">
        <v>33</v>
      </c>
      <c r="B107" s="3477"/>
      <c r="C107" s="742" t="s">
        <v>2035</v>
      </c>
      <c r="D107" s="742" t="s">
        <v>2036</v>
      </c>
      <c r="E107" s="753">
        <v>0.1</v>
      </c>
      <c r="F107" s="753">
        <v>15</v>
      </c>
    </row>
    <row r="108" spans="1:6" ht="24">
      <c r="A108" s="753">
        <v>34</v>
      </c>
      <c r="B108" s="3480"/>
      <c r="C108" s="742" t="s">
        <v>2037</v>
      </c>
      <c r="D108" s="742" t="s">
        <v>2038</v>
      </c>
      <c r="E108" s="753">
        <v>0.1</v>
      </c>
      <c r="F108" s="753">
        <v>15</v>
      </c>
    </row>
    <row r="109" spans="1:6" ht="24">
      <c r="A109" s="753">
        <v>35</v>
      </c>
      <c r="B109" s="3478" t="s">
        <v>2039</v>
      </c>
      <c r="C109" s="753" t="s">
        <v>2040</v>
      </c>
      <c r="D109" s="742" t="s">
        <v>2041</v>
      </c>
      <c r="E109" s="753">
        <v>0.15</v>
      </c>
      <c r="F109" s="753">
        <v>20</v>
      </c>
    </row>
    <row r="110" spans="1:6" ht="13.5">
      <c r="A110" s="753">
        <v>36</v>
      </c>
      <c r="B110" s="3477"/>
      <c r="C110" s="753" t="s">
        <v>2042</v>
      </c>
      <c r="D110" s="742" t="s">
        <v>2043</v>
      </c>
      <c r="E110" s="753">
        <v>0.15</v>
      </c>
      <c r="F110" s="753">
        <v>20</v>
      </c>
    </row>
    <row r="111" spans="1:6" ht="13.5">
      <c r="A111" s="753">
        <v>37</v>
      </c>
      <c r="B111" s="3477"/>
      <c r="C111" s="753" t="s">
        <v>2044</v>
      </c>
      <c r="D111" s="742" t="s">
        <v>2045</v>
      </c>
      <c r="E111" s="753">
        <v>0.15</v>
      </c>
      <c r="F111" s="753">
        <v>20</v>
      </c>
    </row>
    <row r="112" spans="1:6" ht="13.5">
      <c r="A112" s="753">
        <v>38</v>
      </c>
      <c r="B112" s="3477"/>
      <c r="C112" s="753" t="s">
        <v>2046</v>
      </c>
      <c r="D112" s="742" t="s">
        <v>2047</v>
      </c>
      <c r="E112" s="753">
        <v>0.1</v>
      </c>
      <c r="F112" s="753">
        <v>15</v>
      </c>
    </row>
    <row r="113" spans="1:6" ht="24">
      <c r="A113" s="753">
        <v>39</v>
      </c>
      <c r="B113" s="3477"/>
      <c r="C113" s="753" t="s">
        <v>2048</v>
      </c>
      <c r="D113" s="742" t="s">
        <v>2049</v>
      </c>
      <c r="E113" s="753">
        <v>0.1</v>
      </c>
      <c r="F113" s="753">
        <v>15</v>
      </c>
    </row>
    <row r="114" spans="1:6" ht="24">
      <c r="A114" s="753">
        <v>40</v>
      </c>
      <c r="B114" s="3480"/>
      <c r="C114" s="753" t="s">
        <v>2050</v>
      </c>
      <c r="D114" s="742" t="s">
        <v>2051</v>
      </c>
      <c r="E114" s="753">
        <v>0.1</v>
      </c>
      <c r="F114" s="753">
        <v>15</v>
      </c>
    </row>
    <row r="115" spans="1:6" ht="13.5">
      <c r="A115" s="753">
        <v>41</v>
      </c>
      <c r="B115" s="3474" t="s">
        <v>2052</v>
      </c>
      <c r="C115" s="753" t="s">
        <v>2053</v>
      </c>
      <c r="D115" s="742" t="s">
        <v>2054</v>
      </c>
      <c r="E115" s="753">
        <v>0.1</v>
      </c>
      <c r="F115" s="753">
        <v>15</v>
      </c>
    </row>
    <row r="116" spans="1:6" ht="13.5">
      <c r="A116" s="753">
        <v>42</v>
      </c>
      <c r="B116" s="3474"/>
      <c r="C116" s="753" t="s">
        <v>2055</v>
      </c>
      <c r="D116" s="742" t="s">
        <v>2056</v>
      </c>
      <c r="E116" s="753">
        <v>0.1</v>
      </c>
      <c r="F116" s="753">
        <v>15</v>
      </c>
    </row>
    <row r="117" spans="1:6" ht="24">
      <c r="A117" s="753">
        <v>43</v>
      </c>
      <c r="B117" s="3474"/>
      <c r="C117" s="753" t="s">
        <v>2057</v>
      </c>
      <c r="D117" s="742" t="s">
        <v>2058</v>
      </c>
      <c r="E117" s="753">
        <v>0.1</v>
      </c>
      <c r="F117" s="753">
        <v>15</v>
      </c>
    </row>
    <row r="118" spans="1:6" ht="13.5">
      <c r="A118" s="753">
        <v>44</v>
      </c>
      <c r="B118" s="3478" t="s">
        <v>2059</v>
      </c>
      <c r="C118" s="753" t="s">
        <v>2060</v>
      </c>
      <c r="D118" s="742" t="s">
        <v>2061</v>
      </c>
      <c r="E118" s="753">
        <v>0.1</v>
      </c>
      <c r="F118" s="753">
        <v>15</v>
      </c>
    </row>
    <row r="119" spans="1:6" ht="24">
      <c r="A119" s="753">
        <v>45</v>
      </c>
      <c r="B119" s="3480"/>
      <c r="C119" s="742" t="s">
        <v>2062</v>
      </c>
      <c r="D119" s="742" t="s">
        <v>2063</v>
      </c>
      <c r="E119" s="753">
        <v>0.1</v>
      </c>
      <c r="F119" s="753">
        <v>15</v>
      </c>
    </row>
    <row r="120" spans="1:6" ht="24">
      <c r="A120" s="753">
        <v>46</v>
      </c>
      <c r="B120" s="3478" t="s">
        <v>2064</v>
      </c>
      <c r="C120" s="753" t="s">
        <v>2065</v>
      </c>
      <c r="D120" s="742" t="s">
        <v>2066</v>
      </c>
      <c r="E120" s="753">
        <v>0.1</v>
      </c>
      <c r="F120" s="753">
        <v>15</v>
      </c>
    </row>
    <row r="121" spans="1:6" ht="24">
      <c r="A121" s="753">
        <v>47</v>
      </c>
      <c r="B121" s="3480"/>
      <c r="C121" s="753" t="s">
        <v>2067</v>
      </c>
      <c r="D121" s="742" t="s">
        <v>2068</v>
      </c>
      <c r="E121" s="753">
        <v>0.1</v>
      </c>
      <c r="F121" s="753">
        <v>15</v>
      </c>
    </row>
    <row r="122" spans="1:6" ht="13.5">
      <c r="A122" s="753">
        <v>48</v>
      </c>
      <c r="B122" s="3478" t="s">
        <v>2069</v>
      </c>
      <c r="C122" s="753" t="s">
        <v>2070</v>
      </c>
      <c r="D122" s="742" t="s">
        <v>2071</v>
      </c>
      <c r="E122" s="753">
        <v>0.1</v>
      </c>
      <c r="F122" s="753">
        <v>15</v>
      </c>
    </row>
    <row r="123" spans="1:6" ht="13.5">
      <c r="A123" s="753">
        <v>49</v>
      </c>
      <c r="B123" s="3480"/>
      <c r="C123" s="753" t="s">
        <v>2072</v>
      </c>
      <c r="D123" s="742" t="s">
        <v>2073</v>
      </c>
      <c r="E123" s="753">
        <v>0.1</v>
      </c>
      <c r="F123" s="753">
        <v>15</v>
      </c>
    </row>
    <row r="124" spans="1:6" ht="24">
      <c r="A124" s="753">
        <v>50</v>
      </c>
      <c r="B124" s="3474" t="s">
        <v>2074</v>
      </c>
      <c r="C124" s="753" t="s">
        <v>2075</v>
      </c>
      <c r="D124" s="742" t="s">
        <v>2076</v>
      </c>
      <c r="E124" s="753">
        <v>0.1</v>
      </c>
      <c r="F124" s="753">
        <v>15</v>
      </c>
    </row>
    <row r="125" spans="1:6" ht="24">
      <c r="A125" s="753">
        <v>51</v>
      </c>
      <c r="B125" s="3474"/>
      <c r="C125" s="753" t="s">
        <v>2077</v>
      </c>
      <c r="D125" s="742" t="s">
        <v>2078</v>
      </c>
      <c r="E125" s="753">
        <v>0.1</v>
      </c>
      <c r="F125" s="753">
        <v>15</v>
      </c>
    </row>
    <row r="126" spans="1:6" ht="24">
      <c r="A126" s="753">
        <v>52</v>
      </c>
      <c r="B126" s="3474" t="s">
        <v>2079</v>
      </c>
      <c r="C126" s="753" t="s">
        <v>2080</v>
      </c>
      <c r="D126" s="742" t="s">
        <v>2081</v>
      </c>
      <c r="E126" s="753">
        <v>0.1</v>
      </c>
      <c r="F126" s="753">
        <v>15</v>
      </c>
    </row>
    <row r="127" spans="1:6" ht="24">
      <c r="A127" s="753">
        <v>53</v>
      </c>
      <c r="B127" s="3474"/>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74" t="s">
        <v>2087</v>
      </c>
      <c r="C129" s="753" t="s">
        <v>2088</v>
      </c>
      <c r="D129" s="742" t="s">
        <v>2089</v>
      </c>
      <c r="E129" s="753">
        <v>0.1</v>
      </c>
      <c r="F129" s="753">
        <v>15</v>
      </c>
    </row>
    <row r="130" spans="1:6" ht="13.5">
      <c r="A130" s="753">
        <v>56</v>
      </c>
      <c r="B130" s="3474"/>
      <c r="C130" s="753" t="s">
        <v>2090</v>
      </c>
      <c r="D130" s="742" t="s">
        <v>2091</v>
      </c>
      <c r="E130" s="753">
        <v>0.1</v>
      </c>
      <c r="F130" s="753">
        <v>15</v>
      </c>
    </row>
    <row r="131" spans="1:6" ht="24">
      <c r="A131" s="753">
        <v>57</v>
      </c>
      <c r="B131" s="3474"/>
      <c r="C131" s="753" t="s">
        <v>2092</v>
      </c>
      <c r="D131" s="742" t="s">
        <v>2093</v>
      </c>
      <c r="E131" s="753">
        <v>0.1</v>
      </c>
      <c r="F131" s="753">
        <v>15</v>
      </c>
    </row>
    <row r="132" spans="1:6" ht="24">
      <c r="A132" s="753">
        <v>58</v>
      </c>
      <c r="B132" s="3474" t="s">
        <v>2094</v>
      </c>
      <c r="C132" s="753" t="s">
        <v>2095</v>
      </c>
      <c r="D132" s="742" t="s">
        <v>2096</v>
      </c>
      <c r="E132" s="753">
        <v>0.1</v>
      </c>
      <c r="F132" s="753">
        <v>15</v>
      </c>
    </row>
    <row r="133" spans="1:6" ht="13.5">
      <c r="A133" s="753">
        <v>59</v>
      </c>
      <c r="B133" s="3474"/>
      <c r="C133" s="753" t="s">
        <v>2097</v>
      </c>
      <c r="D133" s="742" t="s">
        <v>2098</v>
      </c>
      <c r="E133" s="753">
        <v>0.1</v>
      </c>
      <c r="F133" s="753">
        <v>15</v>
      </c>
    </row>
    <row r="134" spans="1:6" ht="13.5">
      <c r="A134" s="753">
        <v>60</v>
      </c>
      <c r="B134" s="3478" t="s">
        <v>2099</v>
      </c>
      <c r="C134" s="753" t="s">
        <v>2100</v>
      </c>
      <c r="D134" s="742" t="s">
        <v>2101</v>
      </c>
      <c r="E134" s="753">
        <v>0.1</v>
      </c>
      <c r="F134" s="753">
        <v>15</v>
      </c>
    </row>
    <row r="135" spans="1:6" ht="13.5">
      <c r="A135" s="753">
        <v>61</v>
      </c>
      <c r="B135" s="3480"/>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74" t="s">
        <v>2107</v>
      </c>
      <c r="C137" s="753" t="s">
        <v>2108</v>
      </c>
      <c r="D137" s="742" t="s">
        <v>2109</v>
      </c>
      <c r="E137" s="753">
        <v>0.1</v>
      </c>
      <c r="F137" s="753">
        <v>15</v>
      </c>
    </row>
    <row r="138" spans="1:6" ht="13.5">
      <c r="A138" s="753">
        <v>64</v>
      </c>
      <c r="B138" s="3474"/>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27904</v>
      </c>
      <c r="C2" s="639" t="s">
        <v>2129</v>
      </c>
      <c r="D2" s="636"/>
      <c r="E2" s="636"/>
      <c r="F2" s="636"/>
      <c r="G2" s="636"/>
    </row>
    <row r="3" spans="1:7" s="626" customFormat="1" ht="18" customHeight="1">
      <c r="A3" s="640" t="s">
        <v>2130</v>
      </c>
      <c r="B3" s="641">
        <f ca="1">ROUND(B2*10000/'数据-汇总表'!E3,0)</f>
        <v>1872877</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3</v>
      </c>
      <c r="D10" s="663">
        <f>'数据-汇总表'!E6</f>
        <v>148.99</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3</v>
      </c>
      <c r="D19" s="648">
        <f>'数据-汇总表'!E3</f>
        <v>148.99</v>
      </c>
      <c r="E19" s="647">
        <f>'数据-取费表'!B31</f>
        <v>200</v>
      </c>
      <c r="F19" s="669"/>
      <c r="G19" s="659" t="s">
        <v>2152</v>
      </c>
    </row>
    <row r="20" spans="1:7" s="628" customFormat="1" ht="13.5" customHeight="1">
      <c r="A20" s="668" t="s">
        <v>1773</v>
      </c>
      <c r="B20" s="646" t="s">
        <v>2153</v>
      </c>
      <c r="C20" s="387">
        <f>ROUND((C5+C19)*F20,0)</f>
        <v>618</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27831</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74</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67</v>
      </c>
      <c r="D34" s="653"/>
      <c r="E34" s="656"/>
      <c r="F34" s="697">
        <f>IF('数据-取费表'!B24=0,1,'数据-取费表'!N16)</f>
        <v>1</v>
      </c>
      <c r="G34" s="655" t="s">
        <v>2179</v>
      </c>
    </row>
    <row r="35" spans="1:7" ht="13.5" customHeight="1">
      <c r="A35" s="677" t="s">
        <v>1042</v>
      </c>
      <c r="B35" s="651" t="s">
        <v>2180</v>
      </c>
      <c r="C35" s="656">
        <f>ROUND(C34*F35,0)</f>
        <v>3</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3</v>
      </c>
      <c r="D37" s="653">
        <f>'数据-汇总表'!E3</f>
        <v>148.99</v>
      </c>
      <c r="E37" s="689">
        <f>'数据-取费表'!B35</f>
        <v>200</v>
      </c>
      <c r="F37" s="698"/>
      <c r="G37" s="700" t="s">
        <v>2185</v>
      </c>
    </row>
    <row r="38" spans="1:7" ht="13.5" customHeight="1">
      <c r="A38" s="677" t="s">
        <v>1106</v>
      </c>
      <c r="B38" s="651" t="s">
        <v>2143</v>
      </c>
      <c r="C38" s="656">
        <f>ROUND(C34*F38,0)</f>
        <v>1</v>
      </c>
      <c r="D38" s="656"/>
      <c r="E38" s="656"/>
      <c r="F38" s="698">
        <f>'数据-取费表'!B36</f>
        <v>0.02</v>
      </c>
      <c r="G38" s="655" t="s">
        <v>2181</v>
      </c>
    </row>
    <row r="39" spans="1:7" s="628" customFormat="1" ht="13.5" customHeight="1">
      <c r="A39" s="668" t="s">
        <v>1737</v>
      </c>
      <c r="B39" s="646" t="s">
        <v>2153</v>
      </c>
      <c r="C39" s="387">
        <f>ROUND(C33*F20,0)</f>
        <v>2</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2</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2</v>
      </c>
      <c r="D42" s="392"/>
      <c r="E42" s="392"/>
      <c r="F42" s="679"/>
      <c r="G42" s="3361" t="s">
        <v>2189</v>
      </c>
    </row>
    <row r="43" spans="1:7" ht="13.5" customHeight="1">
      <c r="A43" s="677" t="s">
        <v>1042</v>
      </c>
      <c r="B43" s="651" t="s">
        <v>2161</v>
      </c>
      <c r="C43" s="392">
        <f ca="1">ROUND(IF('数据-取费表'!B22&lt;=1,C39*F22*'数据-取费表'!B21/2,C39*(POWER((1+F22),'数据-取费表'!B21/2)-1)),0)</f>
        <v>0</v>
      </c>
      <c r="D43" s="392"/>
      <c r="E43" s="392"/>
      <c r="F43" s="679"/>
      <c r="G43" s="3362"/>
    </row>
    <row r="44" spans="1:7" ht="13.5" customHeight="1">
      <c r="A44" s="677" t="s">
        <v>1044</v>
      </c>
      <c r="B44" s="651" t="s">
        <v>2163</v>
      </c>
      <c r="C44" s="392">
        <f ca="1">ROUND(IF('数据-取费表'!B22&lt;=1,C40*F22*'数据-取费表'!B21/2,C40*(POWER((1+F22),'数据-取费表'!B21/2)-1)),4)</f>
        <v>5.9999999999999995E-4</v>
      </c>
      <c r="D44" s="392"/>
      <c r="E44" s="392"/>
      <c r="F44" s="679"/>
      <c r="G44" s="3363"/>
    </row>
    <row r="45" spans="1:7" s="628" customFormat="1" ht="13.5" customHeight="1">
      <c r="A45" s="668" t="s">
        <v>1787</v>
      </c>
      <c r="B45" s="684" t="s">
        <v>2166</v>
      </c>
      <c r="C45" s="685">
        <f>C46</f>
        <v>11</v>
      </c>
      <c r="D45" s="672">
        <f>C47</f>
        <v>3.0000000000000001E-3</v>
      </c>
      <c r="E45" s="673" t="s">
        <v>2187</v>
      </c>
      <c r="F45" s="686"/>
      <c r="G45" s="687" t="s">
        <v>2190</v>
      </c>
    </row>
    <row r="46" spans="1:7" s="628" customFormat="1" ht="13.5" customHeight="1">
      <c r="A46" s="677" t="s">
        <v>1040</v>
      </c>
      <c r="B46" s="688" t="s">
        <v>2191</v>
      </c>
      <c r="C46" s="689">
        <f>ROUND((C33+C39)*F27,0)</f>
        <v>11</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96</v>
      </c>
      <c r="D49" s="387"/>
      <c r="E49" s="387"/>
      <c r="F49" s="703"/>
      <c r="G49" s="674" t="s">
        <v>2196</v>
      </c>
    </row>
    <row r="50" spans="1:7" s="225" customFormat="1" ht="24">
      <c r="A50" s="668" t="s">
        <v>2197</v>
      </c>
      <c r="B50" s="646" t="s">
        <v>2198</v>
      </c>
      <c r="C50" s="387"/>
      <c r="D50" s="387"/>
      <c r="E50" s="387"/>
      <c r="F50" s="703">
        <f>IF('数据-取费表'!B24=0,'数据-取费表'!N16,1)</f>
        <v>0.76</v>
      </c>
      <c r="G50" s="687" t="s">
        <v>2199</v>
      </c>
    </row>
    <row r="51" spans="1:7" ht="16.5" customHeight="1">
      <c r="A51" s="668" t="s">
        <v>2200</v>
      </c>
      <c r="B51" s="646" t="s">
        <v>2201</v>
      </c>
      <c r="C51" s="387">
        <f ca="1">ROUND(C49*F50,0)</f>
        <v>73</v>
      </c>
      <c r="D51" s="387"/>
      <c r="E51" s="387"/>
      <c r="F51" s="703"/>
      <c r="G51" s="674" t="s">
        <v>2202</v>
      </c>
    </row>
    <row r="52" spans="1:7" s="627" customFormat="1" ht="15.75">
      <c r="A52" s="704" t="s">
        <v>2203</v>
      </c>
      <c r="B52" s="705"/>
      <c r="C52" s="706">
        <f ca="1">C31+C51</f>
        <v>27904</v>
      </c>
      <c r="D52" s="705"/>
      <c r="E52" s="705"/>
      <c r="F52" s="705"/>
      <c r="G52" s="707"/>
    </row>
    <row r="55" spans="1:7" ht="15">
      <c r="B55" s="511" t="s">
        <v>2204</v>
      </c>
      <c r="C55" s="708"/>
    </row>
    <row r="56" spans="1:7">
      <c r="B56" s="503" t="s">
        <v>2205</v>
      </c>
      <c r="C56" s="513">
        <f ca="1">ROUND(C51/C52,3)</f>
        <v>3.0000000000000001E-3</v>
      </c>
    </row>
    <row r="57" spans="1:7">
      <c r="B57" s="503" t="s">
        <v>2206</v>
      </c>
      <c r="C57" s="514">
        <f ca="1">1-C56</f>
        <v>0.997</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2207</v>
      </c>
      <c r="B1" s="3481"/>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2590</v>
      </c>
      <c r="B1" s="3482"/>
      <c r="C1" s="3482"/>
      <c r="D1" s="3482"/>
      <c r="E1" s="3482"/>
      <c r="F1" s="3483"/>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45909</v>
      </c>
      <c r="B1" s="521" t="s">
        <v>2595</v>
      </c>
      <c r="C1" s="522"/>
      <c r="D1" s="522"/>
      <c r="E1" s="522"/>
      <c r="F1" s="522"/>
      <c r="G1" s="522"/>
      <c r="H1" s="522"/>
      <c r="I1" s="522"/>
      <c r="J1" s="540"/>
      <c r="K1" s="522" t="s">
        <v>2596</v>
      </c>
      <c r="L1" s="522"/>
      <c r="M1" s="522"/>
      <c r="N1" s="522"/>
      <c r="O1" s="522"/>
      <c r="P1" s="522"/>
      <c r="Q1" s="540"/>
      <c r="R1" s="3484" t="s">
        <v>2597</v>
      </c>
      <c r="S1" s="3485"/>
      <c r="T1" s="3485"/>
      <c r="U1" s="3485"/>
      <c r="V1" s="3485"/>
      <c r="W1" s="3485"/>
      <c r="X1" s="540"/>
      <c r="Y1" s="3484" t="s">
        <v>2598</v>
      </c>
      <c r="Z1" s="3485"/>
      <c r="AA1" s="3485"/>
      <c r="AB1" s="3485"/>
      <c r="AC1" s="3485"/>
      <c r="AD1" s="3485"/>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84" t="s">
        <v>2597</v>
      </c>
      <c r="S29" s="3485"/>
      <c r="T29" s="3485"/>
      <c r="U29" s="3485"/>
      <c r="V29" s="3485"/>
      <c r="W29" s="3485"/>
      <c r="X29" s="540"/>
      <c r="Y29" s="3484" t="s">
        <v>2598</v>
      </c>
      <c r="Z29" s="3485"/>
      <c r="AA29" s="3485"/>
      <c r="AB29" s="3485"/>
      <c r="AC29" s="3485"/>
      <c r="AD29" s="3485"/>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580</v>
      </c>
    </row>
    <row r="6" spans="1:5" ht="15.75">
      <c r="B6" s="3181"/>
      <c r="C6" s="3122" t="s">
        <v>98</v>
      </c>
      <c r="D6" s="3123" t="str">
        <f ca="1">NUMBERSTRING(INT(D5*10000),2)&amp;"元整"</f>
        <v>伍佰捌拾万元整</v>
      </c>
    </row>
    <row r="7" spans="1:5" ht="15.75">
      <c r="B7" s="3182"/>
      <c r="C7" s="3124" t="s">
        <v>99</v>
      </c>
      <c r="D7" s="3125">
        <f ca="1">结果表!H102</f>
        <v>38917</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580</v>
      </c>
    </row>
    <row r="14" spans="1:5" ht="15.75">
      <c r="B14" s="3181"/>
      <c r="C14" s="3122" t="s">
        <v>98</v>
      </c>
      <c r="D14" s="3123" t="str">
        <f ca="1">NUMBERSTRING(INT(D13*10000),2)&amp;"元整"</f>
        <v>伍佰捌拾万元整</v>
      </c>
    </row>
    <row r="15" spans="1:5" ht="15">
      <c r="B15" s="3182"/>
      <c r="C15" s="3124" t="s">
        <v>99</v>
      </c>
      <c r="D15" s="3132">
        <f ca="1">结果表!H108</f>
        <v>38917</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E65" sqref="E65"/>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27.51</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392.02300000000002</v>
      </c>
      <c r="C2" s="238" t="s">
        <v>1189</v>
      </c>
      <c r="D2" s="239">
        <f ca="1">C40+J29+L46</f>
        <v>3920230</v>
      </c>
      <c r="E2" s="240" t="s">
        <v>2624</v>
      </c>
      <c r="F2" s="241"/>
      <c r="G2" s="242"/>
      <c r="H2" s="243"/>
      <c r="I2" s="243"/>
      <c r="J2" s="243"/>
      <c r="K2" s="408"/>
      <c r="L2" s="243"/>
      <c r="M2" s="243"/>
    </row>
    <row r="3" spans="1:37" ht="18" customHeight="1">
      <c r="A3" s="244" t="s">
        <v>1190</v>
      </c>
      <c r="B3" s="245">
        <f ca="1">IF(ISERROR(D2/F43),0,ROUND(D2/F43,0))</f>
        <v>26312</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245022</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244716</v>
      </c>
      <c r="D6" s="259" t="s">
        <v>2625</v>
      </c>
      <c r="E6" s="260" t="s">
        <v>1202</v>
      </c>
      <c r="F6" s="261">
        <f ca="1">INDIRECT("'数据-取费表'!u"&amp;$G$1)</f>
        <v>5</v>
      </c>
      <c r="G6" s="224"/>
      <c r="H6" s="257" t="s">
        <v>941</v>
      </c>
      <c r="I6" s="3366" t="s">
        <v>1200</v>
      </c>
      <c r="J6" s="335">
        <f ca="1">ROUND(M6*M8*M7*(1-M9),0)</f>
        <v>0</v>
      </c>
      <c r="K6" s="411" t="s">
        <v>2626</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148.99</v>
      </c>
      <c r="G7" s="224"/>
      <c r="H7" s="266"/>
      <c r="I7" s="3367"/>
      <c r="J7" s="267"/>
      <c r="K7" s="264"/>
      <c r="L7" s="260" t="s">
        <v>1204</v>
      </c>
      <c r="M7" s="261">
        <f ca="1">F7</f>
        <v>148.99</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306</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747674</v>
      </c>
      <c r="D13" s="288" t="s">
        <v>1214</v>
      </c>
      <c r="E13" s="288" t="s">
        <v>1215</v>
      </c>
      <c r="F13" s="289">
        <f ca="1">INDIRECT("'数据-取费表'!y"&amp;$G$1)</f>
        <v>0.76</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670455</v>
      </c>
      <c r="D14" s="292" t="s">
        <v>1217</v>
      </c>
      <c r="E14" s="293"/>
      <c r="F14" s="294"/>
      <c r="G14" s="224"/>
      <c r="H14" s="290" t="s">
        <v>941</v>
      </c>
      <c r="I14" s="260" t="s">
        <v>1218</v>
      </c>
      <c r="J14" s="295">
        <f ca="1">C29</f>
        <v>983782</v>
      </c>
      <c r="K14" s="420"/>
      <c r="L14" s="421"/>
      <c r="M14" s="422"/>
    </row>
    <row r="15" spans="1:37" s="223" customFormat="1" ht="18" customHeight="1">
      <c r="A15" s="290" t="s">
        <v>968</v>
      </c>
      <c r="B15" s="260" t="s">
        <v>1147</v>
      </c>
      <c r="C15" s="295">
        <f ca="1">ROUND(C14*F15,0)</f>
        <v>33523</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2951</v>
      </c>
      <c r="K16" s="313" t="s">
        <v>1223</v>
      </c>
      <c r="L16" s="314"/>
      <c r="M16" s="256"/>
    </row>
    <row r="17" spans="1:37" s="223" customFormat="1" ht="18" customHeight="1">
      <c r="A17" s="290" t="s">
        <v>1224</v>
      </c>
      <c r="B17" s="260" t="s">
        <v>1225</v>
      </c>
      <c r="C17" s="295">
        <f ca="1">ROUND(F17*(F43+INDIRECT("'数据-取费表'!S"&amp;$G$1)),0)</f>
        <v>29798</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13409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747185</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22416</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2951</v>
      </c>
      <c r="K22" s="317" t="s">
        <v>1249</v>
      </c>
      <c r="L22" s="260" t="s">
        <v>1220</v>
      </c>
      <c r="M22" s="329">
        <f ca="1">INDIRECT("'数据-取费表'!Ak"&amp;$G$1)</f>
        <v>3.0000000000000001E-3</v>
      </c>
    </row>
    <row r="23" spans="1:37" s="223" customFormat="1" ht="18" customHeight="1">
      <c r="A23" s="290" t="s">
        <v>964</v>
      </c>
      <c r="B23" s="260" t="s">
        <v>1250</v>
      </c>
      <c r="C23" s="295">
        <f ca="1">IF('数据-取费表'!B22&lt;=1,ROUND(C19*F24*F23/2,0)+ROUND(C20*F24*F23/2,0),ROUND(C19*(POWER((1+F24),F23/2)-1),0)+ROUND(C20*(POWER((1+F24),F23/2)-1),0))</f>
        <v>23088</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-2951</v>
      </c>
      <c r="K25" s="332" t="s">
        <v>1261</v>
      </c>
      <c r="L25" s="333"/>
      <c r="M25" s="334"/>
    </row>
    <row r="26" spans="1:37" ht="18" customHeight="1">
      <c r="A26" s="290" t="s">
        <v>964</v>
      </c>
      <c r="B26" s="260" t="s">
        <v>1262</v>
      </c>
      <c r="C26" s="295">
        <f ca="1">ROUND((C19+C20)*F26,0)</f>
        <v>115440</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983782</v>
      </c>
      <c r="D29" s="310"/>
      <c r="E29" s="283"/>
      <c r="F29" s="311"/>
      <c r="G29" s="298"/>
      <c r="H29" s="312" t="s">
        <v>1277</v>
      </c>
      <c r="I29" s="342" t="s">
        <v>1278</v>
      </c>
      <c r="J29" s="343">
        <f ca="1">ROUND(J26/(1+F40)^F41,0)</f>
        <v>0</v>
      </c>
      <c r="K29" s="344" t="s">
        <v>1279</v>
      </c>
      <c r="L29" s="345"/>
      <c r="M29" s="346">
        <f ca="1">INDIRECT("'数据-取费表'!k"&amp;$G$1)</f>
        <v>148.99</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21238</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16314</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2951</v>
      </c>
      <c r="D36" s="317" t="s">
        <v>1281</v>
      </c>
      <c r="E36" s="260" t="s">
        <v>1220</v>
      </c>
      <c r="F36" s="329">
        <f ca="1">INDIRECT("'数据-取费表'!Ak"&amp;$G$1)</f>
        <v>3.0000000000000001E-3</v>
      </c>
      <c r="G36" s="224"/>
      <c r="H36" s="321"/>
      <c r="I36" s="427"/>
      <c r="J36" s="428"/>
      <c r="K36" s="434"/>
      <c r="L36" s="321"/>
      <c r="M36" s="321"/>
    </row>
    <row r="37" spans="1:18" ht="18" customHeight="1">
      <c r="A37" s="290" t="s">
        <v>990</v>
      </c>
      <c r="B37" s="260" t="s">
        <v>1252</v>
      </c>
      <c r="C37" s="295">
        <f ca="1">ROUND(C13*F37,0)</f>
        <v>748</v>
      </c>
      <c r="D37" s="317" t="s">
        <v>1253</v>
      </c>
      <c r="E37" s="260" t="s">
        <v>1220</v>
      </c>
      <c r="F37" s="330">
        <f ca="1">INDIRECT("'数据-取费表'!Al"&amp;$G$1)</f>
        <v>1E-3</v>
      </c>
      <c r="G37" s="224"/>
      <c r="H37" s="321"/>
      <c r="I37" s="427"/>
      <c r="J37" s="428"/>
      <c r="K37" s="434"/>
      <c r="L37" s="321"/>
      <c r="M37" s="321"/>
    </row>
    <row r="38" spans="1:18" ht="18" customHeight="1">
      <c r="A38" s="299" t="s">
        <v>993</v>
      </c>
      <c r="B38" s="283" t="s">
        <v>1238</v>
      </c>
      <c r="C38" s="309">
        <f ca="1">ROUND(C5*F38,0)</f>
        <v>1225</v>
      </c>
      <c r="D38" s="310" t="s">
        <v>1256</v>
      </c>
      <c r="E38" s="283" t="s">
        <v>1220</v>
      </c>
      <c r="F38" s="284">
        <f ca="1">INDIRECT("'数据-取费表'!Am"&amp;$G$1)</f>
        <v>5.0000000000000001E-3</v>
      </c>
      <c r="G38" s="224"/>
      <c r="H38" s="321"/>
      <c r="I38" s="427"/>
      <c r="J38" s="428"/>
      <c r="K38" s="429"/>
      <c r="L38" s="321"/>
      <c r="M38" s="321"/>
    </row>
    <row r="39" spans="1:18" ht="24.6" customHeight="1">
      <c r="A39" s="285" t="s">
        <v>1259</v>
      </c>
      <c r="B39" s="331" t="s">
        <v>1260</v>
      </c>
      <c r="C39" s="287">
        <f ca="1">C5-C30</f>
        <v>223784</v>
      </c>
      <c r="D39" s="332" t="s">
        <v>1261</v>
      </c>
      <c r="E39" s="333"/>
      <c r="F39" s="334"/>
      <c r="G39" s="224"/>
      <c r="H39" s="321">
        <f ca="1">C39/C5</f>
        <v>0.91332206903869861</v>
      </c>
      <c r="I39" s="427"/>
      <c r="J39" s="428"/>
      <c r="K39" s="429"/>
      <c r="L39" s="321"/>
      <c r="M39" s="321"/>
    </row>
    <row r="40" spans="1:18" ht="18" customHeight="1">
      <c r="A40" s="251" t="s">
        <v>1265</v>
      </c>
      <c r="B40" s="252" t="s">
        <v>1282</v>
      </c>
      <c r="C40" s="335">
        <f ca="1">ROUND(C39*(1-((1+F42)/(1+F40))^F41)/(F40-F42),0)</f>
        <v>3866414</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27.51</v>
      </c>
      <c r="G41" s="224"/>
      <c r="H41" s="340"/>
      <c r="I41" s="427"/>
      <c r="J41" s="428"/>
      <c r="K41" s="434"/>
      <c r="L41" s="340"/>
      <c r="M41" s="340"/>
    </row>
    <row r="42" spans="1:18" ht="18" customHeight="1">
      <c r="A42" s="274"/>
      <c r="B42" s="341"/>
      <c r="C42" s="287"/>
      <c r="D42" s="327"/>
      <c r="E42" s="260" t="s">
        <v>1275</v>
      </c>
      <c r="F42" s="268">
        <f ca="1">INDIRECT("'数据-取费表'!v"&amp;$G$1)</f>
        <v>0.02</v>
      </c>
      <c r="G42" s="224"/>
      <c r="H42" s="340"/>
      <c r="I42" s="427"/>
      <c r="J42" s="428"/>
      <c r="K42" s="434"/>
      <c r="L42" s="340"/>
      <c r="M42" s="340"/>
    </row>
    <row r="43" spans="1:18" ht="18" customHeight="1">
      <c r="A43" s="312" t="s">
        <v>1277</v>
      </c>
      <c r="B43" s="342" t="s">
        <v>1283</v>
      </c>
      <c r="C43" s="343">
        <f ca="1">ROUND(C40/F43,0)</f>
        <v>25951</v>
      </c>
      <c r="D43" s="344" t="s">
        <v>1284</v>
      </c>
      <c r="E43" s="345" t="s">
        <v>1285</v>
      </c>
      <c r="F43" s="346">
        <f ca="1">INDIRECT("'数据-取费表'!k"&amp;$G$1)</f>
        <v>148.99</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-391.82499999999999</v>
      </c>
      <c r="D45" s="351" t="s">
        <v>2129</v>
      </c>
      <c r="E45" s="347"/>
      <c r="F45" s="347"/>
      <c r="O45" s="436" t="s">
        <v>1286</v>
      </c>
      <c r="P45" s="336"/>
      <c r="Q45" s="336"/>
      <c r="R45" s="336"/>
    </row>
    <row r="46" spans="1:18" s="224" customFormat="1">
      <c r="A46" s="352" t="s">
        <v>1287</v>
      </c>
      <c r="C46" s="353">
        <f ca="1">ROUND(C45,0)</f>
        <v>-392</v>
      </c>
      <c r="D46" s="354" t="str">
        <f>C2</f>
        <v>万元</v>
      </c>
      <c r="I46" s="437" t="s">
        <v>1288</v>
      </c>
      <c r="J46" s="438"/>
      <c r="K46" s="439"/>
      <c r="L46" s="3168">
        <f ca="1">IF(M47="住宅",0,IF(L48&gt;J51,L60,J60))</f>
        <v>53816</v>
      </c>
      <c r="N46" s="224">
        <f ca="1">'收益法 (元)'!B3</f>
        <v>26312</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3866414</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27.51</v>
      </c>
      <c r="O48" s="448" t="s">
        <v>1049</v>
      </c>
      <c r="P48" s="449" t="s">
        <v>1300</v>
      </c>
      <c r="Q48" s="486">
        <f ca="1">J60</f>
        <v>53816</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2005</v>
      </c>
      <c r="K49" s="452" t="s">
        <v>1306</v>
      </c>
      <c r="L49" s="455"/>
      <c r="O49" s="456" t="s">
        <v>1307</v>
      </c>
      <c r="P49" s="449" t="s">
        <v>1308</v>
      </c>
      <c r="Q49" s="486">
        <f ca="1">C29</f>
        <v>983782</v>
      </c>
      <c r="R49" s="486" t="s">
        <v>1296</v>
      </c>
    </row>
    <row r="50" spans="1:18" s="224" customFormat="1">
      <c r="A50" s="372"/>
      <c r="B50" s="373"/>
      <c r="C50" s="374"/>
      <c r="D50" s="375"/>
      <c r="E50" s="376" t="s">
        <v>1204</v>
      </c>
      <c r="F50" s="377">
        <f ca="1">F7</f>
        <v>148.99</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40</v>
      </c>
      <c r="K51" s="460" t="s">
        <v>1314</v>
      </c>
      <c r="L51" s="461">
        <f ca="1">ROUND(-PV(INDIRECT("'数据-取费表'!h"&amp;$G$1),J51,(C39-C13*C76),0),0)</f>
        <v>2941871</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27.51</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27.51</v>
      </c>
      <c r="K53" s="3364" t="s">
        <v>1324</v>
      </c>
      <c r="L53" s="3365"/>
      <c r="O53" s="448" t="s">
        <v>1149</v>
      </c>
      <c r="P53" s="449" t="s">
        <v>1325</v>
      </c>
      <c r="Q53" s="486">
        <f ca="1">Q47+Q48</f>
        <v>3920230</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0.20799999999999999</v>
      </c>
      <c r="K55" s="471" t="s">
        <v>1329</v>
      </c>
      <c r="L55" s="472"/>
      <c r="O55" s="441" t="s">
        <v>1289</v>
      </c>
      <c r="P55" s="442" t="s">
        <v>1290</v>
      </c>
      <c r="Q55" s="485" t="s">
        <v>1291</v>
      </c>
      <c r="R55" s="485" t="s">
        <v>1292</v>
      </c>
    </row>
    <row r="56" spans="1:18" s="224" customFormat="1" ht="36" customHeight="1">
      <c r="A56" s="385">
        <v>2</v>
      </c>
      <c r="B56" s="386" t="s">
        <v>1213</v>
      </c>
      <c r="C56" s="387">
        <f ca="1">C13</f>
        <v>747674</v>
      </c>
      <c r="D56" s="388"/>
      <c r="E56" s="389"/>
      <c r="F56" s="384"/>
      <c r="I56" s="473" t="s">
        <v>1330</v>
      </c>
      <c r="J56" s="474" t="s">
        <v>534</v>
      </c>
      <c r="K56" s="450" t="s">
        <v>1331</v>
      </c>
      <c r="L56" s="453" t="str">
        <f ca="1">IF(L48&lt;J51,"——",L48-J51)</f>
        <v>——</v>
      </c>
      <c r="O56" s="448" t="s">
        <v>1046</v>
      </c>
      <c r="P56" s="449" t="s">
        <v>1295</v>
      </c>
      <c r="Q56" s="486">
        <f ca="1">C40+J29</f>
        <v>3866414</v>
      </c>
      <c r="R56" s="486" t="s">
        <v>1296</v>
      </c>
    </row>
    <row r="57" spans="1:18" s="224" customFormat="1" ht="24">
      <c r="A57" s="390"/>
      <c r="B57" s="391" t="s">
        <v>1276</v>
      </c>
      <c r="C57" s="392">
        <f ca="1">C29</f>
        <v>983782</v>
      </c>
      <c r="D57" s="393"/>
      <c r="E57" s="394"/>
      <c r="F57" s="395"/>
      <c r="I57" s="475" t="s">
        <v>1332</v>
      </c>
      <c r="J57" s="476">
        <f ca="1">IF(OR(M47="住宅",J51&lt;L48,J56="是"),"——",J51-L48)</f>
        <v>12.489999999999998</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3699</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393513</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53816</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3866414</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2951</v>
      </c>
      <c r="D64" s="400" t="s">
        <v>1281</v>
      </c>
      <c r="E64" s="391" t="s">
        <v>1220</v>
      </c>
      <c r="F64" s="329">
        <f t="shared" ca="1" si="0"/>
        <v>3.0000000000000001E-3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748</v>
      </c>
      <c r="D65" s="400" t="s">
        <v>1253</v>
      </c>
      <c r="E65" s="391" t="s">
        <v>1220</v>
      </c>
      <c r="F65" s="330">
        <f t="shared" ca="1" si="0"/>
        <v>1E-3</v>
      </c>
      <c r="I65" s="481" t="s">
        <v>1354</v>
      </c>
      <c r="J65" s="482">
        <v>40</v>
      </c>
      <c r="K65" s="482">
        <v>30</v>
      </c>
      <c r="L65" s="482">
        <v>50</v>
      </c>
      <c r="M65" s="484">
        <v>0.02</v>
      </c>
      <c r="O65" s="448" t="s">
        <v>1046</v>
      </c>
      <c r="P65" s="449" t="s">
        <v>1295</v>
      </c>
      <c r="Q65" s="486">
        <f ca="1">C40+J29</f>
        <v>3866414</v>
      </c>
      <c r="R65" s="486" t="s">
        <v>1296</v>
      </c>
    </row>
    <row r="66" spans="1:18" s="224" customFormat="1" ht="15.75">
      <c r="A66" s="290" t="s">
        <v>993</v>
      </c>
      <c r="B66" s="391" t="s">
        <v>1238</v>
      </c>
      <c r="C66" s="295">
        <f ca="1">ROUND(C48*F66,0)</f>
        <v>0</v>
      </c>
      <c r="D66" s="400" t="s">
        <v>1256</v>
      </c>
      <c r="E66" s="391" t="s">
        <v>1220</v>
      </c>
      <c r="F66" s="268">
        <f t="shared" ca="1" si="0"/>
        <v>5.0000000000000001E-3</v>
      </c>
      <c r="O66" s="448" t="s">
        <v>1049</v>
      </c>
      <c r="P66" s="449" t="s">
        <v>1334</v>
      </c>
      <c r="Q66" s="486">
        <f ca="1">L60</f>
        <v>0</v>
      </c>
      <c r="R66" s="486" t="s">
        <v>1335</v>
      </c>
    </row>
    <row r="67" spans="1:18" s="224" customFormat="1" ht="15.75">
      <c r="A67" s="385" t="s">
        <v>1259</v>
      </c>
      <c r="B67" s="488" t="s">
        <v>1260</v>
      </c>
      <c r="C67" s="270">
        <f ca="1">C48-C58</f>
        <v>-3699</v>
      </c>
      <c r="D67" s="399" t="s">
        <v>1261</v>
      </c>
      <c r="E67" s="489"/>
      <c r="F67" s="490"/>
      <c r="O67" s="456" t="s">
        <v>1307</v>
      </c>
      <c r="P67" s="449" t="s">
        <v>1338</v>
      </c>
      <c r="Q67" s="516">
        <f ca="1">L51</f>
        <v>2941871</v>
      </c>
      <c r="R67" s="486" t="s">
        <v>1355</v>
      </c>
    </row>
    <row r="68" spans="1:18" s="224" customFormat="1" ht="15.75">
      <c r="A68" s="491" t="s">
        <v>1265</v>
      </c>
      <c r="B68" s="492" t="s">
        <v>1282</v>
      </c>
      <c r="C68" s="335">
        <f ca="1">ROUND(C67*(1-((1+F70)/(1+F68))^F69)/(F68-F70),0)</f>
        <v>-51836</v>
      </c>
      <c r="D68" s="402" t="s">
        <v>1267</v>
      </c>
      <c r="E68" s="391" t="s">
        <v>1268</v>
      </c>
      <c r="F68" s="268">
        <f ca="1">F40</f>
        <v>5.5E-2</v>
      </c>
      <c r="O68" s="456" t="s">
        <v>1311</v>
      </c>
      <c r="P68" s="515" t="s">
        <v>1356</v>
      </c>
      <c r="Q68" s="486">
        <f ca="1">ROUND(Q69-Q70*Q71,0)</f>
        <v>171447</v>
      </c>
      <c r="R68" s="486" t="s">
        <v>1357</v>
      </c>
    </row>
    <row r="69" spans="1:18" s="224" customFormat="1">
      <c r="A69" s="493"/>
      <c r="B69" s="494"/>
      <c r="C69" s="267"/>
      <c r="D69" s="495" t="s">
        <v>1271</v>
      </c>
      <c r="E69" s="391" t="s">
        <v>1272</v>
      </c>
      <c r="F69" s="339">
        <f ca="1">F41</f>
        <v>27.51</v>
      </c>
      <c r="O69" s="456" t="s">
        <v>1358</v>
      </c>
      <c r="P69" s="515" t="s">
        <v>1359</v>
      </c>
      <c r="Q69" s="486">
        <f ca="1">C39</f>
        <v>223784</v>
      </c>
      <c r="R69" s="486" t="s">
        <v>1296</v>
      </c>
    </row>
    <row r="70" spans="1:18" s="224" customFormat="1">
      <c r="A70" s="496"/>
      <c r="B70" s="497"/>
      <c r="C70" s="287"/>
      <c r="D70" s="404"/>
      <c r="E70" s="391" t="s">
        <v>1275</v>
      </c>
      <c r="F70" s="380"/>
      <c r="O70" s="456" t="s">
        <v>1360</v>
      </c>
      <c r="P70" s="515" t="s">
        <v>1361</v>
      </c>
      <c r="Q70" s="486">
        <f ca="1">C13</f>
        <v>747674</v>
      </c>
      <c r="R70" s="486" t="s">
        <v>1296</v>
      </c>
    </row>
    <row r="71" spans="1:18" s="224" customFormat="1">
      <c r="A71" s="498" t="s">
        <v>1277</v>
      </c>
      <c r="B71" s="499" t="s">
        <v>1283</v>
      </c>
      <c r="C71" s="343">
        <f ca="1">ROUND(C68/F71,0)</f>
        <v>-348</v>
      </c>
      <c r="D71" s="500" t="s">
        <v>1284</v>
      </c>
      <c r="E71" s="501" t="s">
        <v>1285</v>
      </c>
      <c r="F71" s="346">
        <f ca="1">F43</f>
        <v>148.99</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52337</v>
      </c>
      <c r="D75" s="224"/>
      <c r="E75" s="224"/>
      <c r="F75" s="224"/>
      <c r="K75" s="435"/>
      <c r="L75" s="224"/>
      <c r="O75" s="448" t="s">
        <v>1149</v>
      </c>
      <c r="P75" s="449" t="s">
        <v>1325</v>
      </c>
      <c r="Q75" s="486">
        <f ca="1">Q65+Q66</f>
        <v>3866414</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0.76600000000000001</v>
      </c>
    </row>
    <row r="80" spans="1:18">
      <c r="B80" s="505" t="s">
        <v>1371</v>
      </c>
      <c r="C80" s="513">
        <f ca="1">ROUND(C75/C39,3)</f>
        <v>0.23400000000000001</v>
      </c>
    </row>
    <row r="81" spans="2:3">
      <c r="B81" s="511" t="s">
        <v>1372</v>
      </c>
      <c r="C81" s="392"/>
    </row>
    <row r="82" spans="2:3">
      <c r="B82" s="503" t="s">
        <v>1125</v>
      </c>
      <c r="C82" s="514">
        <f ca="1">1-C83</f>
        <v>0.80699999999999994</v>
      </c>
    </row>
    <row r="83" spans="2:3">
      <c r="B83" s="503" t="s">
        <v>1126</v>
      </c>
      <c r="C83" s="513">
        <f ca="1">ROUND(C13/C40,3)</f>
        <v>0.193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6" t="s">
        <v>2637</v>
      </c>
      <c r="C1" s="3486"/>
      <c r="D1" s="3486"/>
      <c r="E1" s="3486"/>
      <c r="F1" s="3486"/>
      <c r="G1" s="3485" t="s">
        <v>2638</v>
      </c>
      <c r="H1" s="3485"/>
      <c r="I1" s="3485"/>
      <c r="J1" s="3485"/>
      <c r="K1" s="3485"/>
      <c r="L1" s="3485"/>
      <c r="N1" s="3485" t="s">
        <v>2596</v>
      </c>
      <c r="O1" s="3485"/>
      <c r="P1" s="3485"/>
      <c r="Q1" s="3485"/>
      <c r="S1" s="3485" t="s">
        <v>2639</v>
      </c>
      <c r="T1" s="3485"/>
      <c r="U1" s="3485"/>
      <c r="V1" s="3485"/>
      <c r="X1" s="3484" t="s">
        <v>2597</v>
      </c>
      <c r="Y1" s="3485"/>
      <c r="Z1" s="3485"/>
      <c r="AA1" s="3485"/>
      <c r="AB1" s="3485"/>
      <c r="AD1" s="3484" t="s">
        <v>2598</v>
      </c>
      <c r="AE1" s="3485"/>
      <c r="AF1" s="3485"/>
      <c r="AG1" s="3485"/>
      <c r="AH1" s="3485"/>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8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8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8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9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9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9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9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9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9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9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9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9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9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9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91">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91">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2728</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97"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8"/>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45909</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177.87520000000001</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11939</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763691.20000000007</v>
      </c>
      <c r="D5" s="647" t="s">
        <v>1038</v>
      </c>
      <c r="E5" s="648" t="s">
        <v>1039</v>
      </c>
      <c r="F5" s="648" t="s">
        <v>936</v>
      </c>
      <c r="G5" s="649"/>
    </row>
    <row r="6" spans="1:8" s="628" customFormat="1" ht="13.5" customHeight="1">
      <c r="A6" s="650" t="s">
        <v>1040</v>
      </c>
      <c r="B6" s="651" t="s">
        <v>1041</v>
      </c>
      <c r="C6" s="652">
        <f>基准地价修正!C33*基准地价修正!D33</f>
        <v>712172.20000000007</v>
      </c>
      <c r="D6" s="653"/>
      <c r="E6" s="654"/>
      <c r="F6" s="654"/>
      <c r="G6" s="655"/>
    </row>
    <row r="7" spans="1:8" s="628" customFormat="1" ht="13.5" customHeight="1">
      <c r="A7" s="650" t="s">
        <v>1042</v>
      </c>
      <c r="B7" s="651" t="s">
        <v>1043</v>
      </c>
      <c r="C7" s="656">
        <f>ROUND(C6*F7,0)</f>
        <v>21721</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29798</v>
      </c>
      <c r="D8" s="658"/>
      <c r="E8" s="656"/>
      <c r="F8" s="657"/>
      <c r="G8" s="2216" t="s">
        <v>2792</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29798</v>
      </c>
      <c r="D10" s="663">
        <f ca="1">IF(B1="",'数据-汇总表'!E6,IF(INDIRECT("'数据-取费表'!c"&amp;$G$1)="住宅",INDIRECT("'数据-取费表'!s"&amp;$G$1),INDIRECT("'数据-取费表'!k"&amp;$G$1)+INDIRECT("'数据-取费表'!s"&amp;$G$1)))</f>
        <v>148.99</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148.99</v>
      </c>
      <c r="E19" s="647">
        <f>'数据-取费表'!B31</f>
        <v>200</v>
      </c>
      <c r="F19" s="669"/>
      <c r="G19" s="2216" t="s">
        <v>2793</v>
      </c>
    </row>
    <row r="20" spans="1:7" s="628" customFormat="1" ht="13.5" customHeight="1">
      <c r="A20" s="645" t="s">
        <v>1069</v>
      </c>
      <c r="B20" s="646" t="s">
        <v>1070</v>
      </c>
      <c r="C20" s="387">
        <f ca="1">ROUND((C5+C19)*F20,0)</f>
        <v>22911</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47196</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46509</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687</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117990</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117990</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1031078</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747185</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670455</v>
      </c>
      <c r="D34" s="653"/>
      <c r="E34" s="656"/>
      <c r="F34" s="697"/>
      <c r="G34" s="655"/>
    </row>
    <row r="35" spans="1:7" ht="13.5" customHeight="1">
      <c r="A35" s="677" t="s">
        <v>1042</v>
      </c>
      <c r="B35" s="651" t="s">
        <v>1100</v>
      </c>
      <c r="C35" s="656">
        <f ca="1">ROUND(C34*F35,0)</f>
        <v>33523</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29798</v>
      </c>
      <c r="D37" s="653">
        <f ca="1">D19</f>
        <v>148.99</v>
      </c>
      <c r="E37" s="689">
        <f>'数据-取费表'!B35</f>
        <v>200</v>
      </c>
      <c r="F37" s="698"/>
      <c r="G37" s="700"/>
    </row>
    <row r="38" spans="1:7" ht="13.5" customHeight="1">
      <c r="A38" s="677" t="s">
        <v>1106</v>
      </c>
      <c r="B38" s="651" t="s">
        <v>972</v>
      </c>
      <c r="C38" s="656">
        <f ca="1">ROUND(C34*F38,0)</f>
        <v>13409</v>
      </c>
      <c r="D38" s="656"/>
      <c r="E38" s="656"/>
      <c r="F38" s="698">
        <f>'数据-取费表'!B36</f>
        <v>0.02</v>
      </c>
      <c r="G38" s="655" t="s">
        <v>1101</v>
      </c>
    </row>
    <row r="39" spans="1:7" s="628" customFormat="1" ht="13.5" customHeight="1">
      <c r="A39" s="645" t="s">
        <v>1067</v>
      </c>
      <c r="B39" s="646" t="s">
        <v>1070</v>
      </c>
      <c r="C39" s="387">
        <f ca="1">ROUND(C33*F20,0)</f>
        <v>22416</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23088</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22416</v>
      </c>
      <c r="D42" s="392"/>
      <c r="E42" s="392"/>
      <c r="F42" s="679"/>
      <c r="G42" s="3361" t="s">
        <v>1130</v>
      </c>
    </row>
    <row r="43" spans="1:7" ht="13.5" customHeight="1">
      <c r="A43" s="677" t="s">
        <v>1042</v>
      </c>
      <c r="B43" s="651" t="s">
        <v>1080</v>
      </c>
      <c r="C43" s="392">
        <f ca="1">ROUND(IF('数据-取费表'!B22&lt;=1,C39*F22*'数据-取费表'!B20/2,C39*(POWER((1+F22),'数据-取费表'!B20/2)-1)),0)</f>
        <v>672</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115440</v>
      </c>
      <c r="D45" s="672">
        <f ca="1">C47</f>
        <v>3.0000000000000001E-3</v>
      </c>
      <c r="E45" s="673" t="s">
        <v>1108</v>
      </c>
      <c r="F45" s="686">
        <f ca="1">F27</f>
        <v>0.15</v>
      </c>
      <c r="G45" s="687" t="s">
        <v>1111</v>
      </c>
    </row>
    <row r="46" spans="1:7" s="628" customFormat="1" ht="13.5" customHeight="1">
      <c r="A46" s="677" t="s">
        <v>1040</v>
      </c>
      <c r="B46" s="688" t="s">
        <v>1112</v>
      </c>
      <c r="C46" s="689">
        <f ca="1">ROUND((C33+C39)*F27,0)</f>
        <v>115440</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983782</v>
      </c>
      <c r="D49" s="387"/>
      <c r="E49" s="387"/>
      <c r="F49" s="703"/>
      <c r="G49" s="674" t="s">
        <v>1116</v>
      </c>
    </row>
    <row r="50" spans="1:7" s="225" customFormat="1">
      <c r="A50" s="645" t="s">
        <v>1117</v>
      </c>
      <c r="B50" s="646" t="s">
        <v>1118</v>
      </c>
      <c r="C50" s="387"/>
      <c r="D50" s="387"/>
      <c r="E50" s="387"/>
      <c r="F50" s="703">
        <f>IF('数据-取费表'!B24=0,'数据-取费表'!N16,1)</f>
        <v>0.76</v>
      </c>
      <c r="G50" s="687"/>
    </row>
    <row r="51" spans="1:7" ht="16.5" customHeight="1">
      <c r="A51" s="645" t="s">
        <v>1120</v>
      </c>
      <c r="B51" s="646" t="s">
        <v>1132</v>
      </c>
      <c r="C51" s="387">
        <f ca="1">ROUND(C49*F50,0)</f>
        <v>747674</v>
      </c>
      <c r="D51" s="387"/>
      <c r="E51" s="387"/>
      <c r="F51" s="703"/>
      <c r="G51" s="674" t="s">
        <v>1122</v>
      </c>
    </row>
    <row r="52" spans="1:7" s="627" customFormat="1" ht="15.75">
      <c r="A52" s="704" t="s">
        <v>1123</v>
      </c>
      <c r="B52" s="705"/>
      <c r="C52" s="706">
        <f ca="1">C31+C51</f>
        <v>1778752</v>
      </c>
      <c r="D52" s="705"/>
      <c r="E52" s="705"/>
      <c r="F52" s="705"/>
      <c r="G52" s="707"/>
    </row>
    <row r="55" spans="1:7" ht="15">
      <c r="B55" s="511" t="s">
        <v>1124</v>
      </c>
      <c r="C55" s="708"/>
    </row>
    <row r="56" spans="1:7">
      <c r="B56" s="503" t="s">
        <v>1125</v>
      </c>
      <c r="C56" s="514">
        <f ca="1">1-C57</f>
        <v>0.58000000000000007</v>
      </c>
    </row>
    <row r="57" spans="1:7">
      <c r="B57" s="503" t="s">
        <v>1126</v>
      </c>
      <c r="C57" s="513">
        <f ca="1">ROUND(C51/C52,3)</f>
        <v>0.42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148.99</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71</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7370</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4765</v>
      </c>
      <c r="C3" s="799" t="s">
        <v>1034</v>
      </c>
      <c r="D3" s="800" t="s">
        <v>1728</v>
      </c>
      <c r="E3" s="803" t="s">
        <v>245</v>
      </c>
      <c r="F3" s="804" t="s">
        <v>2790</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5681</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4634</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3934</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3584</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1747</v>
      </c>
      <c r="X8" s="3504"/>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1796</v>
      </c>
      <c r="B20" s="877" t="s">
        <v>1797</v>
      </c>
      <c r="C20" s="878">
        <f>ROUND(IF(F21="与级别开发程度一致",0,(G21-E21)/C21),0)</f>
        <v>0</v>
      </c>
      <c r="D20" s="879" t="s">
        <v>1798</v>
      </c>
      <c r="E20" s="880"/>
      <c r="F20" s="3505" t="s">
        <v>1799</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2791</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45909</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0.82769999999999999</v>
      </c>
      <c r="D24" s="903" t="s">
        <v>1810</v>
      </c>
      <c r="E24" s="904">
        <f>存贷款利率!E28/100</f>
        <v>4.3499999999999997E-2</v>
      </c>
      <c r="F24" s="903" t="s">
        <v>1811</v>
      </c>
      <c r="G24" s="905">
        <f>SUMIF(M30:Q30,E2,M33:Q33)</f>
        <v>5.5E-2</v>
      </c>
      <c r="H24" s="903" t="s">
        <v>1812</v>
      </c>
      <c r="I24" s="1034">
        <f>SUMIF('数据-取费表'!C6:C15,E2,'数据-取费表'!F6:F15)/COUNTIF('数据-取费表'!C6:C15,E2)</f>
        <v>27.51</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71</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4780</v>
      </c>
      <c r="D33" s="939">
        <f>'数据-汇总表'!F19</f>
        <v>148.99</v>
      </c>
      <c r="E33" s="940">
        <f>ROUND(C33*D33/10000,0)</f>
        <v>71</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1195</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1853</v>
      </c>
      <c r="C37" s="938">
        <f>ROUND(D5*C22*C23*C24*C28*F37,0)</f>
        <v>2390</v>
      </c>
      <c r="D37" s="939"/>
      <c r="E37" s="802">
        <f>ROUND(C37*D37/10000,0)</f>
        <v>0</v>
      </c>
      <c r="F37" s="802">
        <f>SUMIF(修正!A59:A70,G2,修正!B59:B70)</f>
        <v>0.5</v>
      </c>
      <c r="G37" s="802">
        <f>ROUND(IF(E2="工业",C37*$M$42,C37*$M$41),0)</f>
        <v>598</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1855</v>
      </c>
      <c r="C38" s="938">
        <f>ROUND(D5*C22*C23*C24*C28*F38,0)</f>
        <v>956</v>
      </c>
      <c r="D38" s="939"/>
      <c r="E38" s="802">
        <f t="shared" ref="E38:E42" si="4">ROUND(C38*D38/10000,0)</f>
        <v>0</v>
      </c>
      <c r="F38" s="802">
        <f>SUMIF(修正!A59:A70,G2,修正!C59:C70)</f>
        <v>0.2</v>
      </c>
      <c r="G38" s="802">
        <f>ROUND(IF(E2="工业",C38*$M$42,C38*$M$41),0)</f>
        <v>239</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1856</v>
      </c>
      <c r="C39" s="938">
        <f>ROUND(D5*C22*C23*C24*C28*F39,0)</f>
        <v>956</v>
      </c>
      <c r="D39" s="939"/>
      <c r="E39" s="802">
        <f t="shared" si="4"/>
        <v>0</v>
      </c>
      <c r="F39" s="802">
        <f>SUMIF(修正!A59:A70,G2,修正!D59:D70)</f>
        <v>0.2</v>
      </c>
      <c r="G39" s="802">
        <f>ROUND(IF(E2="工业",C39*$M$42,C39*$M$41),0)</f>
        <v>239</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956</v>
      </c>
      <c r="D40" s="939"/>
      <c r="E40" s="802">
        <f t="shared" si="4"/>
        <v>0</v>
      </c>
      <c r="F40" s="938">
        <f>SUMIF(修正!A59:A70,G2,修正!E59:E70)</f>
        <v>0.2</v>
      </c>
      <c r="G40" s="802">
        <f>ROUND(IF(E2="工业",C40*$M$42,C40*$M$41),0)</f>
        <v>239</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1896</v>
      </c>
      <c r="B103" s="3507"/>
      <c r="C103" s="3507"/>
      <c r="D103" s="3507"/>
      <c r="E103" s="3507"/>
      <c r="F103" s="3507"/>
      <c r="G103" s="3507"/>
      <c r="H103" s="3507"/>
      <c r="I103" s="3507"/>
      <c r="J103" s="3507"/>
      <c r="K103" s="1137"/>
      <c r="L103" s="1137"/>
      <c r="M103" s="1137"/>
      <c r="N103" s="1137"/>
    </row>
    <row r="104" spans="1:14">
      <c r="A104" s="3513" t="s">
        <v>1897</v>
      </c>
      <c r="B104" s="3513" t="s">
        <v>1898</v>
      </c>
      <c r="C104" s="1139" t="s">
        <v>1899</v>
      </c>
      <c r="D104" s="1140"/>
      <c r="E104" s="1140"/>
      <c r="F104" s="1140"/>
      <c r="G104" s="1140"/>
      <c r="H104" s="1140"/>
      <c r="I104" s="1140"/>
      <c r="J104" s="1159"/>
      <c r="K104" s="1160"/>
      <c r="L104" s="1160"/>
      <c r="M104" s="1160"/>
      <c r="N104" s="1160"/>
    </row>
    <row r="105" spans="1:14">
      <c r="A105" s="3513"/>
      <c r="B105" s="3513"/>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14"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1901</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16" t="s">
        <v>110</v>
      </c>
      <c r="E3" s="3116" t="s">
        <v>111</v>
      </c>
      <c r="F3" s="3116" t="s">
        <v>110</v>
      </c>
      <c r="G3" s="3116" t="s">
        <v>111</v>
      </c>
      <c r="H3" s="3116" t="s">
        <v>110</v>
      </c>
      <c r="I3" s="3116" t="s">
        <v>111</v>
      </c>
    </row>
    <row r="4" spans="1:9" ht="15">
      <c r="A4" s="3117" t="str">
        <f>项目基本情况!S2</f>
        <v>北京市房地产</v>
      </c>
      <c r="B4" s="3116">
        <f>项目基本情况!C17</f>
        <v>148.99</v>
      </c>
      <c r="C4" s="3116">
        <f>项目基本情况!C18</f>
        <v>0</v>
      </c>
      <c r="D4" s="3116">
        <f ca="1">结果表!D118</f>
        <v>444</v>
      </c>
      <c r="E4" s="3116">
        <f ca="1">结果表!E118</f>
        <v>29810</v>
      </c>
      <c r="F4" s="3116">
        <f ca="1">结果表!F118</f>
        <v>136</v>
      </c>
      <c r="G4" s="3116">
        <f ca="1">结果表!G118</f>
        <v>9107</v>
      </c>
      <c r="H4" s="3116">
        <f ca="1">结果表!H118</f>
        <v>580</v>
      </c>
      <c r="I4" s="3116">
        <f ca="1">结果表!I118</f>
        <v>38917</v>
      </c>
    </row>
    <row r="5" spans="1:9" ht="30" customHeight="1">
      <c r="A5" s="3192" t="s">
        <v>112</v>
      </c>
      <c r="B5" s="3192"/>
      <c r="C5" s="3192"/>
      <c r="D5" s="3192" t="str">
        <f ca="1">结果表!D119</f>
        <v>肆佰肆拾肆万元整</v>
      </c>
      <c r="E5" s="3192"/>
      <c r="F5" s="3192" t="str">
        <f ca="1">结果表!F119</f>
        <v>壹佰叁拾陆万元整</v>
      </c>
      <c r="G5" s="3192"/>
      <c r="H5" s="3192" t="str">
        <f ca="1">结果表!H119</f>
        <v>伍佰捌拾万元整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f ca="1">结果表!D122</f>
        <v>580</v>
      </c>
      <c r="E8" s="3193"/>
      <c r="F8" s="3193"/>
      <c r="G8" s="3193"/>
      <c r="H8" s="3193"/>
      <c r="I8" s="3193"/>
    </row>
    <row r="9" spans="1:9" ht="15">
      <c r="A9" s="3192" t="s">
        <v>112</v>
      </c>
      <c r="B9" s="3192"/>
      <c r="C9" s="3192"/>
      <c r="D9" s="3192" t="str">
        <f ca="1">结果表!D123</f>
        <v>伍佰捌拾万元整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199" t="s">
        <v>114</v>
      </c>
      <c r="B1" s="3199"/>
      <c r="C1" s="3199"/>
      <c r="D1" s="3199"/>
    </row>
    <row r="2" spans="1:4" ht="18">
      <c r="A2" s="3200" t="s">
        <v>115</v>
      </c>
      <c r="B2" s="3200"/>
      <c r="C2" s="3200"/>
      <c r="D2" s="3200"/>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0" t="s">
        <v>121</v>
      </c>
      <c r="B6" s="3200"/>
      <c r="C6" s="3200"/>
      <c r="D6" s="3200"/>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45909</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2025-09-09T05:27:52Z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