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C34" i="34"/>
  <c r="J49" i="67"/>
  <c r="Y6" i="1"/>
  <c r="N6" i="1"/>
  <c r="O19" i="1"/>
  <c r="N18" i="1"/>
  <c r="N20" i="1" s="1"/>
  <c r="B43" i="1"/>
  <c r="F19" i="6"/>
  <c r="D3" i="4"/>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U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H17" i="34"/>
  <c r="AB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s="1"/>
  <c r="J30" i="34"/>
  <c r="H32" i="34"/>
  <c r="F32" i="34"/>
  <c r="S32" i="34" s="1"/>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s="1"/>
  <c r="H29" i="34"/>
  <c r="AB29" i="34" s="1"/>
  <c r="F31" i="34"/>
  <c r="S31" i="34" s="1"/>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35"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B45" i="34"/>
  <c r="AB47" i="34"/>
  <c r="U25" i="34"/>
  <c r="AC14" i="34"/>
  <c r="AC32" i="34"/>
  <c r="AC29" i="34"/>
  <c r="W29" i="34"/>
  <c r="W46" i="34"/>
  <c r="AC46" i="34"/>
  <c r="AA32" i="34"/>
  <c r="U30" i="34"/>
  <c r="AB30" i="34"/>
  <c r="AA19" i="34"/>
  <c r="S19"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15"/>
  <c r="L48" i="15"/>
  <c r="F40" i="67"/>
  <c r="C76" i="15"/>
  <c r="F36" i="67"/>
  <c r="F20" i="31"/>
  <c r="F7" i="15"/>
  <c r="B7" i="76"/>
  <c r="E9" i="76"/>
  <c r="M9" i="67"/>
  <c r="M6" i="15"/>
  <c r="E7" i="76"/>
  <c r="D6" i="73"/>
  <c r="M8" i="15"/>
  <c r="F38" i="15"/>
  <c r="F42" i="15"/>
  <c r="F43" i="15"/>
  <c r="B10" i="76"/>
  <c r="B9" i="76"/>
  <c r="F43" i="67"/>
  <c r="C76" i="67"/>
  <c r="F3" i="73"/>
  <c r="M8" i="67"/>
  <c r="L48" i="67"/>
  <c r="F7" i="73"/>
  <c r="M23" i="67"/>
  <c r="E8" i="76"/>
  <c r="B11" i="76"/>
  <c r="M22" i="15"/>
  <c r="F8" i="15"/>
  <c r="F37" i="15"/>
  <c r="E12" i="76"/>
  <c r="F6" i="15"/>
  <c r="L47" i="15"/>
  <c r="L47" i="67"/>
  <c r="F26" i="67"/>
  <c r="E11" i="76"/>
  <c r="M24" i="15"/>
  <c r="F37" i="67"/>
  <c r="B13" i="76"/>
  <c r="B8" i="76"/>
  <c r="F4" i="73"/>
  <c r="F5" i="73"/>
  <c r="F13" i="15"/>
  <c r="M9" i="15"/>
  <c r="AO13" i="1"/>
  <c r="M28" i="67"/>
  <c r="M22" i="67"/>
  <c r="F7" i="67"/>
  <c r="E2" i="68"/>
  <c r="E13" i="76"/>
  <c r="M24" i="67"/>
  <c r="F42" i="67"/>
  <c r="D35" i="9"/>
  <c r="F16" i="67"/>
  <c r="M28" i="15"/>
  <c r="F9" i="67"/>
  <c r="F9" i="15"/>
  <c r="M26" i="15"/>
  <c r="F40" i="15"/>
  <c r="M29" i="67"/>
  <c r="F6" i="73"/>
  <c r="M6" i="67"/>
  <c r="E2" i="69"/>
  <c r="M26" i="67"/>
  <c r="F8" i="67"/>
  <c r="B12" i="76"/>
  <c r="F16" i="15"/>
  <c r="D34" i="9"/>
  <c r="F26" i="15"/>
  <c r="F6" i="67"/>
  <c r="M23" i="15"/>
  <c r="J15" i="67"/>
  <c r="M29" i="15"/>
  <c r="J15" i="15"/>
  <c r="F38" i="67"/>
  <c r="F13" i="67"/>
  <c r="E10" i="76"/>
  <c r="S37" i="34" l="1"/>
  <c r="B67" i="43"/>
  <c r="B57" i="43"/>
  <c r="B56" i="43"/>
  <c r="B77" i="43"/>
  <c r="AC31" i="34"/>
  <c r="W31" i="34"/>
  <c r="AA30" i="34"/>
  <c r="U29" i="34"/>
  <c r="H31" i="34"/>
  <c r="AB31" i="34" s="1"/>
  <c r="AA31" i="34"/>
  <c r="U34" i="34"/>
  <c r="AA40" i="34"/>
  <c r="AA33" i="34"/>
  <c r="S44" i="34"/>
  <c r="AC44" i="34"/>
  <c r="S43" i="34"/>
  <c r="AB43" i="34"/>
  <c r="AC40" i="34"/>
  <c r="U38" i="34"/>
  <c r="S35" i="34"/>
  <c r="AC23" i="34"/>
  <c r="S23" i="34"/>
  <c r="AB23" i="34"/>
  <c r="U21" i="34"/>
  <c r="S21" i="34"/>
  <c r="U17" i="34"/>
  <c r="AC17" i="34"/>
  <c r="U15" i="34"/>
  <c r="AC38" i="34"/>
  <c r="AB39" i="34"/>
  <c r="AC39" i="34"/>
  <c r="AB40" i="34"/>
  <c r="W43" i="34"/>
  <c r="AC36" i="34"/>
  <c r="AA36" i="34"/>
  <c r="AB36" i="34"/>
  <c r="W33" i="34"/>
  <c r="AB33" i="34"/>
  <c r="AC27" i="34"/>
  <c r="U27" i="34"/>
  <c r="S8" i="34"/>
  <c r="W9" i="34"/>
  <c r="W8" i="34"/>
  <c r="D93" i="9"/>
  <c r="B41" i="1"/>
  <c r="F53" i="9" s="1"/>
  <c r="C21"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3" i="73"/>
  <c r="D7" i="73"/>
  <c r="C16" i="67"/>
  <c r="D5" i="73"/>
  <c r="C16" i="15"/>
  <c r="U31" i="34" l="1"/>
  <c r="F48" i="9"/>
  <c r="O52" i="9" s="1"/>
  <c r="F30" i="11"/>
  <c r="M18" i="67"/>
  <c r="M18" i="15"/>
  <c r="F30" i="68"/>
  <c r="F28" i="67"/>
  <c r="C28" i="67" s="1"/>
  <c r="F32" i="67"/>
  <c r="F60" i="67" s="1"/>
  <c r="F28" i="15"/>
  <c r="C28" i="15" s="1"/>
  <c r="F31" i="12"/>
  <c r="C31" i="12" s="1"/>
  <c r="D68" i="9"/>
  <c r="F52" i="9"/>
  <c r="F54" i="9"/>
  <c r="F30" i="69"/>
  <c r="F32" i="15"/>
  <c r="F60" i="15" s="1"/>
  <c r="N94" i="46"/>
  <c r="N370" i="46"/>
  <c r="G26" i="43"/>
  <c r="J26" i="43"/>
  <c r="P6" i="1"/>
  <c r="C13" i="12" s="1"/>
  <c r="K16" i="1"/>
  <c r="E26" i="43"/>
  <c r="D20" i="53"/>
  <c r="B40" i="72" s="1"/>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C48" i="11" l="1"/>
  <c r="C30" i="11"/>
  <c r="F48" i="69"/>
  <c r="C48" i="69"/>
  <c r="C30" i="69"/>
  <c r="F48" i="68"/>
  <c r="C30" i="68"/>
  <c r="C48" i="68"/>
  <c r="H10" i="40"/>
  <c r="AB10" i="40" s="1"/>
  <c r="J10" i="39"/>
  <c r="W10" i="39" s="1"/>
  <c r="J10" i="40"/>
  <c r="AC10" i="40" s="1"/>
  <c r="S10" i="39"/>
  <c r="H10" i="39"/>
  <c r="U10" i="39" s="1"/>
  <c r="E3" i="6"/>
  <c r="F10" i="40"/>
  <c r="S10" i="40"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41" i="15"/>
  <c r="M27" i="15"/>
  <c r="M27" i="67"/>
  <c r="R50" i="34" l="1"/>
  <c r="AB10" i="39"/>
  <c r="G54" i="34"/>
  <c r="H54" i="34" s="1"/>
  <c r="W10" i="40"/>
  <c r="AA10" i="40"/>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E53" i="34" l="1"/>
  <c r="F53" i="34" s="1"/>
  <c r="C44" i="68"/>
  <c r="D41" i="68" s="1"/>
  <c r="C44" i="11"/>
  <c r="D41" i="11" s="1"/>
  <c r="I54" i="34"/>
  <c r="J54" i="34"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5"/>
  <c r="D2" i="36"/>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12" i="1"/>
  <c r="AO6" i="1"/>
  <c r="AO11" i="1"/>
  <c r="AO7" i="1"/>
  <c r="AO8" i="1"/>
  <c r="AO9"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D52" i="9"/>
  <c r="D53" i="9"/>
  <c r="M66" i="9"/>
  <c r="C93" i="9"/>
  <c r="C86" i="9"/>
  <c r="D8" i="52"/>
  <c r="L66" i="9"/>
  <c r="B47" i="72"/>
  <c r="B30" i="72"/>
  <c r="H4" i="52"/>
  <c r="C104" i="9"/>
  <c r="M55" i="9"/>
  <c r="L67" i="9"/>
  <c r="M67" i="9"/>
  <c r="M54" i="9"/>
  <c r="D122" i="9"/>
  <c r="D123" i="9"/>
  <c r="D9" i="52"/>
  <c r="B53" i="72"/>
  <c r="D59" i="9"/>
  <c r="B52" i="72"/>
  <c r="N69" i="9"/>
  <c r="E96" i="9"/>
  <c r="E97" i="9"/>
  <c r="B48" i="72"/>
  <c r="N57" i="9"/>
  <c r="E81" i="9"/>
  <c r="B21" i="72"/>
  <c r="C68" i="9"/>
  <c r="D54" i="9"/>
  <c r="C5" i="74"/>
  <c r="D7" i="53"/>
  <c r="L65" i="9"/>
  <c r="M65" i="9"/>
  <c r="M48" i="9"/>
  <c r="H102" i="9"/>
  <c r="C105" i="9"/>
  <c r="I4" i="52"/>
  <c r="B20" i="72"/>
  <c r="D13" i="53"/>
  <c r="D14" i="53"/>
  <c r="B32" i="72"/>
  <c r="C78" i="9"/>
  <c r="C73" i="9"/>
  <c r="B31" i="72"/>
  <c r="D55" i="9"/>
  <c r="M53" i="9"/>
  <c r="E80" i="9"/>
  <c r="L68" i="9"/>
  <c r="M68" i="9"/>
  <c r="F4" i="52"/>
  <c r="B51" i="72"/>
  <c r="D4" i="52"/>
  <c r="C67" i="9"/>
  <c r="D15" i="53"/>
  <c r="H108" i="9"/>
  <c r="C6" i="74"/>
  <c r="C80" i="9"/>
  <c r="C72" i="9"/>
  <c r="C79" i="9"/>
  <c r="C81" i="9"/>
  <c r="N61" i="9"/>
  <c r="N59" i="9"/>
  <c r="N60" i="9"/>
  <c r="L64" i="9"/>
  <c r="M64" i="9"/>
  <c r="D5" i="53"/>
  <c r="D6" i="53"/>
  <c r="B22" i="72"/>
  <c r="D58" i="9"/>
  <c r="D56" i="9"/>
  <c r="F119" i="9"/>
  <c r="F5" i="52"/>
  <c r="D119" i="9"/>
  <c r="D5" i="52"/>
  <c r="B49" i="72"/>
  <c r="G4" i="52"/>
  <c r="G118" i="9"/>
  <c r="F118" i="9"/>
  <c r="D118" i="9"/>
  <c r="E118" i="9"/>
  <c r="E4" i="52"/>
  <c r="C96" i="9"/>
  <c r="C85" i="9"/>
  <c r="C95" i="9"/>
  <c r="C97" i="9"/>
  <c r="H107" i="9"/>
  <c r="M49" i="9"/>
  <c r="L63" i="9"/>
  <c r="M63" i="9"/>
  <c r="M69" i="9"/>
  <c r="H101" i="9"/>
  <c r="D45" i="9"/>
  <c r="C64" i="9"/>
  <c r="C63" i="9"/>
  <c r="I118" i="9"/>
  <c r="H118" i="9"/>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<sst xmlns="http://schemas.openxmlformats.org/spreadsheetml/2006/main" count="7947" uniqueCount="3457">
  <si>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</si>
  <si>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</si>
  <si>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</si>
  <si>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</si>
  <si>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</si>
  <si>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</si>
  <si>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</si>
  <si>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</si>
  <si>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</si>
  <si>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</si>
  <si>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</si>
  <si>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</si>
  <si>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</si>
  <si>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</si>
  <si>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</si>
  <si>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</si>
  <si>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</si>
  <si>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</si>
  <si>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</si>
  <si>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</si>
  <si>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</si>
  <si>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</si>
  <si>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</si>
  <si>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</si>
  <si>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</si>
  <si>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</si>
  <si>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</si>
  <si>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</si>
  <si>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</si>
  <si>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</si>
  <si>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</si>
  <si>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</si>
  <si>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</si>
  <si>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</si>
  <si>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</si>
  <si>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</si>
  <si>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</si>
  <si>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</si>
  <si>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</si>
  <si>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</si>
  <si>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</si>
  <si>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</si>
  <si>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</si>
  <si>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</si>
  <si>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</si>
  <si>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</si>
  <si>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</si>
  <si>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</si>
  <si>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</si>
  <si>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</si>
  <si>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</si>
  <si>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</si>
  <si>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</si>
  <si>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</si>
  <si>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</si>
  <si>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</si>
  <si>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</si>
  <si>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</si>
  <si>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</si>
  <si>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</si>
  <si>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</si>
  <si>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</si>
  <si>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</si>
  <si>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</si>
  <si>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</si>
  <si>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</si>
  <si>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</si>
  <si>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</si>
  <si>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</si>
  <si>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</si>
  <si>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</si>
  <si>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</si>
  <si>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</si>
  <si>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</si>
  <si>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</si>
  <si>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</si>
  <si>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</si>
  <si>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</si>
  <si>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</si>
  <si>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</si>
  <si>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</si>
  <si>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</si>
  <si>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</si>
  <si>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</si>
  <si>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</si>
  <si>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</si>
  <si>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</si>
  <si>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</si>
  <si>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</si>
  <si>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</si>
  <si>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</si>
  <si>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</si>
  <si>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</si>
  <si>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</si>
  <si>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</si>
  <si>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</si>
  <si>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</si>
  <si>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</si>
  <si>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</si>
  <si>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</si>
  <si>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</si>
  <si>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</si>
  <si>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</si>
  <si>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</si>
  <si>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</si>
  <si>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</si>
  <si>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</si>
  <si>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</si>
  <si>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</si>
  <si>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</si>
  <si>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</si>
  <si>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</si>
  <si>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</si>
  <si>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</si>
  <si>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</si>
  <si>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</si>
  <si>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</si>
  <si>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</si>
  <si>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</si>
  <si>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</si>
  <si>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</si>
  <si>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</si>
  <si>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</si>
  <si>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</si>
  <si>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</si>
  <si>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</si>
  <si>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</si>
  <si>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</si>
  <si>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</si>
  <si>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</si>
  <si>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</si>
  <si>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</si>
  <si>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</si>
  <si>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</si>
  <si>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</si>
  <si>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</si>
  <si>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</si>
  <si>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</si>
  <si>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</si>
  <si>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</si>
  <si>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</si>
  <si>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</si>
  <si>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</si>
  <si>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</si>
  <si>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</si>
  <si>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</si>
  <si>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</si>
  <si>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</si>
  <si>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</si>
  <si>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</si>
  <si>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</si>
  <si>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</si>
  <si>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</si>
  <si>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</si>
  <si>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</si>
  <si>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</si>
  <si>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</si>
  <si>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</si>
  <si>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</si>
  <si>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</si>
  <si>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</si>
  <si>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</si>
  <si>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</si>
  <si>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</si>
  <si>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</si>
  <si>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</si>
  <si>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</si>
  <si>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</si>
  <si>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</si>
  <si>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</si>
  <si>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</si>
  <si>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</si>
  <si>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</si>
  <si>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</si>
  <si>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</si>
  <si>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</si>
  <si>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</si>
  <si>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</si>
  <si>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</si>
  <si>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</si>
  <si>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</si>
  <si>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</si>
  <si>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</si>
  <si>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</si>
  <si>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</si>
  <si>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</si>
  <si>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</si>
  <si>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</si>
  <si>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</si>
  <si>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</si>
  <si>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</si>
  <si>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</si>
  <si>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</si>
  <si>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</si>
  <si>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</si>
  <si>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</si>
  <si>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</si>
  <si>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</si>
  <si>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</si>
  <si>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</si>
  <si>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</si>
  <si>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</si>
  <si>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</si>
  <si>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</si>
  <si>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</si>
  <si>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</si>
  <si>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</si>
  <si>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</si>
  <si>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</si>
  <si>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</si>
  <si>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</si>
  <si>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</si>
  <si>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</si>
  <si>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</si>
  <si>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</si>
  <si>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</si>
  <si>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</si>
  <si>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</si>
  <si>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</si>
  <si>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</si>
  <si>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</si>
  <si>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</si>
  <si>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</si>
  <si>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</si>
  <si>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</si>
  <si>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</si>
  <si>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</si>
  <si>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</si>
  <si>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</si>
  <si>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</si>
  <si>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</si>
  <si>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</si>
  <si>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</si>
  <si>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</si>
  <si>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</si>
  <si>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</si>
  <si>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</si>
  <si>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</si>
  <si>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</si>
  <si>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</si>
  <si>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</si>
  <si>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</si>
  <si>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</si>
  <si>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</si>
  <si>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</si>
  <si>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</si>
  <si>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</si>
  <si>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</si>
  <si>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</si>
  <si>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</si>
  <si>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</si>
  <si>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</si>
  <si>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</si>
  <si>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</si>
  <si>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</si>
  <si>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</si>
  <si>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</si>
  <si>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</si>
  <si>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</si>
  <si>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</si>
  <si>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</si>
  <si>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</si>
  <si>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</si>
  <si>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</si>
  <si>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</si>
  <si>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</si>
  <si>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</si>
  <si>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</si>
  <si>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</si>
  <si>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</si>
  <si>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</si>
  <si>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</si>
  <si>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</si>
  <si>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</si>
  <si>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</si>
  <si>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</si>
  <si>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</si>
  <si>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</si>
  <si>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</si>
  <si>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</si>
  <si>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</si>
  <si>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</si>
  <si>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</si>
  <si>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</si>
  <si>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</si>
  <si>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</si>
  <si>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</si>
  <si>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</si>
  <si>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</si>
  <si>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</si>
  <si>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</si>
  <si>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</si>
  <si>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</si>
  <si>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</si>
  <si>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</si>
  <si>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</si>
  <si>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</si>
  <si>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</si>
  <si>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</si>
  <si>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</si>
  <si>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</si>
  <si>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</si>
  <si>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</si>
  <si>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</si>
  <si>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</si>
  <si>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</si>
  <si>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</si>
  <si>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</si>
  <si>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</si>
  <si>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</si>
  <si>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</si>
  <si>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</si>
  <si>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</si>
  <si>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</si>
  <si>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</si>
  <si>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</si>
  <si>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</si>
  <si>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</si>
  <si>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</si>
  <si>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</si>
  <si>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</si>
  <si>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</si>
  <si>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</si>
  <si>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</si>
  <si>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</si>
  <si>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</si>
  <si>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</si>
  <si>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</si>
  <si>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</si>
  <si>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</si>
  <si>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</si>
  <si>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</si>
  <si>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</si>
  <si>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</si>
  <si>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</si>
  <si>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</si>
  <si>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</si>
  <si>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</si>
  <si>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</si>
  <si>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</si>
  <si>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</si>
  <si>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</si>
  <si>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</si>
  <si>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</si>
  <si>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</si>
  <si>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</si>
  <si>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</si>
  <si>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</si>
  <si>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</si>
  <si>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</si>
  <si>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</si>
  <si>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</si>
  <si>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</si>
  <si>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</si>
  <si>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</si>
  <si>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</si>
  <si>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</si>
  <si>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</si>
  <si>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</si>
  <si>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</si>
  <si>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</si>
  <si>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</si>
  <si>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</si>
  <si>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</si>
  <si>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</si>
  <si>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</si>
  <si>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</si>
  <si>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</si>
  <si>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</si>
  <si>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</si>
  <si>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</si>
  <si>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</si>
  <si>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</si>
  <si>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</si>
  <si>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</si>
  <si>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</si>
  <si>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</si>
  <si>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</si>
  <si>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</si>
  <si>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</si>
  <si>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</si>
  <si>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</si>
  <si>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</si>
  <si>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</si>
  <si>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</si>
  <si>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</si>
  <si>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</si>
  <si>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</si>
  <si>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</si>
  <si>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</si>
  <si>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</si>
  <si>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</si>
  <si>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</si>
  <si>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</si>
  <si>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</si>
  <si>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</si>
  <si>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</si>
  <si>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</si>
  <si>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</si>
  <si>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</si>
  <si>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</si>
  <si>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</si>
  <si>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</si>
  <si>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</si>
  <si>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</si>
  <si>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</si>
  <si>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</si>
  <si>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</si>
  <si>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</si>
  <si>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</si>
  <si>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</si>
  <si>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</si>
  <si>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</si>
  <si>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</si>
  <si>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</si>
  <si>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</si>
  <si>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</si>
  <si>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</si>
  <si>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</si>
  <si>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</si>
  <si>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</si>
  <si>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</si>
  <si>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</si>
  <si>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</si>
  <si>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</si>
  <si>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</si>
  <si>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</si>
  <si>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</si>
  <si>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</si>
  <si>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</si>
  <si>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</si>
  <si>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</si>
  <si>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</si>
  <si>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</si>
  <si>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</si>
  <si>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</si>
  <si>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</si>
  <si>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</si>
  <si>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</si>
  <si>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</si>
  <si>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</si>
  <si>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</si>
  <si>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</si>
  <si>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</si>
  <si>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</si>
  <si>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</si>
  <si>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</si>
  <si>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</si>
  <si>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</si>
  <si>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</si>
  <si>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</si>
  <si>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</si>
  <si>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</si>
  <si>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</si>
  <si>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</si>
  <si>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</si>
  <si>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</si>
  <si>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</si>
  <si>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</si>
  <si>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</si>
  <si>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</si>
  <si>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</si>
  <si>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</si>
  <si>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</si>
  <si>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</si>
  <si>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</si>
  <si>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</si>
  <si>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</si>
  <si>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</si>
  <si>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</si>
  <si>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</si>
  <si>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</si>
  <si>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</si>
  <si>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</si>
  <si>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</si>
  <si>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</si>
  <si>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</si>
  <si>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</si>
  <si>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</si>
  <si>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</si>
  <si>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</si>
  <si>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</si>
  <si>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</si>
  <si>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</si>
  <si>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</si>
  <si>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</si>
  <si>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</si>
  <si>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</si>
  <si>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</si>
  <si>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</si>
  <si>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</si>
  <si>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</si>
  <si>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</si>
  <si>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</si>
  <si>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</si>
  <si>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</si>
  <si>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</si>
  <si>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</si>
  <si>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</si>
  <si>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</si>
  <si>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</si>
  <si>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</si>
  <si>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</si>
  <si>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</si>
  <si>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</si>
  <si>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</si>
  <si>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</si>
  <si>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</si>
  <si>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</si>
  <si>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</si>
  <si>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</si>
  <si>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</si>
  <si>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</si>
  <si>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</si>
  <si>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</si>
  <si>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</si>
  <si>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</si>
  <si>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</si>
  <si>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</si>
  <si>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</si>
  <si>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</si>
  <si>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</si>
  <si>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</si>
  <si>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</si>
  <si>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</si>
  <si>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</si>
  <si>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</si>
  <si>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</si>
  <si>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</si>
  <si>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</si>
  <si>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</si>
  <si>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</si>
  <si>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</si>
  <si>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</si>
  <si>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</si>
  <si>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</si>
  <si>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</si>
  <si>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</si>
  <si>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</si>
  <si>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</si>
  <si>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</si>
  <si>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</si>
  <si>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</si>
  <si>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</si>
  <si>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</si>
  <si>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</si>
  <si>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</si>
  <si>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</si>
  <si>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</si>
  <si>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</si>
  <si>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</si>
  <si>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</si>
  <si>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</si>
  <si>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</si>
  <si>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</si>
  <si>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</si>
  <si>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</si>
  <si>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</si>
  <si>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</si>
  <si>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</si>
  <si>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</si>
  <si>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</si>
  <si>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</si>
  <si>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</si>
  <si>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</si>
  <si>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</si>
  <si>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</si>
  <si>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</si>
  <si>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</si>
  <si>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</si>
  <si>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</si>
  <si>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</si>
  <si>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</si>
  <si>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</si>
  <si>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</si>
  <si>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</si>
  <si>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</si>
  <si>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</si>
  <si>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</si>
  <si>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</si>
  <si>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</si>
  <si>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</si>
  <si>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</si>
  <si>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</si>
  <si>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</si>
  <si>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</si>
  <si>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</si>
  <si>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</si>
  <si>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</si>
  <si>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</si>
  <si>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</si>
  <si>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</si>
  <si>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</si>
  <si>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</si>
  <si>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</si>
  <si>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</si>
  <si>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</si>
  <si>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</si>
  <si>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</si>
  <si>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</si>
  <si>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</si>
  <si>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</si>
  <si>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</si>
  <si>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</si>
  <si>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</si>
  <si>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</si>
  <si>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</si>
  <si>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</si>
  <si>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</si>
  <si>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</si>
  <si>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</si>
  <si>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</si>
  <si>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</si>
  <si>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</si>
  <si>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</si>
  <si>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</si>
  <si>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</si>
  <si>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</si>
  <si>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</si>
  <si>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</si>
  <si>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</si>
  <si>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</si>
  <si>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</si>
  <si>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</si>
  <si>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</si>
  <si>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</si>
  <si>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</si>
  <si>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</si>
  <si>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</si>
  <si>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</si>
  <si>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</si>
  <si>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</si>
  <si>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</si>
  <si>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</si>
  <si>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</si>
  <si>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</si>
  <si>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</si>
  <si>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</si>
  <si>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</si>
  <si>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</si>
  <si>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</si>
  <si>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</si>
  <si>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</si>
  <si>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</si>
  <si>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</si>
  <si>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</si>
  <si>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</si>
  <si>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</si>
  <si>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</si>
  <si>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</si>
  <si>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</si>
  <si>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</si>
  <si>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</si>
  <si>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</si>
  <si>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</si>
  <si>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</si>
  <si>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</si>
  <si>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</si>
  <si>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</si>
  <si>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</si>
  <si>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</si>
  <si>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</si>
  <si>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</si>
  <si>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</si>
  <si>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</si>
  <si>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</si>
  <si>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</si>
  <si>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</si>
  <si>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</si>
  <si>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</si>
  <si>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</si>
  <si>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</si>
  <si>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</si>
  <si>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</si>
  <si>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</si>
  <si>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</si>
  <si>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</si>
  <si>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</si>
  <si>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</si>
  <si>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</si>
  <si>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</si>
  <si>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</si>
  <si>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</si>
  <si>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</si>
  <si>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</si>
  <si>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</si>
  <si>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</si>
  <si>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</si>
  <si>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</si>
  <si>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</si>
  <si>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</si>
  <si>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</si>
  <si>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</si>
  <si>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</si>
  <si>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</si>
  <si>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</si>
  <si>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</si>
  <si>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</si>
  <si>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</si>
  <si>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</si>
  <si>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</si>
  <si>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</si>
  <si>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</si>
  <si>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</si>
  <si>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</si>
  <si>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</si>
  <si>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</si>
  <si>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</si>
  <si>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</si>
  <si>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</si>
  <si>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</si>
  <si>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</si>
  <si>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</si>
  <si>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</si>
  <si>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</si>
  <si>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</si>
  <si>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</si>
  <si>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</si>
  <si>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</si>
  <si>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</si>
  <si>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</si>
  <si>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</si>
  <si>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</si>
  <si>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</si>
  <si>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</si>
  <si>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</si>
  <si>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</si>
  <si>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</si>
  <si>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</si>
  <si>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</si>
  <si>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</si>
  <si>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</si>
  <si>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</si>
  <si>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</si>
  <si>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</si>
  <si>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</si>
  <si>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</si>
  <si>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</si>
  <si>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</si>
  <si>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</si>
  <si>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</si>
  <si>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</si>
  <si>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</si>
  <si>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</si>
  <si>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</si>
  <si>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</si>
  <si>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</si>
  <si>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</si>
  <si>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</si>
  <si>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</si>
  <si>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</si>
  <si>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</si>
  <si>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</si>
  <si>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</si>
  <si>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</si>
  <si>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</si>
  <si>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</si>
  <si>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</si>
  <si>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</si>
  <si>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</si>
  <si>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</si>
  <si>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</si>
  <si>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</si>
  <si>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</si>
  <si>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</si>
  <si>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</si>
  <si>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</si>
  <si>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</si>
  <si>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</si>
  <si>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</si>
  <si>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</si>
  <si>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</si>
  <si>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</si>
  <si>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</si>
  <si>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</si>
  <si>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</si>
  <si>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</si>
  <si>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</si>
  <si>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</si>
  <si>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</si>
  <si>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</si>
  <si>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</si>
  <si>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</si>
  <si>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</si>
  <si>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</si>
  <si>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</si>
  <si>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</si>
  <si>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</si>
  <si>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</si>
  <si>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</si>
  <si>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</si>
  <si>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</si>
  <si>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</si>
  <si>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</si>
  <si>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</si>
  <si>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</si>
  <si>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</si>
  <si>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</si>
  <si>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</si>
  <si>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</si>
  <si>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</si>
  <si>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</si>
  <si>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</si>
  <si>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</si>
  <si>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</si>
  <si>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</si>
  <si>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</si>
  <si>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</si>
  <si>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</si>
  <si>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</si>
  <si>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</si>
  <si>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</si>
  <si>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</si>
  <si>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</si>
  <si>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</si>
  <si>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</si>
  <si>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</si>
  <si>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</si>
  <si>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</si>
  <si>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</si>
  <si>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</si>
  <si>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</si>
  <si>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</si>
  <si>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</si>
  <si>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</si>
  <si>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</si>
  <si>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</si>
  <si>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</si>
  <si>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</si>
  <si>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</si>
  <si>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</si>
  <si>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</si>
  <si>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</si>
  <si>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</si>
  <si>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</si>
  <si>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</si>
  <si>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</si>
  <si>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</si>
  <si>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</si>
  <si>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</si>
  <si>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</si>
  <si>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</si>
  <si>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</si>
  <si>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</si>
  <si>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</si>
  <si>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</si>
  <si>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</si>
  <si>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</si>
  <si>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</si>
  <si>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</si>
  <si>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</si>
  <si>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</si>
  <si>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</si>
  <si>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</si>
  <si>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</si>
  <si>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</si>
  <si>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</si>
  <si>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</si>
  <si>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</si>
  <si>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</si>
  <si>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</si>
  <si>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</si>
  <si>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</si>
  <si>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</si>
  <si>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</si>
  <si>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</si>
  <si>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</si>
  <si>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</si>
  <si>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</si>
  <si>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</si>
  <si>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</si>
  <si>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</si>
  <si>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</si>
  <si>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</si>
  <si>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</si>
  <si>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</si>
  <si>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</si>
  <si>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</si>
  <si>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</si>
  <si>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</si>
  <si>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</si>
  <si>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</si>
  <si>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</si>
  <si>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</si>
  <si>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</si>
  <si>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</si>
  <si>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</si>
  <si>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</si>
  <si>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</si>
  <si>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</si>
  <si>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</si>
  <si>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</si>
  <si>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</si>
  <si>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</si>
  <si>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</si>
  <si>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</si>
  <si>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</si>
  <si>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</si>
  <si>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</si>
  <si>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</si>
  <si>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</si>
  <si>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</si>
  <si>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</si>
  <si>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</si>
  <si>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</si>
  <si>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</si>
  <si>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</si>
  <si>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</si>
  <si>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</si>
  <si>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</si>
  <si>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</si>
  <si>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</si>
  <si>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</si>
  <si>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</si>
  <si>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</si>
  <si>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</si>
  <si>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</si>
  <si>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</si>
  <si>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</si>
  <si>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</si>
  <si>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</si>
  <si>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</si>
  <si>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</si>
  <si>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</si>
  <si>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</si>
  <si>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</si>
  <si>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</si>
  <si>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</si>
  <si>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</si>
  <si>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</si>
  <si>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</si>
  <si>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</si>
  <si>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</si>
  <si>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</si>
  <si>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</si>
  <si>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</si>
  <si>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</si>
  <si>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</si>
  <si>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</si>
  <si>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</si>
  <si>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</si>
  <si>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</si>
  <si>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</si>
  <si>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</si>
  <si>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</si>
  <si>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</si>
  <si>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</si>
  <si>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</si>
  <si>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</si>
  <si>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</si>
  <si>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</si>
  <si>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</si>
  <si>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</si>
  <si>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</si>
  <si>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</si>
  <si>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</si>
  <si>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</si>
  <si>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</si>
  <si>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</si>
  <si>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</si>
  <si>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</si>
  <si>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</si>
  <si>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</si>
  <si>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</si>
  <si>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</si>
  <si>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</si>
  <si>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</si>
  <si>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</si>
  <si>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</si>
  <si>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</si>
  <si>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</si>
  <si>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</si>
  <si>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</si>
  <si>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</si>
  <si>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</si>
  <si>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</si>
  <si>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</si>
  <si>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</si>
  <si>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</si>
  <si>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</si>
  <si>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</si>
  <si>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</si>
  <si>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</si>
  <si>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</si>
  <si>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</si>
  <si>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</si>
  <si>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</si>
  <si>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</si>
  <si>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</si>
  <si>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</si>
  <si>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</si>
  <si>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</si>
  <si>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</si>
  <si>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</si>
  <si>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</si>
  <si>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</si>
  <si>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</si>
  <si>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</si>
  <si>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</si>
  <si>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</si>
  <si>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</si>
  <si>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</si>
  <si>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</si>
  <si>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</si>
  <si>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</si>
  <si>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</si>
  <si>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</si>
  <si>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</si>
  <si>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</si>
  <si>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</si>
  <si>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</si>
  <si>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</si>
  <si>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</si>
  <si>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</si>
  <si>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</si>
  <si>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</si>
  <si>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</si>
  <si>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</si>
  <si>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</si>
  <si>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</si>
  <si>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</si>
  <si>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</si>
  <si>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</si>
  <si>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</si>
  <si>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</si>
  <si>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</si>
  <si>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</si>
  <si>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</si>
  <si>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</si>
  <si>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</si>
  <si>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</si>
  <si>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</si>
  <si>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</si>
  <si>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</si>
  <si>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</si>
  <si>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</si>
  <si>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</si>
  <si>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</si>
  <si>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</si>
  <si>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</si>
  <si>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</si>
  <si>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</si>
  <si>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</si>
  <si>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</si>
  <si>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</si>
  <si>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</si>
  <si>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</si>
  <si>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</si>
  <si>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</si>
  <si>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</si>
  <si>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</si>
  <si>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</si>
  <si>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</si>
  <si>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</si>
  <si>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</si>
  <si>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</si>
  <si>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</si>
  <si>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</si>
  <si>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</si>
  <si>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</si>
  <si>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</si>
  <si>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</si>
  <si>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</si>
  <si>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</si>
  <si>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</si>
  <si>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</si>
  <si>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</si>
  <si>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</si>
  <si>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</si>
  <si>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</si>
  <si>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</si>
  <si>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</si>
  <si>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</si>
  <si>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</si>
  <si>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</si>
  <si>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</si>
  <si>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</si>
  <si>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</si>
  <si>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</si>
  <si>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</si>
  <si>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</si>
  <si>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</si>
  <si>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</si>
  <si>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</si>
  <si>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</si>
  <si>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</si>
  <si>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</si>
  <si>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</si>
  <si>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</si>
  <si>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</si>
  <si>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</si>
  <si>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</si>
  <si>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</si>
  <si>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</si>
  <si>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</si>
  <si>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</si>
  <si>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</si>
  <si>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</si>
  <si>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</si>
  <si>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</si>
  <si>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</si>
  <si>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</si>
  <si>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</si>
  <si>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</si>
  <si>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</si>
  <si>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</si>
  <si>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</si>
  <si>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</si>
  <si>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</si>
  <si>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</si>
  <si>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</si>
  <si>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</si>
  <si>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</si>
  <si>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</si>
  <si>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</si>
  <si>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</si>
  <si>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</si>
  <si>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</si>
  <si>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</si>
  <si>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</si>
  <si>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</si>
  <si>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</si>
  <si>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</si>
  <si>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</si>
  <si>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</si>
  <si>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</si>
  <si>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</si>
  <si>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</si>
  <si>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</si>
  <si>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</si>
  <si>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</si>
  <si>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</si>
  <si>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</si>
  <si>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</si>
  <si>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</si>
  <si>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</si>
  <si>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</si>
  <si>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</si>
  <si>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</si>
  <si>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</si>
  <si>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</si>
  <si>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</si>
  <si>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</si>
  <si>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</si>
  <si>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</si>
  <si>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</si>
  <si>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</si>
  <si>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</si>
  <si>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</si>
  <si>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</si>
  <si>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</si>
  <si>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</si>
  <si>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</si>
  <si>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</si>
  <si>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</si>
  <si>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</si>
  <si>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</si>
  <si>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</si>
  <si>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</si>
  <si>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</si>
  <si>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</si>
  <si>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</si>
  <si>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</si>
  <si>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</si>
  <si>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</si>
  <si>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</si>
  <si>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</si>
  <si>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</si>
  <si>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</si>
  <si>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</si>
  <si>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</si>
  <si>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</si>
  <si>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</si>
  <si>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</si>
  <si>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</si>
  <si>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</si>
  <si>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</si>
  <si>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</si>
  <si>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</si>
  <si>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</si>
  <si>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</si>
  <si>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</si>
  <si>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</si>
  <si>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</si>
  <si>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</si>
  <si>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</si>
  <si>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</si>
  <si>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</si>
  <si>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</si>
  <si>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</si>
  <si>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</si>
  <si>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</si>
  <si>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</si>
  <si>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</si>
  <si>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</si>
  <si>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</si>
  <si>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</si>
  <si>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</si>
  <si>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</si>
  <si>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</si>
  <si>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</si>
  <si>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</si>
  <si>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</si>
  <si>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</si>
  <si>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</si>
  <si>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</si>
  <si>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</si>
  <si>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</si>
  <si>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</si>
  <si>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</si>
  <si>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</si>
  <si>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</si>
  <si>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</si>
  <si>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</si>
  <si>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</si>
  <si>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</si>
  <si>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</si>
  <si>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</si>
  <si>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</si>
  <si>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</si>
  <si>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</si>
  <si>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</si>
  <si>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</si>
  <si>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</si>
  <si>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</si>
  <si>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</si>
  <si>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</si>
  <si>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</si>
  <si>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</si>
  <si>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</si>
  <si>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</si>
  <si>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</si>
  <si>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</si>
  <si>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</si>
  <si>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</si>
  <si>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</si>
  <si>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</si>
  <si>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</si>
  <si>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</si>
  <si>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</si>
  <si>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</si>
  <si>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</si>
  <si>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</si>
  <si>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</si>
  <si>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</si>
  <si>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</si>
  <si>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</si>
  <si>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</si>
  <si>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</si>
  <si>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</si>
  <si>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</si>
  <si>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</si>
  <si>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</si>
  <si>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</si>
  <si>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</si>
  <si>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</si>
  <si>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</si>
  <si>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</si>
  <si>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</si>
  <si>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</si>
  <si>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</si>
  <si>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</si>
  <si>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</si>
  <si>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</si>
  <si>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</si>
  <si>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</si>
  <si>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</si>
  <si>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</si>
  <si>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</si>
  <si>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</si>
  <si>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</si>
  <si>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</si>
  <si>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</si>
  <si>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</si>
  <si>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</si>
  <si>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</si>
  <si>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</si>
  <si>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</si>
  <si>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</si>
  <si>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</si>
  <si>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</si>
  <si>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</si>
  <si>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</si>
  <si>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</si>
  <si>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</si>
  <si>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</si>
  <si>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</si>
  <si>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</si>
  <si>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</si>
  <si>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</si>
  <si>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</si>
  <si>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</si>
  <si>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</si>
  <si>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</si>
  <si>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</si>
  <si>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</si>
  <si>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</si>
  <si>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</si>
  <si>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</si>
  <si>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</si>
  <si>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</si>
  <si>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</si>
  <si>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</si>
  <si>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</si>
  <si>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</si>
  <si>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</si>
  <si>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</si>
  <si>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</si>
  <si>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</si>
  <si>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</si>
  <si>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</si>
  <si>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</si>
  <si>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</si>
  <si>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</si>
  <si>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</si>
  <si>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</si>
  <si>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</si>
  <si>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</si>
  <si>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</si>
  <si>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</si>
  <si>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</si>
  <si>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</si>
  <si>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</si>
  <si>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</si>
  <si>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</si>
  <si>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</si>
  <si>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</si>
  <si>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</si>
  <si>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</si>
  <si>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</si>
  <si>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</si>
  <si>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</si>
  <si>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</si>
  <si>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</si>
  <si>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</si>
  <si>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</si>
  <si>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</si>
  <si>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</si>
  <si>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</si>
  <si>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</si>
  <si>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</si>
  <si>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</si>
  <si>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</si>
  <si>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</si>
  <si>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</si>
  <si>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</si>
  <si>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</si>
  <si>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</si>
  <si>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</si>
  <si>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</si>
  <si>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</si>
  <si>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</si>
  <si>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</si>
  <si>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</si>
  <si>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</si>
  <si>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</si>
  <si>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</si>
  <si>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</si>
  <si>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</si>
  <si>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</si>
  <si>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</si>
  <si>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</si>
  <si>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</si>
  <si>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</si>
  <si>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</si>
  <si>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</si>
  <si>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</si>
  <si>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</si>
  <si>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</si>
  <si>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</si>
  <si>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</si>
  <si>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</si>
  <si>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</si>
  <si>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</si>
  <si>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</si>
  <si>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</si>
  <si>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</si>
  <si>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</si>
  <si>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</si>
  <si>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</si>
  <si>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</si>
  <si>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</si>
  <si>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</si>
  <si>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</si>
  <si>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</si>
  <si>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</si>
  <si>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</si>
  <si>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</si>
  <si>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</si>
  <si>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</si>
  <si>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</si>
  <si>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</si>
  <si>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</si>
  <si>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</si>
  <si>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</si>
  <si>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</si>
  <si>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</si>
  <si>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</si>
  <si>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</si>
  <si>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</si>
  <si>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</si>
  <si>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</si>
  <si>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</si>
  <si>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</si>
  <si>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</si>
  <si>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</si>
  <si>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</si>
  <si>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</si>
  <si>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</si>
  <si>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</si>
  <si>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</si>
  <si>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</si>
  <si>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</si>
  <si>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</si>
  <si>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</si>
  <si>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</si>
  <si>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</si>
  <si>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</si>
  <si>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</si>
  <si>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</si>
  <si>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</si>
  <si>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</si>
  <si>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</si>
  <si>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</si>
  <si>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</si>
  <si>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</si>
  <si>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</si>
  <si>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</si>
  <si>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</si>
  <si>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</si>
  <si>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</si>
  <si>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</si>
  <si>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</si>
  <si>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</si>
  <si>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</si>
  <si>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</si>
  <si>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</si>
  <si>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</si>
  <si>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</si>
  <si>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</si>
  <si>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</si>
  <si>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</si>
  <si>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</si>
  <si>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</si>
  <si>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</si>
  <si>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</si>
  <si>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</si>
  <si>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</si>
  <si>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</si>
  <si>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</si>
  <si>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</si>
  <si>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</si>
  <si>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</si>
  <si>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</si>
  <si>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</si>
  <si>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</si>
  <si>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</si>
  <si>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</si>
  <si>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</si>
  <si>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</si>
  <si>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</si>
  <si>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</si>
  <si>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</si>
  <si>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</si>
  <si>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</si>
  <si>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</si>
  <si>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</si>
  <si>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</si>
  <si>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</si>
  <si>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</si>
  <si>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</si>
  <si>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</si>
  <si>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</si>
  <si>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</si>
  <si>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</si>
  <si>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</si>
  <si>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</si>
  <si>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</si>
  <si>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</si>
  <si>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</si>
  <si>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</si>
  <si>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</si>
  <si>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</si>
  <si>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</si>
  <si>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</si>
  <si>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</si>
  <si>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</si>
  <si>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</si>
  <si>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</si>
  <si>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</si>
  <si>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</si>
  <si>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</si>
  <si>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</si>
  <si>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</si>
  <si>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</si>
  <si>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</si>
  <si>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</si>
  <si>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</si>
  <si>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</si>
  <si>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</si>
  <si>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</si>
  <si>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</si>
  <si>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</si>
  <si>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</si>
  <si>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</si>
  <si>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</si>
  <si>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</si>
  <si>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</si>
  <si>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</si>
  <si>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</si>
  <si>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</si>
  <si>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</si>
  <si>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</si>
  <si>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</si>
  <si>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</si>
  <si>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</si>
  <si>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</si>
  <si>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</si>
  <si>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</si>
  <si>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</si>
  <si>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</si>
  <si>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</si>
  <si>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</si>
  <si>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</si>
  <si>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</si>
  <si>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</si>
  <si>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</si>
  <si>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</si>
  <si>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</si>
  <si>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</si>
  <si>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</si>
  <si>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</si>
  <si>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</si>
  <si>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</si>
  <si>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</si>
  <si>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</si>
  <si>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</si>
  <si>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</si>
  <si>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</si>
  <si>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</si>
  <si>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</si>
  <si>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</si>
  <si>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</si>
  <si>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</si>
  <si>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</si>
  <si>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</si>
  <si>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</si>
  <si>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</si>
  <si>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</si>
  <si>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</si>
  <si>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</si>
  <si>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</si>
  <si>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</si>
  <si>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</si>
  <si>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</si>
  <si>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</si>
  <si>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</si>
  <si>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</si>
  <si>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</si>
  <si>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</si>
  <si>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</si>
  <si>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</si>
  <si>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</si>
  <si>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</si>
  <si>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</si>
  <si>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</si>
  <si>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</si>
  <si>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</si>
  <si>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</si>
  <si>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</si>
  <si>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</si>
  <si>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</si>
  <si>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</si>
  <si>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</si>
  <si>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</si>
  <si>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</si>
  <si>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</si>
  <si>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</si>
  <si>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</si>
  <si>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</si>
  <si>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</si>
  <si>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</si>
  <si>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</si>
  <si>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</si>
  <si>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</si>
  <si>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</si>
  <si>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</si>
  <si>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</si>
  <si>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</si>
  <si>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</si>
  <si>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</si>
  <si>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</si>
  <si>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</si>
  <si>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</si>
  <si>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</si>
  <si>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</si>
  <si>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</si>
  <si>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</si>
  <si>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</si>
  <si>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</si>
  <si>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</si>
  <si>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</si>
  <si>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</si>
  <si>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</si>
  <si>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</si>
  <si>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</si>
  <si>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</si>
  <si>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</si>
  <si>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</si>
  <si>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</si>
  <si>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</si>
  <si>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</si>
  <si>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</si>
  <si>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</si>
  <si>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</si>
  <si>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</si>
  <si>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</si>
  <si>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</si>
  <si>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</si>
  <si>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</si>
  <si>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</si>
  <si>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</si>
  <si>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</si>
  <si>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</si>
  <si>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</si>
  <si>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</si>
  <si>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</si>
  <si>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</si>
  <si>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</si>
  <si>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</si>
  <si>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</si>
  <si>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</si>
  <si>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</si>
  <si>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</si>
  <si>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</si>
  <si>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</si>
  <si>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</si>
  <si>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</si>
  <si>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</si>
  <si>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</si>
  <si>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</si>
  <si>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</si>
  <si>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</si>
  <si>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</si>
  <si>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</si>
  <si>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</si>
  <si>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</si>
  <si>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</si>
  <si>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</si>
  <si>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</si>
  <si>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</si>
  <si>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</si>
  <si>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</si>
  <si>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</si>
  <si>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</si>
  <si>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</si>
  <si>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</si>
  <si>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</si>
  <si>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</si>
  <si>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</si>
  <si>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</si>
  <si>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</si>
  <si>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</si>
  <si>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</si>
  <si>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</si>
  <si>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</si>
  <si>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</si>
  <si>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</si>
  <si>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</si>
  <si>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</si>
  <si>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</si>
  <si>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</si>
  <si>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</si>
  <si>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</si>
  <si>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</si>
  <si>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</si>
  <si>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</si>
  <si>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</si>
  <si>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</si>
  <si>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</si>
  <si>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</si>
  <si>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</si>
  <si>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</si>
  <si>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</si>
  <si>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</si>
  <si>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</si>
  <si>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</si>
  <si>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</si>
  <si>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</si>
  <si>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</si>
  <si>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</si>
  <si>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</si>
  <si>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</si>
  <si>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</si>
  <si>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</si>
  <si>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</si>
  <si>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</si>
  <si>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</si>
  <si>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</si>
  <si>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</si>
  <si>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</si>
  <si>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</si>
  <si>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</si>
  <si>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</si>
  <si>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</si>
  <si>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</si>
  <si>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</si>
  <si>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</si>
  <si>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</si>
  <si>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</si>
  <si>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</si>
  <si>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</si>
  <si>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</si>
  <si>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</si>
  <si>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</si>
  <si>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</si>
  <si>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</si>
  <si>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</si>
  <si>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</si>
  <si>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</si>
  <si>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</si>
  <si>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</si>
  <si>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</si>
  <si>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</si>
  <si>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</si>
  <si>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</si>
  <si>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</si>
  <si>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</si>
  <si>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</si>
  <si>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</si>
  <si>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</si>
  <si>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</si>
  <si>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</si>
  <si>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</si>
  <si>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</si>
  <si>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</si>
  <si>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</si>
  <si>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</si>
  <si>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</si>
  <si>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</si>
  <si>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</si>
  <si>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</si>
  <si>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</si>
  <si>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</si>
  <si>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</si>
  <si>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</si>
  <si>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</si>
  <si>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</si>
  <si>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</si>
  <si>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</si>
  <si>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</si>
  <si>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</si>
  <si>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</si>
  <si>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</si>
  <si>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</si>
  <si>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</si>
  <si>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</si>
  <si>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</si>
  <si>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</si>
  <si>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</si>
  <si>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</si>
  <si>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</si>
  <si>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</si>
  <si>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</si>
  <si>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</si>
  <si>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</si>
  <si>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</si>
  <si>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</si>
  <si>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</si>
  <si>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</si>
  <si>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</si>
  <si>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</si>
  <si>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</si>
  <si>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</si>
  <si>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</si>
  <si>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</si>
  <si>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</si>
  <si>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</si>
  <si>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</si>
  <si>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</si>
  <si>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</si>
  <si>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</si>
  <si>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</si>
  <si>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</si>
  <si>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</si>
  <si>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</si>
  <si>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</si>
  <si>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</si>
  <si>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</si>
  <si>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</si>
  <si>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</si>
  <si>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</si>
  <si>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</si>
  <si>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</si>
  <si>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</si>
  <si>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</si>
  <si>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</si>
  <si>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</si>
  <si>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</si>
  <si>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</si>
  <si>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</si>
  <si>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</si>
  <si>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</si>
  <si>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</si>
  <si>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</si>
  <si>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</si>
  <si>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</si>
  <si>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</si>
  <si>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</si>
  <si>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</si>
  <si>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</si>
  <si>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</si>
  <si>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</si>
  <si>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</si>
  <si>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</si>
  <si>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</si>
  <si>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</si>
  <si>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</si>
  <si>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</si>
  <si>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</si>
  <si>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</si>
  <si>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</si>
  <si>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</si>
  <si>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</si>
  <si>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</si>
  <si>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</si>
  <si>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</si>
  <si>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</si>
  <si>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</si>
  <si>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</si>
  <si>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</si>
  <si>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</si>
  <si>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</si>
  <si>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</si>
  <si>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</si>
  <si>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</si>
  <si>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</si>
  <si>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</si>
  <si>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</si>
  <si>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</si>
  <si>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</si>
  <si>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</si>
  <si>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</si>
  <si>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</si>
  <si>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</si>
  <si>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</si>
  <si>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</si>
  <si>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</si>
  <si>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</si>
  <si>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</si>
  <si>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</si>
  <si>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</si>
  <si>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</si>
  <si>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</si>
  <si>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</si>
  <si>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</si>
  <si>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</si>
  <si>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</si>
  <si>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</si>
  <si>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</si>
  <si>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</si>
  <si>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</si>
  <si>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</si>
  <si>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</si>
  <si>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</si>
  <si>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</si>
  <si>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</si>
  <si>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</si>
  <si>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</si>
  <si>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</si>
  <si>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</si>
  <si>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</si>
  <si>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</si>
  <si>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</si>
  <si>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</si>
  <si>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</si>
  <si>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</si>
  <si>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</si>
  <si>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</si>
  <si>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</si>
  <si>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</si>
  <si>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</si>
  <si>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</si>
  <si>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</si>
  <si>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</si>
  <si>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</si>
  <si>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</si>
  <si>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</si>
  <si>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</si>
  <si>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</si>
  <si>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</si>
  <si>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</si>
  <si>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</si>
  <si>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</si>
  <si>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</si>
  <si>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</si>
  <si>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</si>
  <si>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</si>
  <si>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</si>
  <si>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</si>
  <si>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</si>
  <si>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</si>
  <si>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</si>
  <si>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</si>
  <si>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</si>
  <si>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</si>
  <si>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</si>
  <si>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</si>
  <si>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</si>
  <si>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</si>
  <si>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</si>
  <si>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</si>
  <si>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</si>
  <si>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</si>
  <si>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</si>
  <si>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</si>
  <si>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</si>
  <si>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</si>
  <si>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</si>
  <si>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</si>
  <si>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</si>
  <si>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</si>
  <si>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</si>
  <si>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</si>
  <si>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</si>
  <si>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</si>
  <si>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</si>
  <si>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</si>
  <si>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</si>
  <si>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</si>
  <si>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</si>
  <si>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</si>
  <si>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</si>
  <si>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</si>
  <si>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</si>
  <si>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</si>
  <si>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</si>
  <si>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</si>
  <si>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</si>
  <si>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</si>
  <si>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</si>
  <si>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</si>
  <si>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</si>
  <si>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</si>
  <si>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</si>
  <si>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</si>
  <si>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</si>
  <si>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</si>
  <si>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</si>
  <si>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</si>
  <si>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</si>
  <si>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</si>
  <si>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</si>
  <si>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</si>
  <si>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</si>
  <si>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</si>
  <si>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</si>
  <si>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</si>
  <si>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</si>
  <si>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</si>
  <si>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</si>
  <si>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</si>
  <si>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</si>
  <si>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</si>
  <si>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</si>
  <si>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</si>
  <si>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</si>
  <si>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</si>
  <si>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</si>
  <si>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</si>
  <si>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</si>
  <si>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</si>
  <si>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</si>
  <si>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</si>
  <si>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</si>
  <si>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</si>
  <si>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</si>
  <si>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</si>
  <si>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</si>
  <si>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</si>
  <si>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</si>
  <si>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</si>
  <si>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</si>
  <si>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</si>
  <si>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</si>
  <si>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</si>
  <si>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</si>
  <si>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</si>
  <si>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</si>
  <si>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</si>
  <si>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</si>
  <si>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</si>
  <si>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</si>
  <si>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</si>
  <si>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</si>
  <si>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</si>
  <si>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</si>
  <si>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</si>
  <si>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</si>
  <si>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</si>
  <si>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</si>
  <si>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</si>
  <si>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</si>
  <si>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</si>
  <si>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</si>
  <si>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</si>
  <si>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</si>
  <si>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</si>
  <si>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</si>
  <si>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</si>
  <si>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</si>
  <si>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</si>
  <si>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</si>
  <si>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</si>
  <si>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</si>
  <si>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</si>
  <si>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</si>
  <si>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</si>
  <si>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</si>
  <si>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</si>
  <si>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</si>
  <si>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</si>
  <si>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</si>
  <si>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</si>
  <si>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</si>
  <si>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</si>
  <si>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</si>
  <si>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</si>
  <si>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</si>
  <si>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</si>
  <si>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</si>
  <si>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</si>
  <si>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</si>
  <si>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</si>
  <si>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</si>
  <si>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</si>
  <si>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</si>
  <si>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</si>
  <si>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</si>
  <si>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</si>
  <si>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</si>
  <si>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</si>
  <si>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</si>
  <si>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</si>
  <si>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</si>
  <si>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</si>
  <si>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</si>
  <si>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</si>
  <si>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</si>
  <si>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</si>
  <si>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</si>
  <si>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</si>
  <si>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</si>
  <si>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</si>
  <si>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</si>
  <si>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</si>
  <si>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</si>
  <si>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</si>
  <si>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</si>
  <si>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</si>
  <si>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</si>
  <si>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</si>
  <si>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</si>
  <si>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</si>
  <si>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</si>
  <si>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</si>
  <si>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</si>
  <si>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</si>
  <si>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</si>
  <si>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</si>
  <si>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</si>
  <si>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</si>
  <si>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</si>
  <si>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</si>
  <si>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</si>
  <si>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</si>
  <si>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</si>
  <si>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</si>
  <si>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</si>
  <si>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</si>
  <si>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</si>
  <si>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</si>
  <si>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</si>
  <si>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</si>
  <si>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</si>
  <si>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</si>
  <si>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</si>
  <si>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</si>
  <si>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</si>
  <si>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</si>
  <si>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</si>
  <si>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</si>
  <si>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</si>
  <si>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</si>
  <si>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</si>
  <si>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</si>
  <si>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</si>
  <si>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</si>
  <si>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</si>
  <si>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</si>
  <si>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</si>
  <si>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</si>
  <si>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</si>
  <si>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</si>
  <si>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</si>
  <si>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</si>
  <si>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</si>
  <si>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</si>
  <si>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</si>
  <si>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</si>
  <si>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</si>
  <si>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</si>
  <si>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</si>
  <si>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</si>
  <si>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</si>
  <si>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</si>
  <si>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</si>
  <si>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</si>
  <si>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</si>
  <si>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</si>
  <si>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</si>
  <si>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</si>
  <si>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</si>
  <si>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</si>
  <si>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</si>
  <si>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</si>
  <si>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</si>
  <si>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</si>
  <si>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</si>
  <si>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</si>
  <si>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</si>
  <si>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</si>
  <si>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</si>
  <si>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</si>
  <si>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</si>
  <si>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</si>
  <si>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</si>
  <si>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</si>
  <si>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</si>
  <si>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</si>
  <si>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</si>
  <si>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</si>
  <si>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</si>
  <si>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</si>
  <si>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</si>
  <si>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</si>
  <si>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</si>
  <si>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</si>
  <si>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</si>
  <si>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</si>
  <si>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</si>
  <si>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</si>
  <si>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</si>
  <si>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</si>
  <si>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</si>
  <si>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</si>
  <si>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</si>
  <si>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</si>
  <si>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</si>
  <si>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</si>
  <si>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</si>
  <si>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</si>
  <si>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</si>
  <si>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</si>
  <si>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</si>
  <si>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</si>
  <si>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</si>
  <si>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</si>
  <si>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</si>
  <si>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</si>
  <si>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</si>
  <si>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</si>
  <si>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</si>
  <si>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</si>
  <si>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</si>
  <si>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</si>
  <si>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</si>
  <si>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</si>
  <si>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</si>
  <si>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</si>
  <si>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</si>
  <si>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</si>
  <si>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</si>
  <si>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</si>
  <si>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</si>
  <si>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</si>
  <si>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</si>
  <si>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</si>
  <si>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</si>
  <si>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</si>
  <si>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</si>
  <si>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</si>
  <si>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</si>
  <si>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</si>
  <si>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</si>
  <si>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</si>
  <si>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</si>
  <si>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</si>
  <si>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</si>
  <si>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</si>
  <si>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</si>
  <si>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</si>
  <si>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</si>
  <si>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</si>
  <si>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</si>
  <si>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</si>
  <si>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</si>
  <si>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</si>
  <si>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</si>
  <si>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</si>
  <si>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</si>
  <si>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</si>
  <si>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</si>
  <si>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</si>
  <si>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</si>
  <si>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</si>
  <si>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</si>
  <si>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</si>
  <si>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</si>
  <si>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</si>
  <si>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</si>
  <si>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</si>
  <si>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</si>
  <si>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</si>
  <si>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</si>
  <si>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</si>
  <si>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</si>
  <si>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</si>
  <si>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</si>
  <si>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</si>
  <si>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</si>
  <si>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</si>
  <si>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</si>
  <si>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</si>
  <si>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</si>
  <si>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</si>
  <si>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</si>
  <si>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</si>
  <si>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</si>
  <si>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</si>
  <si>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</si>
  <si>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</si>
  <si>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</si>
  <si>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</si>
  <si>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</si>
  <si>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</si>
  <si>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</si>
  <si>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</si>
  <si>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</si>
  <si>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</si>
  <si>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</si>
  <si>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</si>
  <si>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</si>
  <si>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</si>
  <si>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</si>
  <si>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</si>
  <si>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</si>
  <si>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</si>
  <si>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</si>
  <si>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</si>
  <si>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</si>
  <si>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</si>
  <si>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</si>
  <si>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</si>
  <si>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</si>
  <si>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</si>
  <si>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</si>
  <si>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</si>
  <si>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</si>
  <si>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</si>
  <si>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</si>
  <si>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</si>
  <si>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</si>
  <si>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</si>
  <si>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</si>
  <si>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</si>
  <si>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</si>
  <si>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</si>
  <si>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</si>
  <si>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</si>
  <si>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</si>
  <si>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</si>
  <si>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</si>
  <si>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</si>
  <si>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</si>
  <si>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</si>
  <si>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</si>
  <si>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</si>
  <si>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</si>
  <si>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</si>
  <si>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</si>
  <si>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</si>
  <si>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</si>
  <si>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</si>
  <si>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</si>
  <si>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</si>
  <si>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</si>
  <si>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</si>
  <si>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</si>
  <si>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</si>
  <si>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</si>
  <si>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</si>
  <si>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</si>
  <si>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</si>
  <si>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</si>
  <si>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</si>
  <si>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</si>
  <si>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</si>
  <si>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</si>
  <si>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</si>
  <si>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</si>
  <si>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</si>
  <si>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</si>
  <si>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</si>
  <si>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</si>
  <si>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</si>
  <si>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</si>
  <si>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</si>
  <si>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</si>
  <si>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</si>
  <si>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</si>
  <si>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</si>
  <si>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</si>
  <si>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</si>
  <si>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</si>
  <si>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</si>
  <si>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</si>
  <si>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</si>
  <si>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</si>
  <si>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</si>
  <si>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</si>
  <si>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</si>
  <si>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</si>
  <si>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</si>
  <si>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</si>
  <si>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</si>
  <si>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</si>
  <si>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</si>
  <si>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</si>
  <si>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</si>
  <si>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</si>
  <si>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</si>
  <si>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</si>
  <si>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</si>
  <si>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</si>
  <si>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</si>
  <si>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</si>
  <si>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</si>
  <si>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</si>
  <si>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</si>
  <si>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</si>
  <si>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</si>
  <si>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</si>
  <si>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</si>
  <si>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</si>
  <si>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</si>
  <si>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</si>
  <si>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</si>
  <si>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</si>
  <si>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</si>
  <si>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</si>
  <si>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</si>
  <si>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</si>
  <si>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</si>
  <si>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</si>
  <si>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</si>
  <si>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</si>
  <si>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</si>
  <si>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</si>
  <si>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</si>
  <si>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</si>
  <si>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</si>
  <si>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</si>
  <si>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</si>
  <si>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</si>
  <si>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</si>
  <si>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</si>
  <si>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</si>
  <si>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</si>
  <si>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</si>
  <si>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</si>
  <si>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</si>
  <si>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</si>
  <si>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</si>
  <si>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</si>
  <si>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</si>
  <si>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</si>
  <si>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</si>
  <si>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</si>
  <si>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</si>
  <si>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</si>
  <si>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</si>
  <si>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</si>
  <si>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</si>
  <si>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</si>
  <si>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</si>
  <si>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</si>
  <si>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</si>
  <si>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</si>
  <si>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</si>
  <si>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</si>
  <si>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</si>
  <si>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</si>
  <si>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</si>
  <si>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</si>
  <si>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</si>
  <si>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</si>
  <si>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</si>
  <si>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</si>
  <si>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</si>
  <si>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</si>
  <si>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</si>
  <si>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</si>
  <si>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</si>
  <si>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</si>
  <si>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</si>
  <si>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</si>
  <si>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</si>
  <si>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</si>
  <si>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</si>
  <si>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</si>
  <si>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</si>
  <si>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</si>
  <si>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</si>
  <si>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</si>
  <si>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</si>
  <si>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</si>
  <si>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</si>
  <si>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</si>
  <si>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</si>
  <si>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</si>
  <si>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</si>
  <si>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</si>
  <si>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</si>
  <si>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</si>
  <si>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</si>
  <si>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</si>
  <si>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</si>
  <si>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</si>
  <si>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</si>
  <si>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</si>
  <si>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</si>
  <si>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</si>
  <si>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</si>
  <si>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</si>
  <si>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</si>
  <si>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</si>
  <si>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</si>
  <si>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</si>
  <si>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</si>
  <si>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</si>
  <si>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</si>
  <si>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</si>
  <si>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</si>
  <si>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</si>
  <si>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</si>
  <si>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</si>
  <si>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</si>
  <si>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</si>
  <si>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</si>
  <si>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</si>
  <si>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</si>
  <si>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</si>
  <si>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</si>
  <si>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</si>
  <si>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</si>
  <si>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</si>
  <si>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</si>
  <si>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</si>
  <si>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</si>
  <si>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</si>
  <si>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</si>
  <si>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</si>
  <si>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</si>
  <si>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</si>
  <si>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</si>
  <si>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</si>
  <si>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</si>
  <si>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</si>
  <si>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</si>
  <si>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</si>
  <si>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</si>
  <si>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</si>
  <si>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</si>
  <si>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</si>
  <si>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</si>
  <si>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</si>
  <si>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</si>
  <si>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</si>
  <si>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</si>
  <si>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</si>
  <si>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</si>
  <si>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</si>
  <si>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</si>
  <si>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</si>
  <si>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</si>
  <si>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</si>
  <si>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</si>
  <si>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</si>
  <si>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</si>
  <si>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</si>
  <si>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</si>
  <si>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</si>
  <si>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</si>
  <si>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</si>
  <si>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</si>
  <si>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</si>
  <si>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</si>
  <si>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</si>
  <si>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</si>
  <si>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</si>
  <si>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</si>
  <si>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</si>
  <si>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</si>
  <si>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</si>
  <si>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</si>
  <si>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</si>
  <si>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</si>
  <si>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</si>
  <si>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</si>
  <si>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</si>
  <si>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</si>
  <si>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</si>
  <si>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</si>
  <si>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</si>
  <si>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</si>
  <si>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</si>
  <si>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</si>
  <si>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</si>
  <si>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</si>
  <si>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</si>
  <si>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</si>
  <si>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</si>
  <si>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</si>
  <si>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</si>
  <si>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</si>
  <si>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</si>
  <si>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</si>
  <si>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</si>
  <si>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</si>
  <si>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</si>
  <si>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</si>
  <si>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</si>
  <si>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</si>
  <si>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</si>
  <si>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</si>
  <si>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</si>
  <si>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</si>
  <si>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</si>
  <si>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</si>
  <si>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</si>
  <si>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</si>
  <si>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</si>
  <si>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</si>
  <si>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</si>
  <si>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</si>
  <si>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</si>
  <si>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</si>
  <si>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</si>
  <si>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</si>
  <si>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</si>
  <si>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</si>
  <si>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</si>
  <si>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</si>
  <si>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</si>
  <si>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</si>
  <si>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</si>
  <si>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</si>
  <si>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</si>
  <si>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</si>
  <si>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</si>
  <si>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</si>
  <si>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</si>
  <si>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</si>
  <si>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</si>
  <si>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</si>
  <si>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</si>
  <si>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</si>
  <si>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</si>
  <si>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</si>
  <si>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</si>
  <si>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</si>
  <si>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</si>
  <si>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</si>
  <si>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</si>
  <si>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</si>
  <si>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</si>
  <si>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</si>
  <si>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</si>
  <si>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</si>
  <si>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</si>
  <si>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</si>
  <si>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</si>
  <si>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</si>
  <si>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</si>
  <si>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</si>
  <si>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</si>
  <si>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</si>
  <si>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</si>
  <si>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</si>
  <si>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</si>
  <si>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</si>
  <si>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</si>
  <si>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</si>
  <si>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</si>
  <si>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</si>
  <si>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</si>
  <si>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</si>
  <si>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</si>
  <si>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</si>
  <si>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</si>
  <si>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</si>
  <si>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</si>
  <si>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</si>
  <si>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</si>
  <si>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</si>
  <si>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</si>
  <si>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</si>
  <si>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</si>
  <si>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</si>
  <si>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</si>
  <si>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</si>
  <si>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</si>
  <si>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</si>
  <si>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</si>
  <si>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</si>
  <si>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</si>
  <si>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</si>
  <si>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</si>
  <si>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</si>
  <si>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</si>
  <si>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</si>
  <si>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</si>
  <si>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</si>
  <si>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</si>
  <si>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</si>
  <si>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</si>
  <si>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</si>
  <si>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</si>
  <si>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</si>
  <si>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</si>
  <si>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</si>
  <si>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</si>
  <si>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</si>
  <si>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</si>
  <si>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</si>
  <si>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</si>
  <si>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</si>
  <si>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</si>
  <si>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</si>
  <si>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</si>
  <si>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</si>
  <si>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</si>
  <si>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</si>
  <si>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</si>
  <si>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</si>
  <si>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</si>
  <si>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</si>
  <si>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</si>
  <si>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</si>
  <si>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</si>
  <si>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</si>
  <si>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</si>
  <si>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</si>
  <si>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</si>
  <si>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</si>
  <si>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</si>
  <si>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</si>
  <si>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</si>
  <si>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</si>
  <si>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</si>
  <si>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</si>
  <si>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</si>
  <si>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</si>
  <si>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</si>
  <si>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</si>
  <si>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</si>
  <si>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</si>
  <si>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</si>
  <si>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</si>
  <si>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</si>
  <si>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</si>
  <si>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</si>
  <si>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</si>
  <si>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</si>
  <si>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</si>
  <si>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</si>
  <si>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</si>
  <si>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</si>
  <si>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</si>
  <si>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</si>
  <si>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</si>
  <si>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</si>
  <si>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</si>
  <si>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</si>
  <si>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</si>
  <si>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</si>
  <si>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</si>
  <si>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</si>
  <si>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</si>
  <si>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</si>
  <si>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</si>
  <si>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</si>
  <si>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</si>
  <si>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</si>
  <si>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</si>
  <si>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</si>
  <si>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</si>
  <si>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</si>
  <si>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</si>
  <si>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</si>
  <si>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</si>
  <si>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</si>
  <si>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</si>
  <si>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</si>
  <si>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</si>
  <si>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</si>
  <si>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</si>
  <si>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</si>
  <si>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</si>
  <si>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</si>
  <si>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</si>
  <si>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</si>
  <si>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</si>
  <si>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</si>
  <si>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</si>
  <si>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</si>
  <si>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</si>
  <si>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</si>
  <si>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</si>
  <si>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</si>
  <si>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</si>
  <si>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</si>
  <si>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</si>
  <si>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</si>
  <si>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</si>
  <si>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</si>
  <si>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</si>
  <si>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</si>
  <si>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</si>
  <si>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</si>
  <si>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</si>
  <si>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</si>
  <si>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</si>
  <si>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</si>
  <si>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</si>
  <si>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</si>
  <si>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</si>
  <si>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</si>
  <si>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</si>
  <si>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</si>
  <si>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</si>
  <si>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</si>
  <si>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</si>
  <si>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</si>
  <si>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</si>
  <si>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</si>
  <si>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</si>
  <si>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</si>
  <si>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</si>
  <si>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</si>
  <si>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</si>
  <si>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</si>
  <si>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</si>
  <si>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</si>
  <si>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</si>
  <si>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</si>
  <si>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</si>
  <si>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</si>
  <si>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</si>
  <si>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</si>
  <si>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</si>
  <si>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</si>
  <si>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</si>
  <si>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</si>
  <si>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</si>
  <si>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</si>
  <si>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</si>
  <si>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</si>
  <si>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</si>
  <si>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</si>
  <si>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</si>
  <si>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</si>
  <si>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</si>
  <si>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</si>
  <si>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</si>
  <si>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</si>
  <si>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</si>
  <si>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</si>
  <si>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</si>
  <si>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</si>
  <si>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</si>
  <si>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</si>
  <si>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</si>
  <si>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</si>
  <si>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</si>
  <si>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</si>
  <si>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</si>
  <si>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</si>
  <si>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</si>
  <si>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</si>
  <si>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</si>
  <si>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</si>
  <si>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</si>
  <si>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</si>
  <si>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</si>
  <si>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</si>
  <si>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</si>
  <si>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</si>
  <si>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</si>
  <si>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</si>
  <si>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</si>
  <si>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</si>
  <si>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</si>
  <si>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</si>
  <si>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</si>
  <si>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</si>
  <si>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</si>
  <si>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</si>
  <si>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</si>
  <si>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</si>
  <si>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</si>
  <si>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</si>
  <si>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</si>
  <si>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</si>
  <si>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</si>
  <si>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</si>
  <si>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</si>
  <si>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</si>
  <si>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</si>
  <si>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</si>
  <si>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</si>
  <si>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</si>
  <si>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</si>
  <si>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</si>
  <si>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</si>
  <si>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</si>
  <si>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</si>
  <si>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</si>
  <si>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</si>
  <si>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</si>
  <si>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</si>
  <si>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</si>
  <si>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</si>
  <si>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</si>
  <si>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</si>
  <si>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</si>
  <si>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</si>
  <si>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</si>
  <si>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</si>
  <si>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</si>
  <si>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</si>
  <si>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</si>
  <si>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</si>
  <si>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</si>
  <si>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</si>
  <si>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</si>
  <si>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</si>
  <si>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</si>
  <si>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</si>
  <si>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</si>
  <si>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</si>
  <si>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</si>
  <si>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</si>
  <si>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</si>
  <si>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</si>
  <si>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</si>
  <si>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</si>
  <si>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</si>
  <si>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</si>
  <si>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</si>
  <si>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</si>
  <si>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</si>
  <si>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</si>
  <si>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</si>
  <si>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</si>
  <si>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</si>
  <si>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</si>
  <si>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</si>
  <si>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</si>
  <si>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</si>
  <si>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</si>
  <si>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</si>
  <si>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</si>
  <si>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</si>
  <si>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</si>
  <si>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</si>
  <si>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</si>
  <si>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</si>
  <si>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</si>
  <si>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</si>
  <si>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</si>
  <si>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</si>
  <si>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</si>
  <si>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</si>
  <si>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</si>
  <si>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</si>
  <si>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</si>
  <si>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</si>
  <si>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</si>
  <si>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</si>
  <si>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</si>
  <si>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</si>
  <si>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</si>
  <si>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</si>
  <si>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</si>
  <si>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</si>
  <si>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</si>
  <si>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</si>
  <si>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</si>
  <si>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</si>
  <si>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</si>
  <si>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</si>
  <si>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</si>
  <si>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</si>
  <si>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</si>
  <si>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</si>
  <si>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</si>
  <si>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</si>
  <si>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</si>
  <si>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</si>
  <si>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</si>
  <si>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</si>
  <si>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</si>
  <si>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</si>
  <si>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</si>
  <si>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</si>
  <si>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</si>
  <si>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</si>
  <si>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</si>
  <si>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</si>
  <si>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</si>
  <si>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</si>
  <si>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</si>
  <si>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</si>
  <si>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</si>
  <si>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</si>
  <si>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</si>
  <si>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</si>
  <si>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</si>
  <si>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</si>
  <si>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</si>
  <si>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</si>
  <si>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</si>
  <si>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</si>
  <si>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</si>
  <si>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</si>
  <si>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</si>
  <si>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</si>
  <si>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</si>
  <si>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</si>
  <si>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</si>
  <si>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</si>
  <si>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</si>
  <si>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</si>
  <si>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</si>
  <si>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</si>
  <si>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</si>
  <si>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</si>
  <si>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</si>
  <si>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</si>
  <si>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</si>
  <si>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</si>
  <si>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</si>
  <si>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</si>
  <si>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</si>
  <si>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</si>
  <si>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</si>
  <si>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</si>
  <si>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</si>
  <si>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</si>
  <si>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</si>
  <si>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</si>
  <si>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</si>
  <si>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</si>
  <si>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</si>
  <si>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</si>
  <si>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</si>
  <si>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</si>
  <si>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</si>
  <si>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</si>
  <si>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</si>
  <si>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</si>
  <si>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</si>
  <si>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</si>
  <si>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</si>
  <si>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</si>
  <si>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</si>
  <si>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</si>
  <si>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</si>
  <si>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</si>
  <si>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</si>
  <si>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</si>
  <si>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</si>
  <si>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</si>
  <si>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</si>
  <si>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</si>
  <si>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</si>
  <si>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</si>
  <si>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</si>
  <si>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</si>
  <si>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</si>
  <si>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</si>
  <si>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</si>
  <si>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</si>
  <si>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</si>
  <si>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</si>
  <si>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</si>
  <si>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</si>
  <si>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</si>
  <si>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</si>
  <si>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</si>
  <si>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</si>
  <si>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</si>
  <si>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</si>
  <si>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</si>
  <si>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</si>
  <si>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</si>
  <si>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</si>
  <si>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</si>
  <si>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</si>
  <si>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</si>
  <si>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</si>
  <si>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</si>
  <si>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</si>
  <si>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</si>
  <si>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</si>
  <si>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</si>
  <si>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</si>
  <si>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</si>
  <si>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</si>
  <si>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</si>
  <si>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</si>
  <si>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</si>
  <si>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</si>
  <si>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</si>
  <si>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</si>
  <si>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</si>
  <si>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</si>
  <si>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</si>
  <si>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</si>
  <si>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</si>
  <si>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</si>
  <si>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</si>
  <si>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</si>
  <si>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</si>
  <si>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</si>
  <si>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</si>
  <si>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</si>
  <si>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</si>
  <si>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</si>
  <si>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</si>
  <si>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</si>
  <si>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</si>
  <si>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</si>
  <si>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</si>
  <si>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</si>
  <si>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</si>
  <si>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</si>
  <si>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</si>
  <si>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</si>
  <si>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</si>
  <si>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</si>
  <si>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</si>
  <si>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</si>
  <si>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</si>
  <si>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</si>
  <si>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</si>
  <si>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</si>
  <si>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</si>
  <si>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</si>
  <si>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</si>
  <si>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</si>
  <si>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</si>
  <si>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</si>
  <si>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</si>
  <si>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</si>
  <si>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</si>
  <si>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</si>
  <si>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</si>
  <si>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</si>
  <si>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</si>
  <si>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</si>
  <si>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</si>
  <si>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</si>
  <si>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</si>
  <si>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</si>
  <si>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</si>
  <si>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</si>
  <si>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</si>
  <si>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</si>
  <si>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</si>
  <si>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</si>
  <si>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</si>
  <si>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</si>
  <si>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</si>
  <si>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</si>
  <si>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</si>
  <si>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</si>
  <si>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</si>
  <si>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</si>
  <si>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</si>
  <si>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</si>
  <si>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</si>
  <si>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</si>
  <si>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</si>
  <si>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</si>
  <si>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</si>
  <si>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</si>
  <si>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</si>
  <si>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</si>
  <si>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</si>
  <si>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</si>
  <si>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</si>
  <si>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</si>
  <si>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</si>
  <si>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</si>
  <si>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</si>
  <si>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</si>
  <si>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</si>
  <si>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</si>
  <si>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</si>
  <si>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</si>
  <si>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</si>
  <si>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</si>
  <si>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</si>
  <si>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</si>
  <si>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</si>
  <si>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</si>
  <si>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</si>
  <si>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</si>
  <si>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</si>
  <si>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</si>
  <si>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</si>
  <si>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</si>
  <si>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</si>
  <si>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</si>
  <si>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</si>
  <si>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</si>
  <si>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</si>
  <si>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</si>
  <si>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</si>
  <si>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</si>
  <si>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</si>
  <si>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</si>
  <si>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</si>
  <si>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</si>
  <si>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</si>
  <si>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</si>
  <si>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</si>
  <si>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</si>
  <si>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</si>
  <si>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</si>
  <si>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</si>
  <si>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</si>
  <si>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</si>
  <si>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</si>
  <si>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</si>
  <si>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</si>
  <si>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</si>
  <si>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</si>
  <si>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</si>
  <si>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</si>
  <si>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</si>
  <si>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</si>
  <si>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</si>
  <si>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</si>
  <si>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</si>
  <si>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</si>
  <si>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</si>
  <si>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</si>
  <si>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</si>
  <si>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</si>
  <si>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</si>
  <si>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</si>
  <si>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</si>
  <si>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</si>
  <si>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</si>
  <si>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</si>
  <si>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</si>
  <si>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</si>
  <si>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</si>
  <si>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</si>
  <si>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</si>
  <si>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</si>
  <si>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</si>
  <si>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</si>
  <si>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</si>
  <si>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</si>
  <si>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</si>
  <si>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</si>
  <si>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</si>
  <si>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</si>
  <si>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</si>
  <si>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</si>
  <si>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</si>
  <si>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</si>
  <si>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</si>
  <si>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</si>
  <si>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</si>
  <si>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</si>
  <si>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</si>
  <si>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</si>
  <si>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</si>
  <si>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</si>
  <si>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</si>
  <si>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</si>
  <si>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</si>
  <si>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</si>
  <si>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</si>
  <si>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</si>
  <si>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</si>
  <si>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</si>
  <si>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</si>
  <si>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</si>
  <si>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</si>
  <si>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</si>
  <si>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</si>
  <si>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</si>
  <si>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</si>
  <si>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</si>
  <si>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</si>
  <si>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</si>
  <si>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</si>
  <si>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</si>
  <si>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</si>
  <si>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</si>
  <si>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</si>
  <si>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</si>
  <si>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</si>
  <si>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</si>
  <si>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</si>
  <si>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</si>
  <si>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</si>
  <si>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</si>
  <si>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</si>
  <si>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</si>
  <si>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</si>
  <si>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</si>
  <si>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</si>
  <si>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</si>
  <si>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</si>
  <si>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</si>
  <si>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</si>
  <si>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</si>
  <si>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</si>
  <si>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</si>
  <si>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</si>
  <si>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</si>
  <si>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</si>
  <si>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</si>
  <si>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</si>
  <si>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</si>
  <si>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</si>
  <si>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</si>
  <si>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</si>
  <si>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</si>
  <si>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</si>
  <si>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</si>
  <si>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</si>
  <si>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</si>
  <si>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</si>
  <si>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</si>
  <si>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</si>
  <si>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</si>
  <si>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</si>
  <si>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</si>
  <si>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</si>
  <si>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</si>
  <si>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</si>
  <si>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</si>
  <si>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</si>
  <si>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</si>
  <si>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</si>
  <si>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</si>
  <si>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</si>
  <si>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</si>
  <si>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</si>
  <si>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</si>
  <si>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</si>
  <si>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</si>
  <si>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</si>
  <si>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</si>
  <si>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</si>
  <si>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</si>
  <si>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</si>
  <si>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</si>
  <si>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</si>
  <si>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</si>
  <si>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</si>
  <si>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</si>
  <si>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</si>
  <si>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</si>
  <si>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</si>
  <si>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</si>
  <si>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</si>
  <si>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</si>
  <si>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</si>
  <si>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</si>
  <si>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</si>
  <si>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</si>
  <si>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</si>
  <si>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</si>
  <si>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</si>
  <si>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</si>
  <si>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</si>
  <si>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</si>
  <si>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</si>
  <si>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</si>
  <si>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</si>
  <si>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</si>
  <si>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</si>
  <si>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</si>
  <si>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</si>
  <si>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</si>
  <si>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</si>
  <si>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</si>
  <si>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</si>
  <si>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</si>
  <si>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</si>
  <si>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</si>
  <si>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</si>
  <si>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</si>
  <si>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</si>
  <si>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</si>
  <si>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</si>
  <si>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</si>
  <si>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</si>
  <si>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</si>
  <si>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</si>
  <si>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</si>
  <si>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</si>
  <si>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</si>
  <si>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</si>
  <si>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</si>
  <si>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</si>
  <si>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</si>
  <si>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</si>
  <si>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</si>
  <si>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</si>
  <si>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</si>
  <si>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</si>
  <si>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</si>
  <si>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</si>
  <si>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</si>
  <si>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</si>
  <si>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</si>
  <si>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</si>
  <si>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</si>
  <si>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</si>
  <si>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</si>
  <si>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</si>
  <si>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</si>
  <si>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</si>
  <si>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</si>
  <si>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</si>
  <si>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</si>
  <si>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</si>
  <si>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</si>
  <si>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</si>
  <si>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</si>
  <si>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</si>
  <si>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</si>
  <si>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</si>
  <si>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</si>
  <si>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</si>
  <si>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</si>
  <si>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</si>
  <si>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</si>
  <si>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</si>
  <si>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</si>
  <si>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</si>
  <si>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</si>
  <si>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</si>
  <si>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</si>
  <si>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</si>
  <si>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</si>
  <si>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</si>
  <si>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</si>
  <si>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</si>
  <si>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</si>
  <si>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</si>
  <si>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</si>
  <si>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</si>
  <si>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</si>
  <si>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</si>
  <si>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</si>
  <si>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</si>
  <si>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</si>
  <si>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</si>
  <si>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</si>
  <si>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</si>
  <si>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</si>
  <si>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</si>
  <si>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</si>
  <si>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</si>
  <si>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</si>
  <si>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</si>
  <si>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</si>
  <si>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</si>
  <si>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</si>
  <si>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</si>
  <si>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</si>
  <si>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</si>
  <si>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</si>
  <si>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</si>
  <si>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</si>
  <si>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</si>
  <si>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</si>
  <si>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</si>
  <si>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</si>
  <si>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</si>
  <si>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</si>
  <si>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</si>
  <si>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</si>
  <si>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</si>
  <si>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</si>
  <si>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</si>
  <si>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</si>
  <si>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北京市</t>
  </si>
  <si>
    <t>自然人</t>
  </si>
  <si>
    <t>是</t>
  </si>
  <si>
    <t>地上</t>
  </si>
  <si>
    <t>办公</t>
    <phoneticPr fontId="7" type="noConversion"/>
  </si>
  <si>
    <t>正常</t>
  </si>
  <si>
    <t>办公</t>
    <phoneticPr fontId="31" type="noConversion"/>
  </si>
  <si>
    <t>挂牌</t>
  </si>
  <si>
    <t>挂牌</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</si>
  <si>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</si>
  <si>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</si>
  <si>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</si>
  <si>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</si>
  <si>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</si>
  <si>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</si>
  <si>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</si>
  <si>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</si>
  <si>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</si>
  <si>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</si>
  <si>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</si>
  <si>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</si>
  <si>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普装</t>
  </si>
  <si>
    <t>简装</t>
  </si>
  <si>
    <t>毛坯</t>
  </si>
  <si>
    <t>五通</t>
  </si>
  <si>
    <t>五通</t>
    <phoneticPr fontId="31" type="noConversion"/>
  </si>
  <si>
    <t>专业</t>
  </si>
  <si>
    <t>专业</t>
    <phoneticPr fontId="31" type="noConversion"/>
  </si>
  <si>
    <t>甲</t>
  </si>
  <si>
    <t>甲</t>
    <phoneticPr fontId="31" type="noConversion"/>
  </si>
  <si>
    <t>较好</t>
  </si>
  <si>
    <t>七通</t>
  </si>
  <si>
    <t>成新度</t>
  </si>
  <si>
    <t>收益法 (元)</t>
  </si>
  <si>
    <t>押一</t>
  </si>
  <si>
    <t>非生产用房</t>
  </si>
  <si>
    <t>单套模式</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</si>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</sst>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47" fillId="12"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估价对象为北京市房地产，为所有。根据《国有土地使用证》[]，估价对象（分摊）出让国有建设用地使用权面积为0平方米，建筑面积为148.99平方米。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估价对象为北京市房地产,属开发建设的办公项目，该项目尚在开发建设中。根据《国有土地使用证》[]，估价对象（分摊）出让国有建设用地使用权面积为0平方米，规划建筑面积为148.99平方米。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2025年9月9日（评估专业人员实地查勘之日）</v>
      </c>
    </row>
    <row r="13" spans="1:2" s="1203" customFormat="1">
      <c r="A13" s="1201" t="s">
        <v>529</v>
      </c>
      <c r="B13" s="1202"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3401</v>
      </c>
      <c r="AA1" s="1542" t="s">
        <v>3400</v>
      </c>
      <c r="AB1" s="1542" t="s">
        <v>3</v>
      </c>
    </row>
    <row r="2" spans="1:28">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2435</v>
      </c>
      <c r="Y2" s="1551" t="s">
        <v>3408</v>
      </c>
      <c r="Z2" s="1551" t="s">
        <v>2448</v>
      </c>
      <c r="AA2" s="1551" t="s">
        <v>3409</v>
      </c>
      <c r="AB2" s="1551" t="s">
        <v>2475</v>
      </c>
    </row>
    <row r="3" spans="1:28">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2437</v>
      </c>
      <c r="Z3" s="1551" t="s">
        <v>2450</v>
      </c>
      <c r="AB3" s="1551" t="s">
        <v>2477</v>
      </c>
    </row>
    <row r="4" spans="1:28">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2439</v>
      </c>
      <c r="Z4" s="1551" t="s">
        <v>2452</v>
      </c>
      <c r="AB4" s="1551" t="s">
        <v>2479</v>
      </c>
    </row>
    <row r="5" spans="1:28">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2441</v>
      </c>
      <c r="Z5" s="1551" t="s">
        <v>2454</v>
      </c>
      <c r="AB5" s="1551" t="s">
        <v>3410</v>
      </c>
    </row>
    <row r="6" spans="1:28">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2443</v>
      </c>
      <c r="Z6" s="1551" t="s">
        <v>2456</v>
      </c>
      <c r="AB6" s="1551" t="s">
        <v>2482</v>
      </c>
    </row>
    <row r="7" spans="1:28">
      <c r="A7" s="1546" t="s">
        <v>1023</v>
      </c>
      <c r="B7" s="1549" t="s">
        <v>450</v>
      </c>
      <c r="C7" s="1547" t="s">
        <v>25</v>
      </c>
      <c r="F7" s="1548" t="s">
        <v>1024</v>
      </c>
      <c r="H7" s="1548" t="s">
        <v>1025</v>
      </c>
      <c r="I7" s="1548" t="s">
        <v>3336</v>
      </c>
      <c r="X7" s="1551" t="s">
        <v>2445</v>
      </c>
      <c r="Z7" s="1551" t="s">
        <v>2458</v>
      </c>
      <c r="AB7" s="1551" t="s">
        <v>2484</v>
      </c>
    </row>
    <row r="8" spans="1:28">
      <c r="A8" s="1546" t="s">
        <v>1026</v>
      </c>
      <c r="B8" s="1546" t="s">
        <v>1027</v>
      </c>
      <c r="C8" s="1547" t="s">
        <v>319</v>
      </c>
      <c r="F8" s="1548" t="s">
        <v>1028</v>
      </c>
      <c r="H8" s="1548" t="s">
        <v>2573</v>
      </c>
      <c r="I8" s="1548" t="s">
        <v>3337</v>
      </c>
      <c r="X8" s="1551" t="s">
        <v>3411</v>
      </c>
      <c r="Z8" s="1551" t="s">
        <v>2460</v>
      </c>
      <c r="AB8" s="1551" t="s">
        <v>2486</v>
      </c>
    </row>
    <row r="9" spans="1:28">
      <c r="A9" s="1546" t="s">
        <v>1029</v>
      </c>
      <c r="B9" s="1546" t="s">
        <v>1030</v>
      </c>
      <c r="C9" s="1547" t="s">
        <v>320</v>
      </c>
      <c r="F9" s="1548" t="s">
        <v>1031</v>
      </c>
      <c r="H9" s="1548"/>
      <c r="I9" s="1551" t="s">
        <v>3338</v>
      </c>
      <c r="X9" s="1551" t="s">
        <v>3412</v>
      </c>
      <c r="Z9" s="1551" t="s">
        <v>2462</v>
      </c>
      <c r="AB9" s="1551" t="s">
        <v>2488</v>
      </c>
    </row>
    <row r="10" spans="1:28">
      <c r="A10" s="1546" t="s">
        <v>1032</v>
      </c>
      <c r="B10" s="1546" t="s">
        <v>1033</v>
      </c>
      <c r="C10" s="1547" t="s">
        <v>321</v>
      </c>
      <c r="F10" s="1548" t="s">
        <v>2574</v>
      </c>
      <c r="I10" s="1551" t="s">
        <v>3339</v>
      </c>
      <c r="Z10" s="1551" t="s">
        <v>2464</v>
      </c>
      <c r="AB10" s="1551" t="s">
        <v>2490</v>
      </c>
    </row>
    <row r="11" spans="1:28">
      <c r="A11" s="1546" t="s">
        <v>1034</v>
      </c>
      <c r="B11" s="1546" t="s">
        <v>1035</v>
      </c>
      <c r="C11" s="1547" t="s">
        <v>322</v>
      </c>
      <c r="F11" s="1548" t="s">
        <v>13</v>
      </c>
      <c r="I11" s="1551" t="s">
        <v>3340</v>
      </c>
      <c r="Z11" s="1551" t="s">
        <v>2466</v>
      </c>
      <c r="AB11" s="1551" t="s">
        <v>2492</v>
      </c>
    </row>
    <row r="12" spans="1:28">
      <c r="A12" s="1546" t="s">
        <v>1036</v>
      </c>
      <c r="B12" s="1546" t="s">
        <v>1037</v>
      </c>
      <c r="C12" s="1547" t="s">
        <v>323</v>
      </c>
      <c r="I12" s="1551" t="s">
        <v>3341</v>
      </c>
      <c r="Z12" s="1551" t="s">
        <v>2468</v>
      </c>
      <c r="AB12" s="1551" t="s">
        <v>2494</v>
      </c>
    </row>
    <row r="13" spans="1:28">
      <c r="A13" s="1546" t="s">
        <v>1038</v>
      </c>
      <c r="B13" s="1546" t="s">
        <v>1039</v>
      </c>
      <c r="C13" s="1547" t="s">
        <v>324</v>
      </c>
      <c r="I13" s="1551" t="s">
        <v>3342</v>
      </c>
      <c r="Z13" s="1551" t="s">
        <v>2470</v>
      </c>
    </row>
    <row r="14" spans="1:28">
      <c r="A14" s="1546" t="s">
        <v>1040</v>
      </c>
      <c r="B14" s="1546" t="s">
        <v>1041</v>
      </c>
      <c r="C14" s="1548" t="s">
        <v>13</v>
      </c>
      <c r="I14" s="1551" t="s">
        <v>3343</v>
      </c>
      <c r="Z14" s="1551" t="s">
        <v>2472</v>
      </c>
    </row>
    <row r="15" spans="1:28">
      <c r="A15" s="1546" t="s">
        <v>1042</v>
      </c>
      <c r="B15" s="1546" t="s">
        <v>1043</v>
      </c>
      <c r="C15" s="1547"/>
      <c r="I15" s="1551" t="s">
        <v>3344</v>
      </c>
    </row>
    <row r="16" spans="1:28">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519" t="s">
        <v>2576</v>
      </c>
      <c r="J2" s="3519"/>
      <c r="K2" s="3519"/>
      <c r="L2" s="3519"/>
      <c r="M2" s="3519"/>
      <c r="N2" s="3519"/>
      <c r="O2" s="3519"/>
      <c r="P2" s="3519"/>
      <c r="Q2" s="3519"/>
      <c r="R2" s="3519"/>
    </row>
    <row r="3" spans="1:18">
      <c r="A3" s="3020" t="s">
        <v>2497</v>
      </c>
      <c r="B3" s="3021">
        <f>项目基本情况!D3</f>
        <v>45909</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2578</v>
      </c>
      <c r="J5" s="3439">
        <v>70</v>
      </c>
      <c r="K5" s="3439">
        <v>60</v>
      </c>
      <c r="L5" s="3439">
        <v>15</v>
      </c>
      <c r="M5" s="3439">
        <v>25</v>
      </c>
      <c r="N5" s="3023">
        <v>40</v>
      </c>
      <c r="O5" s="3023">
        <v>50</v>
      </c>
      <c r="P5" s="3023">
        <v>40</v>
      </c>
      <c r="Q5" s="3023">
        <v>15</v>
      </c>
      <c r="R5" s="3023">
        <v>315</v>
      </c>
    </row>
    <row r="6" spans="1:18">
      <c r="A6" s="3024">
        <v>50</v>
      </c>
      <c r="B6" s="3021">
        <v>50028</v>
      </c>
      <c r="C6" s="3023">
        <f>ROUNDDOWN(MIN((B6-B3)/365,A6),2)</f>
        <v>11.28</v>
      </c>
      <c r="D6" s="3025">
        <f>IF(ISERROR(ROUND(POWER(1+E6,A6-C6)*(POWER(1+E6,C6)-1)/(POWER(1+E6,A6)-1),3)),0,ROUND(POWER(1+E6,A6-C6)*(POWER(1+E6,C6)-1)/(POWER(1+E6,A6)-1),4))</f>
        <v>0.41610000000000003</v>
      </c>
      <c r="E6" s="3026">
        <v>0.04</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70</v>
      </c>
      <c r="C11" s="3023" t="s">
        <v>2506</v>
      </c>
      <c r="D11" s="3029">
        <v>4.4999999999999998E-2</v>
      </c>
      <c r="E11" s="3023" t="s">
        <v>2507</v>
      </c>
      <c r="F11" s="3030">
        <f>ROUND(1-(1/(POWER(1+D11,B11))),4)</f>
        <v>0.95409999999999995</v>
      </c>
    </row>
    <row r="12" spans="1:18">
      <c r="A12" s="3020" t="s">
        <v>2508</v>
      </c>
      <c r="B12" s="3028">
        <v>40</v>
      </c>
      <c r="C12" s="3023" t="s">
        <v>2509</v>
      </c>
      <c r="D12" s="3029">
        <v>4.4999999999999998E-2</v>
      </c>
      <c r="E12" s="3023" t="s">
        <v>2510</v>
      </c>
      <c r="F12" s="3030">
        <f>ROUND(1-(1/(POWER(1+D12,B12))),4)</f>
        <v>0.82809999999999995</v>
      </c>
    </row>
    <row r="13" spans="1:18">
      <c r="A13" s="3020" t="s">
        <v>2511</v>
      </c>
      <c r="B13" s="3023"/>
      <c r="C13" s="3023"/>
      <c r="D13" s="3018"/>
      <c r="E13" s="3018"/>
      <c r="F13" s="3019"/>
    </row>
    <row r="14" spans="1:18">
      <c r="A14" s="3020" t="s">
        <v>2512</v>
      </c>
      <c r="B14" s="3028">
        <v>5000</v>
      </c>
      <c r="C14" s="3022"/>
      <c r="D14" s="3018"/>
      <c r="E14" s="3018"/>
      <c r="F14" s="3019"/>
    </row>
    <row r="15" spans="1:18">
      <c r="A15" s="3020" t="s">
        <v>2513</v>
      </c>
      <c r="B15" s="3023">
        <f>ROUND(B14*F12/F11,2)</f>
        <v>4339.6899999999996</v>
      </c>
      <c r="C15" s="3023">
        <f>ROUND(F12/F11,4)</f>
        <v>0.8679</v>
      </c>
      <c r="D15" s="3018"/>
      <c r="E15" s="3018"/>
      <c r="F15" s="3019"/>
    </row>
    <row r="16" spans="1:18">
      <c r="A16" s="3020" t="s">
        <v>2514</v>
      </c>
      <c r="B16" s="3023"/>
      <c r="C16" s="3023"/>
      <c r="D16" s="3018"/>
      <c r="E16" s="3018"/>
      <c r="F16" s="3019"/>
    </row>
    <row r="17" spans="1:14">
      <c r="A17" s="3020" t="s">
        <v>2513</v>
      </c>
      <c r="B17" s="3029">
        <v>4810</v>
      </c>
      <c r="C17" s="3022"/>
      <c r="D17" s="3018"/>
      <c r="E17" s="3018"/>
      <c r="F17" s="3019"/>
    </row>
    <row r="18" spans="1:14" ht="14.25" thickBot="1">
      <c r="A18" s="3031" t="s">
        <v>2512</v>
      </c>
      <c r="B18" s="3032">
        <f>ROUND(B17*F11/F12,2)</f>
        <v>5541.87</v>
      </c>
      <c r="C18" s="3032">
        <f>ROUND(F11/F12,4)</f>
        <v>1.1521999999999999</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3381</v>
      </c>
    </row>
    <row r="50" spans="1:4">
      <c r="A50" s="3449" t="s">
        <v>3382</v>
      </c>
      <c r="B50" s="3449" t="s">
        <v>3383</v>
      </c>
      <c r="C50" s="3449" t="s">
        <v>3384</v>
      </c>
      <c r="D50" s="3449" t="s">
        <v>3385</v>
      </c>
    </row>
    <row r="51" spans="1:4">
      <c r="A51" s="3449" t="s">
        <v>3386</v>
      </c>
      <c r="B51" s="3022">
        <f>B52+B53</f>
        <v>15000</v>
      </c>
      <c r="C51" s="3450">
        <f>D51/B51</f>
        <v>2666.6666666666665</v>
      </c>
      <c r="D51" s="3022">
        <f>D52+D53</f>
        <v>40000000</v>
      </c>
    </row>
    <row r="52" spans="1:4">
      <c r="A52" s="3451" t="s">
        <v>3387</v>
      </c>
      <c r="B52" s="3452">
        <v>10000</v>
      </c>
      <c r="C52" s="3452">
        <v>1500</v>
      </c>
      <c r="D52" s="3453">
        <f>C52*B52</f>
        <v>15000000</v>
      </c>
    </row>
    <row r="53" spans="1:4">
      <c r="A53" s="3451" t="s">
        <v>3388</v>
      </c>
      <c r="B53" s="3452">
        <v>5000</v>
      </c>
      <c r="C53" s="3452">
        <v>5000</v>
      </c>
      <c r="D53" s="3453">
        <f>C53*B53</f>
        <v>25000000</v>
      </c>
    </row>
    <row r="54" spans="1:4">
      <c r="A54" s="3449" t="s">
        <v>3389</v>
      </c>
      <c r="B54" s="3022">
        <f>B51</f>
        <v>15000</v>
      </c>
      <c r="C54" s="3029">
        <v>700</v>
      </c>
      <c r="D54" s="3022">
        <f t="shared" ref="D54:D55" si="5">C54*B54</f>
        <v>10500000</v>
      </c>
    </row>
    <row r="55" spans="1:4">
      <c r="A55" s="3449" t="s">
        <v>3390</v>
      </c>
      <c r="B55" s="3022">
        <f>B51</f>
        <v>15000</v>
      </c>
      <c r="C55" s="3029">
        <v>1500</v>
      </c>
      <c r="D55" s="3022">
        <f t="shared" si="5"/>
        <v>22500000</v>
      </c>
    </row>
    <row r="56" spans="1:4">
      <c r="A56" s="3449" t="s">
        <v>3391</v>
      </c>
      <c r="B56" s="3022">
        <f>B51</f>
        <v>15000</v>
      </c>
      <c r="C56" s="3454">
        <f>C51+C54+C55</f>
        <v>4866.6666666666661</v>
      </c>
      <c r="D56" s="3022">
        <f>D51+D54+D55</f>
        <v>73000000</v>
      </c>
    </row>
    <row r="58" spans="1:4">
      <c r="A58" s="3449" t="s">
        <v>3392</v>
      </c>
      <c r="B58" s="3455">
        <v>0.05</v>
      </c>
      <c r="C58" s="3022">
        <f>C56*(1+B58)</f>
        <v>5110</v>
      </c>
      <c r="D58" s="3022">
        <f>D56*B58</f>
        <v>3650000</v>
      </c>
    </row>
    <row r="60" spans="1:4">
      <c r="A60" s="3449" t="s">
        <v>3393</v>
      </c>
      <c r="B60" s="3029">
        <v>3500</v>
      </c>
      <c r="C60" s="3029">
        <f>C53</f>
        <v>5000</v>
      </c>
      <c r="D60" s="3022">
        <f>C60*B60</f>
        <v>17500000</v>
      </c>
    </row>
    <row r="62" spans="1:4">
      <c r="A62" s="3449" t="s">
        <v>3394</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45909</v>
      </c>
      <c r="C3" s="2374" t="s">
        <v>2171</v>
      </c>
      <c r="D3" s="2373">
        <f>B3</f>
        <v>45909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3413</v>
      </c>
      <c r="C8" s="2390"/>
      <c r="D8" s="3523" t="s">
        <v>2177</v>
      </c>
      <c r="E8" s="2391" t="s">
        <v>3414</v>
      </c>
      <c r="F8" s="2392"/>
      <c r="G8" s="2663"/>
      <c r="H8" s="2663"/>
      <c r="I8" s="2663"/>
      <c r="J8" s="2439"/>
      <c r="K8" s="2614"/>
      <c r="L8" s="2613"/>
      <c r="M8" s="2613"/>
      <c r="N8" s="2439"/>
      <c r="O8" s="2450"/>
      <c r="P8" s="2439"/>
      <c r="Q8" s="2439"/>
      <c r="R8" s="2439"/>
    </row>
    <row r="9" spans="1:30" ht="13.5" thickBot="1">
      <c r="A9" s="2393" t="s">
        <v>2178</v>
      </c>
      <c r="B9" s="2394" t="s">
        <v>3414</v>
      </c>
      <c r="C9" s="2395"/>
      <c r="D9" s="3524"/>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2572</v>
      </c>
      <c r="J12" s="3062"/>
      <c r="K12" s="2613"/>
      <c r="L12" s="2613"/>
      <c r="M12" s="2439"/>
      <c r="N12" s="2450"/>
      <c r="O12" s="2439"/>
      <c r="P12" s="2439"/>
      <c r="Q12" s="2439"/>
      <c r="AD12" s="1745"/>
    </row>
    <row r="13" spans="1:30">
      <c r="A13" s="3423" t="s">
        <v>3326</v>
      </c>
      <c r="B13" s="2407" t="s">
        <v>2190</v>
      </c>
      <c r="C13" s="856"/>
      <c r="D13" s="856"/>
      <c r="E13" s="856">
        <v>55952</v>
      </c>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27.51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148.99</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3"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2218</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2575</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148.99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148.99</v>
      </c>
      <c r="H5" s="13">
        <f t="shared" ref="H5:AT5" si="0">SUM(H13:H656)</f>
        <v>148.99</v>
      </c>
      <c r="I5" s="13">
        <f t="shared" si="0"/>
        <v>148.99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148.99</v>
      </c>
      <c r="BA5" s="15">
        <f t="shared" si="1"/>
        <v>148.99</v>
      </c>
      <c r="BB5" s="15">
        <f t="shared" si="1"/>
        <v>148.99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3421</v>
      </c>
      <c r="E13" s="13">
        <f>IF($C$3="是",ROUND($A$3*G13/$B$3,2),ROUND($A$3*(G13-AT13)/$B$3,2))</f>
        <v>0</v>
      </c>
      <c r="F13" s="29"/>
      <c r="G13" s="30">
        <f>H13+AC13+AT13</f>
        <v>148.99</v>
      </c>
      <c r="H13" s="17">
        <f>SUMIF(I$12:AB$12,"总值",I13:AB13)</f>
        <v>148.99</v>
      </c>
      <c r="I13" s="1626">
        <v>148.99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148.99</v>
      </c>
      <c r="BA13" s="13">
        <f>SUM(BB13:BK13)</f>
        <v>148.99</v>
      </c>
      <c r="BB13" s="13">
        <f>IF($D13="是",I13-J13,0)</f>
        <v>148.99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f>'数据-基础表'!AY6</f>
        <v>0</v>
      </c>
      <c r="E3" s="43">
        <f>'数据-基础表'!AZ5</f>
        <v>148.99</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148.99</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148.99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148.99</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3423</v>
      </c>
      <c r="D19" s="45">
        <f>ROUND($D$3*E19/$E$3,2)</f>
        <v>0</v>
      </c>
      <c r="E19" s="53">
        <f t="shared" ref="E19:E26" si="1">SUM(F19:G19)</f>
        <v>148.99</v>
      </c>
      <c r="F19" s="2795">
        <f>'数据-基础表'!I13</f>
        <v>148.99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148.99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148.99</v>
      </c>
      <c r="F27" s="1140">
        <f>IF(SUM(F19:F26)=E8,SUM(F19:F26),"地上面积有误")</f>
        <v>148.99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148.99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148.99</v>
      </c>
      <c r="F31" s="677">
        <f>F27+F30</f>
        <v>148.99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1" sqref="H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0</v>
      </c>
      <c r="E6" s="857">
        <f>IF(B6="","",SUMIF(项目基本情况!C$12:I$12,C6,项目基本情况!C$13:I$13))</f>
        <v>55952</v>
      </c>
      <c r="F6" s="64">
        <f>SUMIF(项目基本情况!C$12:I$12,C6,项目基本情况!C$15:I$15)</f>
        <v>27.51</v>
      </c>
      <c r="G6" s="65">
        <f>IF(ISERROR(ROUND(POWER(1+H6,D6-F6)*(POWER(1+H6,F6)-1)/(POWER(1+H6,D6)-1),3)),0,ROUND(POWER(1+H6,D6-F6)*(POWER(1+H6,F6)-1)/(POWER(1+H6,D6)-1),3))</f>
        <v>0</v>
      </c>
      <c r="H6" s="732">
        <v>0.05</v>
      </c>
      <c r="I6" s="732">
        <v>5.5E-2</v>
      </c>
      <c r="J6" s="66">
        <v>7.0000000000000007E-2</v>
      </c>
      <c r="K6" s="1030">
        <f>SUMIF('数据-汇总表'!C$19:C$33,A6,'数据-汇总表'!E$19:E$33)</f>
        <v>148.99</v>
      </c>
      <c r="L6" s="733">
        <v>5000</v>
      </c>
      <c r="M6" s="67">
        <f t="shared" ref="M6:M14" si="0">ROUND(K6*L6/10000,0)</f>
        <v>74</v>
      </c>
      <c r="N6" s="731">
        <f>N20</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0.02</v>
      </c>
      <c r="W6" s="70">
        <v>0.1</v>
      </c>
      <c r="X6" s="1040"/>
      <c r="Y6" s="71">
        <f>N6</f>
        <v>0.76</v>
      </c>
      <c r="Z6" s="72"/>
      <c r="AA6" s="66"/>
      <c r="AB6" s="66"/>
      <c r="AC6" s="1040"/>
      <c r="AD6" s="73"/>
      <c r="AE6" s="1041">
        <f ca="1">IF(AN6="",0,SUMIF(INDIRECT("'"&amp;AN6&amp;"'"&amp;"!E:E"),$AE$5,INDIRECT("'"&amp;AN6&amp;"'"&amp;"!F:F")))</f>
        <v>27.51</v>
      </c>
      <c r="AF6" s="1348"/>
      <c r="AG6" s="138">
        <f>IF(AF6="",0,AE6-AF6)</f>
        <v>0</v>
      </c>
      <c r="AH6" s="74"/>
      <c r="AI6" s="76">
        <v>365</v>
      </c>
      <c r="AJ6" s="77"/>
      <c r="AK6" s="78">
        <v>5.0000000000000001E-3</v>
      </c>
      <c r="AL6" s="79">
        <v>1.5E-3</v>
      </c>
      <c r="AM6" s="80">
        <v>5.0000000000000001E-3</v>
      </c>
      <c r="AN6" s="1715" t="s">
        <v>3452</v>
      </c>
      <c r="AO6" s="52">
        <f ca="1">SUMIF(INDIRECT("'"&amp;AN6&amp;"'"&amp;"!A:A"),"总价",INDIRECT("'"&amp;AN6&amp;"'"&amp;"!B:B"))</f>
        <v>387.46679999999998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148.99</v>
      </c>
      <c r="L16" s="93">
        <f>ROUND(M16*10000/SUM(K6:K14),0)</f>
        <v>4967</v>
      </c>
      <c r="M16" s="93">
        <f>SUM(M6:M14)</f>
        <v>74</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3825">
        <v>2005</v>
      </c>
      <c r="O17" s="3825"/>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3825">
        <f>ROUND(1-(2025-N17)/60,2)</f>
        <v>0.67</v>
      </c>
      <c r="O18" s="3825">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2298</v>
      </c>
      <c r="D19" s="2676"/>
      <c r="E19" s="2673"/>
      <c r="F19" s="2673"/>
      <c r="G19" s="2673"/>
      <c r="H19" s="2673"/>
      <c r="I19" s="2673"/>
      <c r="J19" s="2673"/>
      <c r="K19" s="2672"/>
      <c r="L19" s="2672"/>
      <c r="M19" s="2671"/>
      <c r="N19" s="3825">
        <v>0.85</v>
      </c>
      <c r="O19" s="3825">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2296</v>
      </c>
      <c r="D20" s="2676"/>
      <c r="E20" s="2673"/>
      <c r="F20" s="2673"/>
      <c r="G20" s="2673"/>
      <c r="H20" s="2673"/>
      <c r="I20" s="2673"/>
      <c r="J20" s="2673"/>
      <c r="K20" s="2672"/>
      <c r="L20" s="2672"/>
      <c r="M20" s="2671"/>
      <c r="N20" s="3825">
        <f>ROUND(N18*O18+N19*O19,2)</f>
        <v>0.76</v>
      </c>
      <c r="O20" s="3825"/>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3377</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3378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3379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0.05</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3380</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2282</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ht="38.25">
      <c r="A17" s="2446"/>
      <c r="B17" s="2500" t="s">
        <v>2257</v>
      </c>
      <c r="C17" s="2501">
        <f>C5</f>
        <v>0</v>
      </c>
      <c r="D17" s="2471"/>
      <c r="E17" s="2447"/>
      <c r="F17" s="2502" t="s">
        <v>2272</v>
      </c>
      <c r="G17" s="2504"/>
    </row>
    <row r="18" spans="1:18" ht="38.2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ht="25.5">
      <c r="A20" s="2446"/>
      <c r="B20" s="2502" t="s">
        <v>2274</v>
      </c>
      <c r="C20" s="2501">
        <f>C9</f>
        <v>0</v>
      </c>
      <c r="D20" s="2471"/>
      <c r="E20" s="2447"/>
      <c r="F20" s="323" t="s">
        <v>2261</v>
      </c>
      <c r="G20" s="2503" t="str">
        <f>G6</f>
        <v>估价对象所在区域基础设施水平</v>
      </c>
    </row>
    <row r="21" spans="1:18" ht="25.5">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4" t="s">
        <v>1265</v>
      </c>
      <c r="B4" s="1755" t="s">
        <v>1266</v>
      </c>
      <c r="C4" s="1756" t="s">
        <v>3456</v>
      </c>
      <c r="D4" s="1756" t="s">
        <v>3452</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637">
        <v>25</v>
      </c>
      <c r="C5" s="3640"/>
      <c r="D5" s="3628"/>
      <c r="E5" s="131" t="s">
        <v>1269</v>
      </c>
      <c r="F5" s="1757"/>
      <c r="G5" s="1757"/>
      <c r="H5" s="1757"/>
      <c r="I5" s="1373"/>
    </row>
    <row r="6" spans="1:12" ht="12.75">
      <c r="A6" s="3582"/>
      <c r="B6" s="3637"/>
      <c r="C6" s="3642"/>
      <c r="D6" s="3628"/>
      <c r="E6" s="131" t="s">
        <v>1270</v>
      </c>
      <c r="F6" s="1757"/>
      <c r="G6" s="1757"/>
      <c r="H6" s="1757"/>
      <c r="I6" s="1373"/>
    </row>
    <row r="7" spans="1:12" ht="12.75">
      <c r="A7" s="3582"/>
      <c r="B7" s="3637"/>
      <c r="C7" s="3641"/>
      <c r="D7" s="3628"/>
      <c r="E7" s="131" t="s">
        <v>1271</v>
      </c>
      <c r="F7" s="1757"/>
      <c r="G7" s="1757"/>
      <c r="H7" s="1757"/>
      <c r="I7" s="1373"/>
    </row>
    <row r="8" spans="1:12" ht="12.75">
      <c r="A8" s="3582" t="s">
        <v>1272</v>
      </c>
      <c r="B8" s="3637">
        <v>15</v>
      </c>
      <c r="C8" s="3640"/>
      <c r="D8" s="3628"/>
      <c r="E8" s="131" t="s">
        <v>1273</v>
      </c>
      <c r="F8" s="1757"/>
      <c r="G8" s="1757"/>
      <c r="H8" s="1757"/>
      <c r="I8" s="1373"/>
    </row>
    <row r="9" spans="1:12" ht="12.75">
      <c r="A9" s="3582"/>
      <c r="B9" s="3637"/>
      <c r="C9" s="3641"/>
      <c r="D9" s="3628"/>
      <c r="E9" s="131" t="s">
        <v>1274</v>
      </c>
      <c r="F9" s="1757"/>
      <c r="G9" s="1757"/>
      <c r="H9" s="1757"/>
      <c r="I9" s="1373"/>
    </row>
    <row r="10" spans="1:12" ht="12.75">
      <c r="A10" s="3582" t="s">
        <v>1275</v>
      </c>
      <c r="B10" s="3637">
        <v>15</v>
      </c>
      <c r="C10" s="3640"/>
      <c r="D10" s="3628"/>
      <c r="E10" s="131" t="s">
        <v>1276</v>
      </c>
      <c r="F10" s="1757"/>
      <c r="G10" s="1757"/>
      <c r="H10" s="1757"/>
      <c r="I10" s="1373"/>
    </row>
    <row r="11" spans="1:12" ht="12.75">
      <c r="A11" s="3582"/>
      <c r="B11" s="3637"/>
      <c r="C11" s="3641"/>
      <c r="D11" s="3628"/>
      <c r="E11" s="131" t="s">
        <v>1277</v>
      </c>
      <c r="F11" s="1757"/>
      <c r="G11" s="1757"/>
      <c r="H11" s="1757"/>
      <c r="I11" s="1373"/>
    </row>
    <row r="12" spans="1:12" ht="12.75">
      <c r="A12" s="3582" t="s">
        <v>1278</v>
      </c>
      <c r="B12" s="3637">
        <v>15</v>
      </c>
      <c r="C12" s="3640"/>
      <c r="D12" s="3628"/>
      <c r="E12" s="131" t="s">
        <v>1279</v>
      </c>
      <c r="F12" s="1757"/>
      <c r="G12" s="1757"/>
      <c r="H12" s="1757"/>
      <c r="I12" s="1373"/>
    </row>
    <row r="13" spans="1:12" ht="12.75">
      <c r="A13" s="3582"/>
      <c r="B13" s="3637"/>
      <c r="C13" s="3641"/>
      <c r="D13" s="3628"/>
      <c r="E13" s="131" t="s">
        <v>1280</v>
      </c>
      <c r="F13" s="1757"/>
      <c r="G13" s="1757"/>
      <c r="H13" s="1757"/>
      <c r="I13" s="1373"/>
    </row>
    <row r="14" spans="1:12" ht="12.75">
      <c r="A14" s="3582" t="s">
        <v>1281</v>
      </c>
      <c r="B14" s="3637">
        <v>30</v>
      </c>
      <c r="C14" s="3640">
        <v>7</v>
      </c>
      <c r="D14" s="3628">
        <v>3</v>
      </c>
      <c r="E14" s="131" t="s">
        <v>1282</v>
      </c>
      <c r="F14" s="1757"/>
      <c r="G14" s="1757"/>
      <c r="H14" s="1757"/>
      <c r="I14" s="1373"/>
    </row>
    <row r="15" spans="1:12" ht="12.75">
      <c r="A15" s="3582"/>
      <c r="B15" s="3637"/>
      <c r="C15" s="3642"/>
      <c r="D15" s="3628"/>
      <c r="E15" s="131" t="s">
        <v>1283</v>
      </c>
      <c r="F15" s="1757"/>
      <c r="G15" s="1757"/>
      <c r="H15" s="1757"/>
      <c r="I15" s="1373"/>
    </row>
    <row r="16" spans="1:12" ht="12.75">
      <c r="A16" s="3582"/>
      <c r="B16" s="3637"/>
      <c r="C16" s="3641"/>
      <c r="D16" s="362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9" t="s">
        <v>2131</v>
      </c>
      <c r="F18" s="3660"/>
      <c r="G18" s="3660"/>
      <c r="H18" s="3660"/>
      <c r="I18" s="3660"/>
      <c r="K18" s="302" t="s">
        <v>1289</v>
      </c>
      <c r="L18" s="302">
        <f>IF(C1="",'数据-汇总表'!E3,SUMIF(项目类型,C1,'数据-汇总表'!E17:E26)+SUMIF(项目类型,C1,'数据-汇总表'!I17:I26))</f>
        <v>148.99</v>
      </c>
      <c r="M18" s="302">
        <f>IF(C1="",'数据-汇总表'!E3,SUMIF(项目类型,C1,'数据-汇总表'!E17:E26))</f>
        <v>148.99</v>
      </c>
    </row>
    <row r="19" spans="1:36" ht="15">
      <c r="A19" s="1761" t="s">
        <v>1290</v>
      </c>
      <c r="B19" s="1762" t="s">
        <v>1291</v>
      </c>
      <c r="C19" s="134">
        <f ca="1">SUMIF(INDIRECT("'"&amp;C4&amp;"'"&amp;"!A:A"),结果表!B19,INDIRECT("'"&amp;C4&amp;"'"&amp;"!B:B"))</f>
        <v>660.31470000000002</v>
      </c>
      <c r="D19" s="135">
        <f ca="1">SUMIF(INDIRECT("'"&amp;D4&amp;"'"&amp;"!A:A"),结果表!B19,INDIRECT("'"&amp;D4&amp;"'"&amp;"!B:B"))</f>
        <v>387.46679999999998</v>
      </c>
      <c r="E19" s="1761" t="s">
        <v>1292</v>
      </c>
      <c r="F19" s="1762" t="s">
        <v>1291</v>
      </c>
      <c r="G19" s="136">
        <f ca="1">ROUND(C19*$C$18+D19*$D$18,0)</f>
        <v>578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44319.4</v>
      </c>
      <c r="D20" s="138">
        <f ca="1">SUMIF(INDIRECT("'"&amp;D4&amp;"'"&amp;"!A:A"),结果表!B20,INDIRECT("'"&amp;D4&amp;"'"&amp;"!B:B"))</f>
        <v>26006</v>
      </c>
      <c r="E20" s="1764"/>
      <c r="F20" s="1026" t="s">
        <v>1295</v>
      </c>
      <c r="G20" s="139">
        <f ca="1">ROUND(C20*$C$18+D20*$D$18,0)</f>
        <v>38825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0.70418394556643316</v>
      </c>
      <c r="E22" s="129"/>
      <c r="F22" s="129"/>
      <c r="G22" s="129"/>
      <c r="H22" s="129"/>
      <c r="I22" s="129"/>
    </row>
    <row r="23" spans="1:36" ht="13.5" thickBot="1">
      <c r="A23" s="1747"/>
      <c r="B23" s="1747"/>
      <c r="C23" s="1747"/>
      <c r="D23" s="1747"/>
      <c r="E23" s="129"/>
      <c r="F23" s="129"/>
      <c r="G23" s="129"/>
      <c r="H23" s="129"/>
      <c r="I23" s="129"/>
    </row>
    <row r="24" spans="1:36" ht="14.25">
      <c r="A24" s="3652" t="s">
        <v>1299</v>
      </c>
      <c r="B24" s="1762" t="s">
        <v>1291</v>
      </c>
      <c r="C24" s="136">
        <f>IF(B30=0,0,D30)</f>
        <v>0</v>
      </c>
      <c r="D24" s="1769"/>
      <c r="E24" s="129"/>
      <c r="F24" s="129"/>
      <c r="G24" s="129"/>
      <c r="H24" s="129"/>
      <c r="I24" s="129"/>
    </row>
    <row r="25" spans="1:36" ht="14.25">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38825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9" t="s">
        <v>1312</v>
      </c>
      <c r="B36" s="1787" t="s">
        <v>1313</v>
      </c>
      <c r="C36" s="145"/>
      <c r="D36" s="1788"/>
      <c r="E36" s="1789"/>
      <c r="F36" s="1790"/>
      <c r="G36" s="129"/>
      <c r="H36" s="129"/>
      <c r="I36" s="129"/>
    </row>
    <row r="37" spans="1:15" ht="15.75" thickBot="1">
      <c r="A37" s="3630"/>
      <c r="B37" s="1674" t="s">
        <v>1314</v>
      </c>
      <c r="C37" s="147"/>
      <c r="D37" s="1139"/>
      <c r="E37" s="1139"/>
      <c r="F37" s="1790"/>
      <c r="G37" s="129"/>
      <c r="H37" s="129"/>
      <c r="I37" s="129"/>
    </row>
    <row r="38" spans="1:15" ht="15.75" thickBot="1">
      <c r="A38" s="36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t="e">
        <f ca="1">ROUND(H101*F45,0)</f>
        <v>#REF!</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45909</v>
      </c>
      <c r="N47" s="3572"/>
      <c r="O47" s="3572"/>
    </row>
    <row r="48" spans="1:15" ht="25.5">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0.05</v>
      </c>
      <c r="G48" s="2549" t="s">
        <v>1339</v>
      </c>
      <c r="H48" s="2550"/>
      <c r="I48" s="1806"/>
      <c r="J48" s="2523">
        <v>3</v>
      </c>
      <c r="K48" s="3570" t="s">
        <v>1340</v>
      </c>
      <c r="L48" s="3570"/>
      <c r="M48" s="3573" t="e">
        <f ca="1">H101</f>
        <v>#REF!</v>
      </c>
      <c r="N48" s="3573"/>
      <c r="O48" s="3573"/>
    </row>
    <row r="49" spans="1:35" ht="25.5" customHeight="1">
      <c r="A49" s="2333" t="s">
        <v>1341</v>
      </c>
      <c r="B49" s="3618" t="s">
        <v>1342</v>
      </c>
      <c r="C49" s="3618"/>
      <c r="D49" s="1590">
        <v>0</v>
      </c>
      <c r="E49" s="324" t="s">
        <v>1343</v>
      </c>
      <c r="F49" s="2424" t="s">
        <v>28</v>
      </c>
      <c r="G49" s="3601"/>
      <c r="H49" s="2310" t="s">
        <v>2134</v>
      </c>
      <c r="I49" s="2311"/>
      <c r="J49" s="2523">
        <v>4</v>
      </c>
      <c r="K49" s="3570" t="str">
        <f>IF(项目基本情况!E8="房地产抵押价值","房地产抵押价值","抵押担保权已注销时的房地产抵押价值")</f>
        <v>房地产抵押价值</v>
      </c>
      <c r="L49" s="3570"/>
      <c r="M49" s="3573" t="str">
        <f ca="1">IF(项目基本情况!E8="房地产抵押价值",H107,H109)</f>
        <v>——</v>
      </c>
      <c r="N49" s="3573"/>
      <c r="O49" s="3573"/>
    </row>
    <row r="50" spans="1:35" ht="25.5" customHeight="1">
      <c r="A50" s="2551"/>
      <c r="B50" s="3618" t="s">
        <v>1344</v>
      </c>
      <c r="C50" s="3618"/>
      <c r="D50" s="2552"/>
      <c r="E50" s="332"/>
      <c r="F50" s="2424"/>
      <c r="G50" s="3602"/>
      <c r="H50" s="2312" t="s">
        <v>2135</v>
      </c>
      <c r="I50" s="2311"/>
      <c r="J50" s="3569" t="s">
        <v>1345</v>
      </c>
      <c r="K50" s="3569"/>
      <c r="L50" s="3569"/>
      <c r="M50" s="3569"/>
      <c r="N50" s="3569"/>
      <c r="O50" s="3569"/>
    </row>
    <row r="51" spans="1:35" ht="20.45" customHeight="1">
      <c r="A51" s="2553"/>
      <c r="B51" s="3618" t="s">
        <v>1346</v>
      </c>
      <c r="C51" s="3618"/>
      <c r="D51" s="1087"/>
      <c r="E51" s="327"/>
      <c r="F51" s="2424"/>
      <c r="G51" s="3603"/>
      <c r="H51" s="2312" t="s">
        <v>2136</v>
      </c>
      <c r="I51" s="2311"/>
      <c r="J51" s="2524" t="s">
        <v>1347</v>
      </c>
      <c r="K51" s="3570" t="s">
        <v>1348</v>
      </c>
      <c r="L51" s="3570"/>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0.05</v>
      </c>
      <c r="G52" s="2555"/>
      <c r="H52" s="2544"/>
      <c r="I52" s="1807"/>
      <c r="J52" s="2523">
        <v>1</v>
      </c>
      <c r="K52" s="3595" t="s">
        <v>1355</v>
      </c>
      <c r="L52" s="3595"/>
      <c r="M52" s="2525" t="b">
        <f>D48</f>
        <v>0</v>
      </c>
      <c r="N52" s="2523" t="str">
        <f>E48</f>
        <v>销售额×税（费）率</v>
      </c>
      <c r="O52" s="2526">
        <f>F48</f>
        <v>0.05</v>
      </c>
    </row>
    <row r="53" spans="1:35" ht="12" customHeight="1">
      <c r="A53" s="2335" t="s">
        <v>1356</v>
      </c>
      <c r="B53" s="3619" t="s">
        <v>2287</v>
      </c>
      <c r="C53" s="3620"/>
      <c r="D53" s="1087" t="e">
        <f ca="1">ROUND(D45*'数据-取费表'!B41/(1+'数据-取费表'!C42),0)</f>
        <v>#REF!</v>
      </c>
      <c r="E53" s="2334" t="s">
        <v>1354</v>
      </c>
      <c r="F53" s="2554">
        <f>'数据-取费表'!B41</f>
        <v>0.05</v>
      </c>
      <c r="G53" s="2555"/>
      <c r="H53" s="2544"/>
      <c r="I53" s="1807"/>
      <c r="J53" s="2523">
        <v>2</v>
      </c>
      <c r="K53" s="3595" t="s">
        <v>1357</v>
      </c>
      <c r="L53" s="3595"/>
      <c r="M53" s="2525" t="e">
        <f t="shared" ref="M53:O54" ca="1" si="0">D55</f>
        <v>#REF!</v>
      </c>
      <c r="N53" s="2523" t="str">
        <f t="shared" si="0"/>
        <v>销售额×税（费）率</v>
      </c>
      <c r="O53" s="2526" t="str">
        <f t="shared" si="0"/>
        <v>免征</v>
      </c>
    </row>
    <row r="54" spans="1:35" ht="12" customHeight="1">
      <c r="A54" s="2335" t="s">
        <v>1358</v>
      </c>
      <c r="B54" s="3619" t="s">
        <v>2288</v>
      </c>
      <c r="C54" s="3620"/>
      <c r="D54" s="1087" t="e">
        <f ca="1">C68</f>
        <v>#REF!</v>
      </c>
      <c r="E54" s="327" t="s">
        <v>1359</v>
      </c>
      <c r="F54" s="2554">
        <f>'数据-取费表'!B41</f>
        <v>0.05</v>
      </c>
      <c r="G54" s="2555"/>
      <c r="H54" s="2556"/>
      <c r="I54" s="1807"/>
      <c r="J54" s="2523">
        <v>3</v>
      </c>
      <c r="K54" s="3595" t="s">
        <v>1360</v>
      </c>
      <c r="L54" s="3595"/>
      <c r="M54" s="2525" t="e">
        <f t="shared" ca="1" si="0"/>
        <v>#REF!</v>
      </c>
      <c r="N54" s="2523" t="str">
        <f t="shared" si="0"/>
        <v>增值额×税（费）率</v>
      </c>
      <c r="O54" s="2527" t="str">
        <f t="shared" si="0"/>
        <v>免征</v>
      </c>
    </row>
    <row r="55" spans="1:35" ht="24" customHeight="1">
      <c r="A55" s="3655" t="s">
        <v>1361</v>
      </c>
      <c r="B55" s="3633"/>
      <c r="C55" s="3633"/>
      <c r="D55" s="2324" t="e">
        <f ca="1">IF(H55="个人住宅",0,ROUND(D45*I55,0))</f>
        <v>#REF!</v>
      </c>
      <c r="E55" s="2334" t="s">
        <v>1362</v>
      </c>
      <c r="F55" s="2554" t="str">
        <f>IF(H55="正常",I55,"免征")</f>
        <v>免征</v>
      </c>
      <c r="G55" s="2555"/>
      <c r="H55" s="2550"/>
      <c r="I55" s="165">
        <f>'数据-取费表'!B49</f>
        <v>0</v>
      </c>
      <c r="J55" s="2523">
        <f>IF(H59="非个人房产","",4)</f>
        <v>4</v>
      </c>
      <c r="K55" s="3595" t="str">
        <f>IF(H59="非个人房产","——","个人所得税")</f>
        <v>个人所得税</v>
      </c>
      <c r="L55" s="3595"/>
      <c r="M55" s="2528" t="e">
        <f ca="1">D59</f>
        <v>#REF!</v>
      </c>
      <c r="N55" s="2040" t="str">
        <f>E59</f>
        <v>差额计税</v>
      </c>
      <c r="O55" s="2529">
        <f>F59</f>
        <v>0.01</v>
      </c>
    </row>
    <row r="56" spans="1:35" ht="24.75">
      <c r="A56" s="3655"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2.75">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0</v>
      </c>
      <c r="O57" s="2533"/>
      <c r="P57" s="2690" t="e">
        <f ca="1">N57/M49</f>
        <v>#VALUE!</v>
      </c>
    </row>
    <row r="58" spans="1:35" ht="24.75">
      <c r="A58" s="2335" t="s">
        <v>1352</v>
      </c>
      <c r="B58" s="3619" t="s">
        <v>1369</v>
      </c>
      <c r="C58" s="3618"/>
      <c r="D58" s="2324" t="e">
        <f ca="1">IF(H58="转让取得",C81,C97)</f>
        <v>#REF!</v>
      </c>
      <c r="E58" s="2334" t="s">
        <v>1364</v>
      </c>
      <c r="F58" s="302" t="s">
        <v>28</v>
      </c>
      <c r="G58" s="2555"/>
      <c r="H58" s="2558"/>
      <c r="I58" s="1808"/>
      <c r="J58" s="3595"/>
      <c r="K58" s="3595"/>
      <c r="L58" s="2530" t="s">
        <v>1370</v>
      </c>
      <c r="M58" s="2534"/>
      <c r="N58" s="2535" t="str">
        <f ca="1">NUMBERSTRING(INT(N57*10000),2)&amp;"元整"</f>
        <v>零元整</v>
      </c>
      <c r="O58" s="2536"/>
    </row>
    <row r="59" spans="1:35" ht="24.75" thickBot="1">
      <c r="A59" s="3599" t="s">
        <v>1371</v>
      </c>
      <c r="B59" s="3600"/>
      <c r="C59" s="3600"/>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7">
        <f>J57+1</f>
        <v>6</v>
      </c>
      <c r="K59" s="3595" t="s">
        <v>1372</v>
      </c>
      <c r="L59" s="2523" t="s">
        <v>1368</v>
      </c>
      <c r="M59" s="2537"/>
      <c r="N59" s="2538" t="e">
        <f ca="1">M49-N57</f>
        <v>#VALUE!</v>
      </c>
      <c r="O59" s="2539"/>
    </row>
    <row r="60" spans="1:35" ht="12" customHeight="1">
      <c r="A60" s="1809"/>
      <c r="B60" s="1747"/>
      <c r="C60" s="1747"/>
      <c r="D60" s="1747"/>
      <c r="E60" s="1578"/>
      <c r="F60" s="1808"/>
      <c r="G60" s="1808"/>
      <c r="H60" s="1810"/>
      <c r="I60" s="129"/>
      <c r="J60" s="3598"/>
      <c r="K60" s="3595"/>
      <c r="L60" s="2530" t="s">
        <v>1370</v>
      </c>
      <c r="M60" s="2534"/>
      <c r="N60" s="2535" t="e">
        <f ca="1">NUMBERSTRING(INT(N59*10000),2)&amp;"元整"</f>
        <v>#VALUE!</v>
      </c>
      <c r="O60" s="2536"/>
    </row>
    <row r="61" spans="1:35" ht="13.5" thickBot="1">
      <c r="A61" s="3654" t="s">
        <v>1373</v>
      </c>
      <c r="B61" s="3654"/>
      <c r="C61" s="3654"/>
      <c r="D61" s="3654"/>
      <c r="E61" s="3654"/>
      <c r="F61" s="1808"/>
      <c r="G61" s="1808"/>
      <c r="H61" s="1810"/>
      <c r="I61" s="129"/>
      <c r="J61" s="2523">
        <f>J59+1</f>
        <v>7</v>
      </c>
      <c r="K61" s="3595" t="s">
        <v>1374</v>
      </c>
      <c r="L61" s="3595"/>
      <c r="M61" s="2540"/>
      <c r="N61" s="2541" t="e">
        <f ca="1">ROUND(N59*10000/'数据-汇总表'!E3,0)</f>
        <v>#VALUE!</v>
      </c>
      <c r="O61" s="2542"/>
    </row>
    <row r="62" spans="1:35" ht="12.75">
      <c r="A62" s="3614" t="s">
        <v>1375</v>
      </c>
      <c r="B62" s="361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0.05</v>
      </c>
      <c r="E68" s="178"/>
      <c r="F68" s="1808"/>
      <c r="G68" s="1808"/>
      <c r="H68" s="1810"/>
      <c r="I68" s="129"/>
      <c r="J68" s="357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0" t="s">
        <v>2129</v>
      </c>
      <c r="H90" s="3581"/>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t="str">
        <f>C4</f>
        <v>比较法-办公</v>
      </c>
      <c r="D101" s="2586" t="str">
        <f>D4</f>
        <v>收益法 (元)</v>
      </c>
      <c r="E101" s="3574" t="s">
        <v>1431</v>
      </c>
      <c r="F101" s="3575"/>
      <c r="G101" s="1827" t="s">
        <v>1432</v>
      </c>
      <c r="H101" s="2595" t="e">
        <f ca="1">H118</f>
        <v>#REF!</v>
      </c>
      <c r="I101" s="129"/>
    </row>
    <row r="102" spans="1:35" ht="18.75" customHeight="1">
      <c r="A102" s="3606" t="s">
        <v>1433</v>
      </c>
      <c r="B102" s="2584" t="s">
        <v>1432</v>
      </c>
      <c r="C102" s="2585">
        <f ca="1">IF(D32="楼面单价",ROUND(C19,0),C19)</f>
        <v>660.31470000000002</v>
      </c>
      <c r="D102" s="2586">
        <f ca="1">IF(D32="楼面单价",ROUND(D19,0),D19)</f>
        <v>387.46679999999998</v>
      </c>
      <c r="E102" s="3574"/>
      <c r="F102" s="3575"/>
      <c r="G102" s="1827" t="s">
        <v>1434</v>
      </c>
      <c r="H102" s="2555" t="e">
        <f ca="1">I118</f>
        <v>#REF!</v>
      </c>
      <c r="I102" s="129"/>
    </row>
    <row r="103" spans="1:35" ht="42.75" customHeight="1">
      <c r="A103" s="3606"/>
      <c r="B103" s="2584" t="s">
        <v>1434</v>
      </c>
      <c r="C103" s="2587">
        <f ca="1">C20</f>
        <v>44319.4</v>
      </c>
      <c r="D103" s="2588">
        <f ca="1">D20</f>
        <v>26006</v>
      </c>
      <c r="E103" s="3567" t="s">
        <v>1435</v>
      </c>
      <c r="F103" s="3568"/>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t="e">
        <f ca="1">IF(E107="——","——",H101-H103)</f>
        <v>#REF!</v>
      </c>
      <c r="I107" s="129"/>
    </row>
    <row r="108" spans="1:35" ht="18.75" customHeight="1">
      <c r="A108" s="129"/>
      <c r="B108" s="129"/>
      <c r="C108" s="129"/>
      <c r="D108" s="129"/>
      <c r="E108" s="3607"/>
      <c r="F108" s="3575"/>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148.99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t="e">
        <f ca="1">H107</f>
        <v>#REF!</v>
      </c>
      <c r="E122" s="3584"/>
      <c r="F122" s="3584"/>
      <c r="G122" s="3584"/>
      <c r="H122" s="3584"/>
      <c r="I122" s="3585"/>
      <c r="AA122" s="725"/>
    </row>
    <row r="123" spans="1:27" ht="18.75" customHeight="1">
      <c r="A123" s="3582" t="s">
        <v>1452</v>
      </c>
      <c r="B123" s="3582"/>
      <c r="C123" s="3582"/>
      <c r="D123" s="3588" t="e">
        <f ca="1">NUMBERSTRING(INT(D122*10000),2)&amp;"元整"</f>
        <v>#REF!</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148.99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148.99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4.7600000000000003E-2</v>
      </c>
      <c r="D30" s="236" t="s">
        <v>1514</v>
      </c>
      <c r="E30" s="241"/>
      <c r="F30" s="237">
        <f>'数据-取费表'!B41</f>
        <v>0.05</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148.99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4.7600000000000003E-2</v>
      </c>
      <c r="D48" s="236" t="s">
        <v>1539</v>
      </c>
      <c r="E48" s="232"/>
      <c r="F48" s="237">
        <f>F30</f>
        <v>0.05</v>
      </c>
      <c r="G48" s="234" t="s">
        <v>1552</v>
      </c>
    </row>
    <row r="49" spans="1:7" ht="16.5" customHeight="1">
      <c r="A49" s="255" t="s">
        <v>1518</v>
      </c>
      <c r="B49" s="210" t="s">
        <v>1553</v>
      </c>
      <c r="C49" s="232">
        <f ca="1">ROUND((C33+C39+C41+C45)/(1-C40-D41-D45-C48),0)</f>
        <v>108</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82</v>
      </c>
      <c r="D51" s="232"/>
      <c r="E51" s="232"/>
      <c r="F51" s="264"/>
      <c r="G51" s="234" t="s">
        <v>1560</v>
      </c>
    </row>
    <row r="52" spans="1:7" s="208" customFormat="1" ht="16.5" thickBot="1">
      <c r="A52" s="265" t="s">
        <v>1561</v>
      </c>
      <c r="B52" s="266"/>
      <c r="C52" s="267">
        <f ca="1">C31+C51</f>
        <v>85</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90.340800000000002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29798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29798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29798</v>
      </c>
      <c r="D10" s="845">
        <f ca="1">IF(B1="",'数据-汇总表'!E6,IF(INDIRECT("'数据-取费表'!c"&amp;$G$1)="住宅",INDIRECT("'数据-取费表'!s"&amp;$G$1),INDIRECT("'数据-取费表'!k"&amp;$G$1)+INDIRECT("'数据-取费表'!s"&amp;$G$1)))</f>
        <v>148.99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29798</v>
      </c>
      <c r="D19" s="849">
        <f ca="1">D9+D10</f>
        <v>148.99</v>
      </c>
      <c r="E19" s="211">
        <f>'数据-取费表'!B31</f>
        <v>200</v>
      </c>
      <c r="F19" s="231"/>
      <c r="G19" s="1856"/>
    </row>
    <row r="20" spans="1:7" s="214" customFormat="1" ht="13.5" customHeight="1">
      <c r="A20" s="255" t="s">
        <v>1574</v>
      </c>
      <c r="B20" s="210" t="s">
        <v>1575</v>
      </c>
      <c r="C20" s="232">
        <f ca="1">ROUND((C5+C19)*F20,0)</f>
        <v>1788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3846</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1895</v>
      </c>
      <c r="D24" s="238"/>
      <c r="E24" s="238"/>
      <c r="F24" s="239"/>
      <c r="G24" s="240" t="s">
        <v>1586</v>
      </c>
    </row>
    <row r="25" spans="1:7" s="214" customFormat="1" ht="24">
      <c r="A25" s="780" t="s">
        <v>1476</v>
      </c>
      <c r="B25" s="215" t="s">
        <v>1587</v>
      </c>
      <c r="C25" s="1128">
        <f ca="1">ROUND(IF('数据-取费表'!B22&lt;=1,C20*F22*'数据-取费表'!B22/2,C20*(POWER((1+F22),'数据-取费表'!B22/2)-1)),0)</f>
        <v>56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9208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9208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4.7600000000000003E-2</v>
      </c>
      <c r="D30" s="236" t="s">
        <v>1514</v>
      </c>
      <c r="E30" s="241"/>
      <c r="F30" s="237">
        <f>'数据-取费表'!B41</f>
        <v>0.05</v>
      </c>
      <c r="G30" s="234" t="s">
        <v>1520</v>
      </c>
    </row>
    <row r="31" spans="1:7" ht="16.5" customHeight="1">
      <c r="A31" s="209">
        <v>1</v>
      </c>
      <c r="B31" s="210" t="s">
        <v>1521</v>
      </c>
      <c r="C31" s="211">
        <f ca="1">ROUND((C5+C19+C20+C22+C27)/(1-C21-D22-D27-C30),0)</f>
        <v>80144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826895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744950</v>
      </c>
      <c r="D34" s="217"/>
      <c r="E34" s="220"/>
      <c r="F34" s="257"/>
      <c r="G34" s="219"/>
    </row>
    <row r="35" spans="1:7" ht="13.5" customHeight="1">
      <c r="A35" s="780" t="s">
        <v>351</v>
      </c>
      <c r="B35" s="215" t="s">
        <v>1527</v>
      </c>
      <c r="C35" s="220">
        <f ca="1">ROUND(C34*F35,0)</f>
        <v>37248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29798</v>
      </c>
      <c r="D37" s="217">
        <f ca="1">D19</f>
        <v>148.99</v>
      </c>
      <c r="E37" s="249">
        <f>'数据-取费表'!B35</f>
        <v>200</v>
      </c>
      <c r="F37" s="259"/>
      <c r="G37" s="261"/>
    </row>
    <row r="38" spans="1:7" ht="13.5" customHeight="1">
      <c r="A38" s="780" t="s">
        <v>354</v>
      </c>
      <c r="B38" s="215" t="s">
        <v>1533</v>
      </c>
      <c r="C38" s="220">
        <f ca="1">ROUND(C34*F38,0)</f>
        <v>14899</v>
      </c>
      <c r="D38" s="220"/>
      <c r="E38" s="220"/>
      <c r="F38" s="259">
        <f>'数据-取费表'!B36</f>
        <v>0.02</v>
      </c>
      <c r="G38" s="219" t="s">
        <v>1528</v>
      </c>
    </row>
    <row r="39" spans="1:7" s="214" customFormat="1" ht="13.5" customHeight="1">
      <c r="A39" s="255" t="s">
        <v>1534</v>
      </c>
      <c r="B39" s="210" t="s">
        <v>1535</v>
      </c>
      <c r="C39" s="232">
        <f ca="1">ROUND(C33*F20,0)</f>
        <v>24807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26658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25882</v>
      </c>
      <c r="D42" s="238"/>
      <c r="E42" s="238"/>
      <c r="F42" s="239"/>
      <c r="G42" s="3661" t="s">
        <v>1591</v>
      </c>
    </row>
    <row r="43" spans="1:7" ht="13.5" customHeight="1">
      <c r="A43" s="780" t="s">
        <v>347</v>
      </c>
      <c r="B43" s="215" t="s">
        <v>1545</v>
      </c>
      <c r="C43" s="238">
        <f ca="1">ROUND(IF('数据-取费表'!B22&lt;=1,C39*F22*'数据-取费表'!B20/2,C39*(POWER((1+F22),'数据-取费表'!B20/2)-1)),0)</f>
        <v>776</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127755</v>
      </c>
      <c r="D45" s="235">
        <f ca="1">C47</f>
        <v>3.0000000000000001E-3</v>
      </c>
      <c r="E45" s="236" t="s">
        <v>1539</v>
      </c>
      <c r="F45" s="246">
        <f ca="1">F27</f>
        <v>0.15</v>
      </c>
      <c r="G45" s="247" t="s">
        <v>1548</v>
      </c>
    </row>
    <row r="46" spans="1:7" s="214" customFormat="1" ht="13.5" customHeight="1">
      <c r="A46" s="780" t="s">
        <v>346</v>
      </c>
      <c r="B46" s="248" t="s">
        <v>1549</v>
      </c>
      <c r="C46" s="249">
        <f ca="1">ROUND((C33+C39)*F27,0)</f>
        <v>127755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4.7600000000000003E-2</v>
      </c>
      <c r="D48" s="236" t="s">
        <v>1539</v>
      </c>
      <c r="E48" s="232"/>
      <c r="F48" s="237">
        <f>F30</f>
        <v>0.05</v>
      </c>
      <c r="G48" s="234" t="s">
        <v>1552</v>
      </c>
    </row>
    <row r="49" spans="1:7" ht="16.5" customHeight="1">
      <c r="A49" s="255" t="s">
        <v>1518</v>
      </c>
      <c r="B49" s="210" t="s">
        <v>1592</v>
      </c>
      <c r="C49" s="232">
        <f ca="1">ROUND((C33+C39+C41+C45)/(1-C40-D41-D45-C48),0)</f>
        <v>1083242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823264</v>
      </c>
      <c r="D51" s="232"/>
      <c r="E51" s="232"/>
      <c r="F51" s="264"/>
      <c r="G51" s="234" t="s">
        <v>1560</v>
      </c>
    </row>
    <row r="52" spans="1:7" s="208" customFormat="1" ht="16.5" thickBot="1">
      <c r="A52" s="265" t="s">
        <v>1561</v>
      </c>
      <c r="B52" s="266"/>
      <c r="C52" s="267">
        <f ca="1">C31+C51</f>
        <v>903408</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-201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148.99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0.05</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0.05</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4.7600000000000003E-2</v>
      </c>
      <c r="D28" s="323" t="s">
        <v>765</v>
      </c>
      <c r="E28" s="302" t="s">
        <v>712</v>
      </c>
      <c r="F28" s="322">
        <f>'数据-取费表'!B41</f>
        <v>0.05</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2302</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0.05</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0.05</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3455</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660.31470000000002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44319.4</v>
      </c>
      <c r="C3" s="354" t="s">
        <v>1768</v>
      </c>
      <c r="D3" s="353">
        <f>IF(D1="",'数据-汇总表'!E3,SUMIF('数据-汇总表'!$C19:$C33,D1,'数据-汇总表'!$E19:$E33))</f>
        <v>148.99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701" t="s">
        <v>1673</v>
      </c>
      <c r="D5" s="3702"/>
      <c r="E5" s="3699" t="s">
        <v>1674</v>
      </c>
      <c r="F5" s="3700"/>
      <c r="G5" s="3701" t="s">
        <v>1675</v>
      </c>
      <c r="H5" s="3702"/>
      <c r="I5" s="3701" t="s">
        <v>1676</v>
      </c>
      <c r="J5" s="3702"/>
      <c r="K5" s="559"/>
      <c r="L5" s="2715"/>
      <c r="M5" s="2716"/>
      <c r="N5" s="2716"/>
      <c r="O5" s="2716"/>
      <c r="P5" s="3744"/>
      <c r="Q5" s="3715"/>
      <c r="R5" s="3697"/>
      <c r="S5" s="3698"/>
      <c r="T5" s="3697"/>
      <c r="U5" s="3698"/>
      <c r="V5" s="3720"/>
      <c r="W5" s="3720"/>
      <c r="X5" s="1355"/>
      <c r="Y5" s="3697"/>
      <c r="Z5" s="3698"/>
      <c r="AA5" s="3691"/>
      <c r="AB5" s="3691"/>
      <c r="AC5" s="3740"/>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45"/>
      <c r="Q6" s="3717"/>
      <c r="R6" s="3697"/>
      <c r="S6" s="3698"/>
      <c r="T6" s="3718"/>
      <c r="U6" s="3719"/>
      <c r="V6" s="3720"/>
      <c r="W6" s="3720"/>
      <c r="X6" s="1355"/>
      <c r="Y6" s="3718"/>
      <c r="Z6" s="3719"/>
      <c r="AA6" s="3692"/>
      <c r="AB6" s="3692"/>
      <c r="AC6" s="3741"/>
    </row>
    <row r="7" spans="1:29" s="108" customFormat="1" ht="15.75" thickBot="1">
      <c r="A7" s="362" t="s">
        <v>1679</v>
      </c>
      <c r="B7" s="363"/>
      <c r="C7" s="364">
        <f>'数据-取费表'!B2</f>
        <v>45909</v>
      </c>
      <c r="D7" s="365">
        <v>100</v>
      </c>
      <c r="E7" s="366">
        <v>45870</v>
      </c>
      <c r="F7" s="367">
        <f>SUMIF(59:59,YEAR(E7)&amp;"-"&amp;MONTH(E7),60:60)</f>
        <v>100</v>
      </c>
      <c r="G7" s="366">
        <v>45870</v>
      </c>
      <c r="H7" s="365">
        <f>SUMIF(59:59,YEAR(G7)&amp;"-"&amp;MONTH(G7),60:60)</f>
        <v>100</v>
      </c>
      <c r="I7" s="366">
        <v>45870</v>
      </c>
      <c r="J7" s="365">
        <f>SUMIF(59:59,YEAR(I7)&amp;"-"&amp;MONTH(I7),60:60)</f>
        <v>100</v>
      </c>
      <c r="K7" s="560"/>
      <c r="L7" s="2717"/>
      <c r="M7" s="2718"/>
      <c r="N7" s="2718"/>
      <c r="O7" s="2718"/>
      <c r="P7" s="3747" t="s">
        <v>1680</v>
      </c>
      <c r="Q7" s="3721"/>
      <c r="R7" s="701" t="s">
        <v>14</v>
      </c>
      <c r="S7" s="702">
        <f t="shared" ref="S7:S15" si="0">F7</f>
        <v>100</v>
      </c>
      <c r="T7" s="701" t="s">
        <v>14</v>
      </c>
      <c r="U7" s="702">
        <f t="shared" ref="U7:U15" si="1">H7</f>
        <v>100</v>
      </c>
      <c r="V7" s="701" t="s">
        <v>14</v>
      </c>
      <c r="W7" s="702">
        <f t="shared" ref="W7:W15" si="2">J7</f>
        <v>100</v>
      </c>
      <c r="X7" s="703"/>
      <c r="Y7" s="3693" t="s">
        <v>1680</v>
      </c>
      <c r="Z7" s="3694"/>
      <c r="AA7" s="704">
        <f>D7/F7</f>
        <v>1</v>
      </c>
      <c r="AB7" s="704">
        <f>D7/H7</f>
        <v>1</v>
      </c>
      <c r="AC7" s="1959">
        <f>D7/J7</f>
        <v>1</v>
      </c>
    </row>
    <row r="8" spans="1:29" s="108" customFormat="1" ht="15.75" thickBot="1">
      <c r="A8" s="362" t="s">
        <v>1681</v>
      </c>
      <c r="B8" s="363"/>
      <c r="C8" s="368" t="s">
        <v>3424</v>
      </c>
      <c r="D8" s="365">
        <v>100</v>
      </c>
      <c r="E8" s="368" t="s">
        <v>3426</v>
      </c>
      <c r="F8" s="367">
        <f>SUMIF(62:62,E8,63:63)-SUMIF(62:62,C8,63:63)+100</f>
        <v>105</v>
      </c>
      <c r="G8" s="368" t="s">
        <v>3426</v>
      </c>
      <c r="H8" s="365">
        <f>SUMIF(62:62,G8,63:63)-SUMIF(62:62,C8,63:63)+100</f>
        <v>105</v>
      </c>
      <c r="I8" s="368" t="s">
        <v>3426</v>
      </c>
      <c r="J8" s="365">
        <f>SUMIF(62:62,I8,63:63)-SUMIF(62:62,C8,63:63)+100</f>
        <v>105</v>
      </c>
      <c r="K8" s="560"/>
      <c r="L8" s="2717"/>
      <c r="M8" s="2718"/>
      <c r="N8" s="2718"/>
      <c r="O8" s="2718"/>
      <c r="P8" s="3747" t="s">
        <v>1683</v>
      </c>
      <c r="Q8" s="3694"/>
      <c r="R8" s="701" t="s">
        <v>14</v>
      </c>
      <c r="S8" s="702">
        <f t="shared" si="0"/>
        <v>105</v>
      </c>
      <c r="T8" s="701" t="s">
        <v>14</v>
      </c>
      <c r="U8" s="702">
        <f t="shared" si="1"/>
        <v>105</v>
      </c>
      <c r="V8" s="701" t="s">
        <v>14</v>
      </c>
      <c r="W8" s="702">
        <f t="shared" si="2"/>
        <v>105</v>
      </c>
      <c r="X8" s="703"/>
      <c r="Y8" s="3693" t="s">
        <v>1683</v>
      </c>
      <c r="Z8" s="3694"/>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819" t="s">
        <v>3425</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t="s">
        <v>3449</v>
      </c>
      <c r="D16" s="399"/>
      <c r="E16" s="1904" t="s">
        <v>3449</v>
      </c>
      <c r="F16" s="399"/>
      <c r="G16" s="1904" t="s">
        <v>3449</v>
      </c>
      <c r="H16" s="401"/>
      <c r="I16" s="1904" t="s">
        <v>3449</v>
      </c>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04" t="s">
        <v>3449</v>
      </c>
      <c r="D18" s="401"/>
      <c r="E18" s="1904" t="s">
        <v>3449</v>
      </c>
      <c r="F18" s="401"/>
      <c r="G18" s="1904" t="s">
        <v>3449</v>
      </c>
      <c r="H18" s="399"/>
      <c r="I18" s="1904" t="s">
        <v>3449</v>
      </c>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t="s">
        <v>3449</v>
      </c>
      <c r="D20" s="399"/>
      <c r="E20" s="1904" t="s">
        <v>3449</v>
      </c>
      <c r="F20" s="399"/>
      <c r="G20" s="1904" t="s">
        <v>3449</v>
      </c>
      <c r="H20" s="399"/>
      <c r="I20" s="1904" t="s">
        <v>3449</v>
      </c>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t="s">
        <v>3450</v>
      </c>
      <c r="D22" s="399"/>
      <c r="E22" s="1964" t="s">
        <v>3450</v>
      </c>
      <c r="F22" s="399"/>
      <c r="G22" s="1964" t="s">
        <v>3450</v>
      </c>
      <c r="H22" s="399"/>
      <c r="I22" s="1964" t="s">
        <v>3450</v>
      </c>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t="s">
        <v>3449</v>
      </c>
      <c r="D24" s="399"/>
      <c r="E24" s="1904" t="s">
        <v>3449</v>
      </c>
      <c r="F24" s="399"/>
      <c r="G24" s="1904" t="s">
        <v>3449</v>
      </c>
      <c r="H24" s="399"/>
      <c r="I24" s="1904" t="s">
        <v>3449</v>
      </c>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75" thickBot="1">
      <c r="A27" s="379"/>
      <c r="B27" s="580" t="s">
        <v>1783</v>
      </c>
      <c r="C27" s="582" t="s">
        <v>3428</v>
      </c>
      <c r="D27" s="386">
        <v>100</v>
      </c>
      <c r="E27" s="582" t="s">
        <v>3432</v>
      </c>
      <c r="F27" s="386">
        <f>SUMIF(89:89,E27,90:90)-SUMIF(89:89,C27,90:90)+100</f>
        <v>94</v>
      </c>
      <c r="G27" s="582" t="s">
        <v>3432</v>
      </c>
      <c r="H27" s="386">
        <f>SUMIF(89:89,G27,90:90)-SUMIF(89:89,C27,90:90)+100</f>
        <v>94</v>
      </c>
      <c r="I27" s="582" t="s">
        <v>3430</v>
      </c>
      <c r="J27" s="386">
        <f>SUMIF(89:89,I27,90:90)-SUMIF(89:89,C27,90:90)+100</f>
        <v>97</v>
      </c>
      <c r="K27" s="561">
        <v>3</v>
      </c>
      <c r="L27" s="2722"/>
      <c r="M27" s="2716"/>
      <c r="N27" s="2716"/>
      <c r="O27" s="2716"/>
      <c r="P27" s="3735"/>
      <c r="Q27" s="1352" t="str">
        <f t="shared" ref="Q27:Q47" si="11">B27</f>
        <v>楼层</v>
      </c>
      <c r="R27" s="705" t="s">
        <v>14</v>
      </c>
      <c r="S27" s="706">
        <f>F27</f>
        <v>94</v>
      </c>
      <c r="T27" s="705" t="s">
        <v>14</v>
      </c>
      <c r="U27" s="706">
        <f>H27</f>
        <v>94</v>
      </c>
      <c r="V27" s="705" t="s">
        <v>14</v>
      </c>
      <c r="W27" s="706">
        <f>J27</f>
        <v>97</v>
      </c>
      <c r="X27" s="1355"/>
      <c r="Y27" s="3728"/>
      <c r="Z27" s="1356" t="str">
        <f>Q27</f>
        <v>楼层</v>
      </c>
      <c r="AA27" s="1353">
        <f t="shared" si="3"/>
        <v>1.0638297872340425</v>
      </c>
      <c r="AB27" s="1353">
        <f t="shared" si="4"/>
        <v>1.0638297872340425</v>
      </c>
      <c r="AC27" s="1962">
        <f t="shared" si="5"/>
        <v>1.0309278350515463</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t="s">
        <v>3434</v>
      </c>
      <c r="D33" s="418">
        <v>100</v>
      </c>
      <c r="E33" s="1967" t="s">
        <v>3434</v>
      </c>
      <c r="F33" s="412">
        <f>SUMIF(101:101,E33,102:102)-SUMIF(101:101,C33,102:102)+100</f>
        <v>100</v>
      </c>
      <c r="G33" s="1967" t="s">
        <v>3434</v>
      </c>
      <c r="H33" s="386">
        <f>SUMIF(101:101,G33,102:102)-SUMIF(101:101,C33,102:102)+100</f>
        <v>100</v>
      </c>
      <c r="I33" s="1967" t="s">
        <v>3434</v>
      </c>
      <c r="J33" s="418">
        <f>SUMIF(101:101,I33,102:102)-SUMIF(101:101,C33,102:102)+100</f>
        <v>100</v>
      </c>
      <c r="K33" s="561"/>
      <c r="L33" s="2722"/>
      <c r="M33" s="2716"/>
      <c r="N33" s="2716"/>
      <c r="O33" s="2716"/>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148.99</v>
      </c>
      <c r="D34" s="127">
        <v>100</v>
      </c>
      <c r="E34" s="420">
        <v>281.39</v>
      </c>
      <c r="F34" s="376">
        <f>LOOKUP(E34,104:104,105:105)-LOOKUP(C34,104:104,105:105)+100</f>
        <v>100</v>
      </c>
      <c r="G34" s="420">
        <v>166.28</v>
      </c>
      <c r="H34" s="127">
        <f>LOOKUP(G34,104:104,105:105)-LOOKUP(C34,104:104,105:105)+100</f>
        <v>100</v>
      </c>
      <c r="I34" s="420">
        <v>304</v>
      </c>
      <c r="J34" s="127">
        <f>LOOKUP(I34,104:104,105:105)-LOOKUP(C34,104:104,105:105)+100</f>
        <v>101</v>
      </c>
      <c r="K34" s="562"/>
      <c r="L34" s="2721"/>
      <c r="M34" s="2723"/>
      <c r="N34" s="2723"/>
      <c r="O34" s="2723"/>
      <c r="P34" s="3730"/>
      <c r="Q34" s="707" t="str">
        <f t="shared" si="11"/>
        <v>项目建筑规模</v>
      </c>
      <c r="R34" s="708" t="s">
        <v>14</v>
      </c>
      <c r="S34" s="709">
        <f t="shared" si="12"/>
        <v>100</v>
      </c>
      <c r="T34" s="708" t="s">
        <v>14</v>
      </c>
      <c r="U34" s="709">
        <f t="shared" si="13"/>
        <v>100</v>
      </c>
      <c r="V34" s="708" t="s">
        <v>14</v>
      </c>
      <c r="W34" s="709">
        <f t="shared" si="14"/>
        <v>101</v>
      </c>
      <c r="X34" s="710"/>
      <c r="Y34" s="3732"/>
      <c r="Z34" s="711" t="str">
        <f t="shared" si="15"/>
        <v>项目建筑规模</v>
      </c>
      <c r="AA34" s="1353">
        <f t="shared" si="3"/>
        <v>1</v>
      </c>
      <c r="AB34" s="1353">
        <f t="shared" si="4"/>
        <v>1</v>
      </c>
      <c r="AC34" s="1962">
        <f t="shared" si="5"/>
        <v>0.99009900990099009</v>
      </c>
    </row>
    <row r="35" spans="1:29" ht="15">
      <c r="A35" s="423"/>
      <c r="B35" s="375" t="s">
        <v>1698</v>
      </c>
      <c r="C35" s="411" t="s">
        <v>3436</v>
      </c>
      <c r="D35" s="386">
        <v>100</v>
      </c>
      <c r="E35" s="411" t="s">
        <v>3436</v>
      </c>
      <c r="F35" s="412">
        <f>SUMIF(106:106,E35,107:107)-SUMIF(106:106,C35,107:107)+100</f>
        <v>100</v>
      </c>
      <c r="G35" s="411" t="s">
        <v>3436</v>
      </c>
      <c r="H35" s="386">
        <f>SUMIF(106:106,G35,107:107)-SUMIF(106:106,C35,107:107)+100</f>
        <v>100</v>
      </c>
      <c r="I35" s="411" t="s">
        <v>3436</v>
      </c>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t="s">
        <v>3438</v>
      </c>
      <c r="D36" s="386">
        <v>100</v>
      </c>
      <c r="E36" s="411" t="s">
        <v>3438</v>
      </c>
      <c r="F36" s="412">
        <f>SUMIF(108:108,E36,109:109)-SUMIF(108:108,C36,109:109)+100</f>
        <v>100</v>
      </c>
      <c r="G36" s="411" t="s">
        <v>3438</v>
      </c>
      <c r="H36" s="386">
        <f>SUMIF(108:108,G36,109:109)-SUMIF(108:108,C36,109:109)+100</f>
        <v>100</v>
      </c>
      <c r="I36" s="411" t="s">
        <v>3438</v>
      </c>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c r="L37" s="2722"/>
      <c r="M37" s="2716"/>
      <c r="N37" s="2716"/>
      <c r="O37" s="2716"/>
      <c r="P37" s="3730"/>
      <c r="Q37" s="1352" t="str">
        <f t="shared" si="11"/>
        <v>成新度</v>
      </c>
      <c r="R37" s="705" t="s">
        <v>14</v>
      </c>
      <c r="S37" s="706">
        <f t="shared" si="12"/>
        <v>100</v>
      </c>
      <c r="T37" s="705" t="s">
        <v>14</v>
      </c>
      <c r="U37" s="706">
        <f t="shared" si="13"/>
        <v>100</v>
      </c>
      <c r="V37" s="705" t="s">
        <v>14</v>
      </c>
      <c r="W37" s="706">
        <f t="shared" si="14"/>
        <v>100</v>
      </c>
      <c r="X37" s="1355"/>
      <c r="Y37" s="3732"/>
      <c r="Z37" s="1356" t="str">
        <f t="shared" si="15"/>
        <v>成新度</v>
      </c>
      <c r="AA37" s="1353">
        <f t="shared" si="3"/>
        <v>1</v>
      </c>
      <c r="AB37" s="1353">
        <f t="shared" si="4"/>
        <v>1</v>
      </c>
      <c r="AC37" s="1962">
        <f t="shared" si="5"/>
        <v>1</v>
      </c>
    </row>
    <row r="38" spans="1:29" s="108" customFormat="1" ht="15">
      <c r="A38" s="424"/>
      <c r="B38" s="375" t="s">
        <v>1818</v>
      </c>
      <c r="C38" s="411" t="s">
        <v>3447</v>
      </c>
      <c r="D38" s="127">
        <v>100</v>
      </c>
      <c r="E38" s="411" t="s">
        <v>3447</v>
      </c>
      <c r="F38" s="412">
        <f>SUMIF(113:113,E38,114:114)-SUMIF(113:113,C38,114:114)+100</f>
        <v>100</v>
      </c>
      <c r="G38" s="411" t="s">
        <v>3447</v>
      </c>
      <c r="H38" s="386">
        <f>SUMIF(113:113,G38,114:114)-SUMIF(113:113,C38,114:114)+100</f>
        <v>100</v>
      </c>
      <c r="I38" s="411" t="s">
        <v>3447</v>
      </c>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t="s">
        <v>3445</v>
      </c>
      <c r="D39" s="386">
        <v>100</v>
      </c>
      <c r="E39" s="411" t="s">
        <v>3445</v>
      </c>
      <c r="F39" s="412">
        <f>SUMIF(115:115,E39,116:116)-SUMIF(115:115,C39,116:116)+100</f>
        <v>100</v>
      </c>
      <c r="G39" s="411" t="s">
        <v>3445</v>
      </c>
      <c r="H39" s="386">
        <f>SUMIF(115:115,G39,116:116)-SUMIF(115:115,C39,116:116)+100</f>
        <v>100</v>
      </c>
      <c r="I39" s="411" t="s">
        <v>3445</v>
      </c>
      <c r="J39" s="386">
        <f>SUMIF(115:115,I39,116:116)-SUMIF(115:115,C39,116:116)+100</f>
        <v>100</v>
      </c>
      <c r="K39" s="561"/>
      <c r="L39" s="2722"/>
      <c r="M39" s="2716"/>
      <c r="N39" s="2716"/>
      <c r="O39" s="2716"/>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t="s">
        <v>3443</v>
      </c>
      <c r="D40" s="386">
        <v>100</v>
      </c>
      <c r="E40" s="411" t="s">
        <v>3443</v>
      </c>
      <c r="F40" s="412">
        <f>SUMIF(117:117,E40,118:118)-SUMIF(117:117,C40,118:118)+100</f>
        <v>100</v>
      </c>
      <c r="G40" s="411" t="s">
        <v>3443</v>
      </c>
      <c r="H40" s="386">
        <f>SUMIF(117:117,G40,118:118)-SUMIF(117:117,C40,118:118)+100</f>
        <v>100</v>
      </c>
      <c r="I40" s="411" t="s">
        <v>3443</v>
      </c>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t="s">
        <v>3441</v>
      </c>
      <c r="D43" s="386">
        <v>100</v>
      </c>
      <c r="E43" s="411" t="s">
        <v>3441</v>
      </c>
      <c r="F43" s="412">
        <f>SUMIF(123:123,E43,124:124)-SUMIF(123:123,C43,124:124)+100</f>
        <v>100</v>
      </c>
      <c r="G43" s="411" t="s">
        <v>3441</v>
      </c>
      <c r="H43" s="386">
        <f>SUMIF(123:123,G43,124:124)-SUMIF(123:123,C43,124:124)+100</f>
        <v>100</v>
      </c>
      <c r="I43" s="411" t="s">
        <v>3441</v>
      </c>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15">
      <c r="A44" s="423"/>
      <c r="B44" s="375" t="s">
        <v>1707</v>
      </c>
      <c r="C44" s="411" t="s">
        <v>3449</v>
      </c>
      <c r="D44" s="386">
        <v>100</v>
      </c>
      <c r="E44" s="411" t="s">
        <v>3449</v>
      </c>
      <c r="F44" s="412">
        <f>SUMIF(125:125,E44,126:126)-SUMIF(125:125,C44,126:126)+100</f>
        <v>100</v>
      </c>
      <c r="G44" s="411" t="s">
        <v>3449</v>
      </c>
      <c r="H44" s="386">
        <f>SUMIF(125:125,G44,126:126)-SUMIF(125:125,C44,126:126)+100</f>
        <v>100</v>
      </c>
      <c r="I44" s="411" t="s">
        <v>3449</v>
      </c>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v>44990</v>
      </c>
      <c r="F48" s="1157"/>
      <c r="G48" s="1158">
        <v>44984</v>
      </c>
      <c r="H48" s="1159"/>
      <c r="I48" s="1156">
        <v>42998</v>
      </c>
      <c r="J48" s="436"/>
      <c r="K48" s="714"/>
      <c r="L48" s="2724"/>
      <c r="M48" s="2716"/>
      <c r="N48" s="2716"/>
      <c r="O48" s="2716"/>
      <c r="P48" s="3707" t="str">
        <f>A48</f>
        <v>成交单价（元/平方米）</v>
      </c>
      <c r="Q48" s="3725"/>
      <c r="R48" s="3726">
        <f>E48</f>
        <v>44990</v>
      </c>
      <c r="S48" s="3726"/>
      <c r="T48" s="3726">
        <f>G48</f>
        <v>44984</v>
      </c>
      <c r="U48" s="3726"/>
      <c r="V48" s="3726">
        <f>I48</f>
        <v>42998</v>
      </c>
      <c r="W48" s="3726"/>
      <c r="X48" s="397"/>
      <c r="Y48" s="712"/>
      <c r="Z48" s="397"/>
      <c r="AA48" s="397"/>
      <c r="AB48" s="397"/>
      <c r="AC48" s="578"/>
    </row>
    <row r="49" spans="1:29" ht="15.75" thickBot="1">
      <c r="A49" s="437" t="s">
        <v>1793</v>
      </c>
      <c r="B49" s="438"/>
      <c r="C49" s="1160">
        <f>R50</f>
        <v>44319.4</v>
      </c>
      <c r="D49" s="2317" t="s">
        <v>2138</v>
      </c>
      <c r="E49" s="1161">
        <f>R49</f>
        <v>45582.6</v>
      </c>
      <c r="F49" s="2318"/>
      <c r="G49" s="1160">
        <f>T49</f>
        <v>45576.5</v>
      </c>
      <c r="H49" s="2318"/>
      <c r="I49" s="1161">
        <f>V49</f>
        <v>41799</v>
      </c>
      <c r="J49" s="2318"/>
      <c r="K49" s="2320">
        <f>F49+H49+J49</f>
        <v>0</v>
      </c>
      <c r="L49" s="2724"/>
      <c r="M49" s="2716"/>
      <c r="N49" s="2716"/>
      <c r="O49" s="2716"/>
      <c r="P49" s="3707" t="str">
        <f>A49</f>
        <v>比较价值（元/平方米）</v>
      </c>
      <c r="Q49" s="3725"/>
      <c r="R49" s="3726">
        <f>IF(F1="售价",ROUND(PRODUCT(R48,AA7:AA47),0),ROUND(PRODUCT(R48,AA7:AA47),1))</f>
        <v>45582.6</v>
      </c>
      <c r="S49" s="3726"/>
      <c r="T49" s="3726">
        <f>IF(F1="售价",ROUND(PRODUCT(T48,AB7:AB47),0),ROUND(PRODUCT(T48,AB7:AB47),1))</f>
        <v>45576.5</v>
      </c>
      <c r="U49" s="3726"/>
      <c r="V49" s="3726">
        <f>IF(F1="售价",ROUND(PRODUCT(V48,AC7:AC47),0),ROUND(PRODUCT(V48,AC7:AC47),1))</f>
        <v>41799</v>
      </c>
      <c r="W49" s="3726"/>
      <c r="X49" s="397"/>
      <c r="Y49" s="397"/>
      <c r="Z49" s="397"/>
      <c r="AA49" s="397"/>
      <c r="AB49" s="397"/>
      <c r="AC49" s="578"/>
    </row>
    <row r="50" spans="1:29" ht="15.75" thickBot="1">
      <c r="A50" s="441" t="s">
        <v>1794</v>
      </c>
      <c r="B50" s="442"/>
      <c r="C50" s="1163">
        <f>R50</f>
        <v>44319.4</v>
      </c>
      <c r="D50" s="1163"/>
      <c r="E50" s="1163"/>
      <c r="F50" s="1163"/>
      <c r="G50" s="1163"/>
      <c r="H50" s="1163"/>
      <c r="I50" s="1163"/>
      <c r="J50" s="443"/>
      <c r="K50" s="715"/>
      <c r="L50" s="2724"/>
      <c r="M50" s="2716"/>
      <c r="N50" s="2716"/>
      <c r="O50" s="2716"/>
      <c r="P50" s="3748" t="str">
        <f>A50</f>
        <v>估价对象XX用房的比较价值（楼面单价，元/平方米）</v>
      </c>
      <c r="Q50" s="3749"/>
      <c r="R50" s="3750">
        <f>IF(F1="售价",ROUND(IF(D49="简单平均",AVERAGE(R49:V49),R49*F49+T49*H49+V49*J49),0),ROUND(IF(D49="简单平均",AVERAGE(R49:V49),R49*F49+T49*H49+V49*J49),1))</f>
        <v>44319.4</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1.3171815959101885E-2</v>
      </c>
      <c r="F53" s="449" t="str">
        <f>IF(OR(E53&gt;=0.3,E53&lt;=-0.3),"超过30%","")</f>
        <v/>
      </c>
      <c r="G53" s="448">
        <f>IF(G48&lt;G49,G49/G48-1,G48/G49-1)</f>
        <v>1.3171349813266842E-2</v>
      </c>
      <c r="H53" s="449" t="str">
        <f>IF(OR(G53&gt;=0.3,G53&lt;=-0.3),"超过30%","")</f>
        <v/>
      </c>
      <c r="I53" s="448">
        <f>IF(I48&lt;I49,I49/I48-1,I48/I49-1)</f>
        <v>2.8684896767865231E-2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1.3384090485235589E-4</v>
      </c>
      <c r="F54" s="449" t="str">
        <f>IF(OR(E54&gt;=0.2,E54&lt;=-0.2),"超过20%","")</f>
        <v/>
      </c>
      <c r="G54" s="448">
        <f>IF(G49&lt;I49,I49/G49-1,G49/I49-1)</f>
        <v>9.0372975430034197E-2</v>
      </c>
      <c r="H54" s="449" t="str">
        <f>IF(OR(G54&gt;=0.2,G54&lt;=-0.2),"超过20%","")</f>
        <v/>
      </c>
      <c r="I54" s="448">
        <f>IF(I49&lt;E49,E49/I49-1,I49/E49-1)</f>
        <v>9.051891193569217E-2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1.3338075760271906E-4</v>
      </c>
      <c r="F55" s="449" t="str">
        <f>IF(OR(E55&gt;=0.3,E55&lt;=-0.3),"超过30%","")</f>
        <v/>
      </c>
      <c r="G55" s="448">
        <f>IF(G48&lt;I48,I48/G48-1,G48/I48-1)</f>
        <v>4.618819479975822E-2</v>
      </c>
      <c r="H55" s="449" t="str">
        <f>IF(OR(G55&gt;=0.3,G55&lt;=-0.3),"超过30%","")</f>
        <v/>
      </c>
      <c r="I55" s="448">
        <f>IF(I48&lt;E48,E48/I48-1,I48/E48-1)</f>
        <v>4.6327736173775502E-2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820"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21" t="s">
        <v>3429</v>
      </c>
      <c r="D89" s="3821" t="s">
        <v>3431</v>
      </c>
      <c r="E89" s="3821" t="s">
        <v>3433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22" t="s">
        <v>3435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21" t="s">
        <v>3437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21" t="s">
        <v>3439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821" t="s">
        <v>3448</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21" t="s">
        <v>3446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821" t="s">
        <v>3444</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23" t="s">
        <v>3438</v>
      </c>
      <c r="D123" s="3823" t="s">
        <v>3440</v>
      </c>
      <c r="E123" s="3823" t="s">
        <v>3441</v>
      </c>
      <c r="F123" s="3824" t="s">
        <v>3442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4" sqref="J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27.51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387.46679999999998</v>
      </c>
      <c r="C2" s="1387" t="s">
        <v>879</v>
      </c>
      <c r="D2" s="1471">
        <f ca="1">C40+J29+L46</f>
        <v>3874668</v>
      </c>
      <c r="E2" s="1388" t="s">
        <v>880</v>
      </c>
      <c r="F2" s="1389"/>
      <c r="G2" s="2706"/>
      <c r="H2" s="2695"/>
      <c r="I2" s="2695"/>
      <c r="J2" s="2695"/>
      <c r="K2" s="2696"/>
      <c r="L2" s="2695"/>
      <c r="M2" s="2695"/>
    </row>
    <row r="3" spans="1:37" ht="18" customHeight="1" thickBot="1">
      <c r="A3" s="1390" t="s">
        <v>881</v>
      </c>
      <c r="B3" s="1391">
        <f ca="1">IF(ISERROR(D2/F43),0,ROUND(D2/F43,0))</f>
        <v>26006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245022</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244716</v>
      </c>
      <c r="D6" s="155" t="s">
        <v>2106</v>
      </c>
      <c r="E6" s="302" t="s">
        <v>696</v>
      </c>
      <c r="F6" s="303">
        <f ca="1">INDIRECT("'数据-取费表'!u"&amp;$G$1)</f>
        <v>5</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148.99</v>
      </c>
      <c r="G7" s="1384"/>
      <c r="H7" s="304"/>
      <c r="I7" s="3667"/>
      <c r="J7" s="306"/>
      <c r="K7" s="307"/>
      <c r="L7" s="302" t="s">
        <v>697</v>
      </c>
      <c r="M7" s="303">
        <f ca="1">F7</f>
        <v>148.99</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306</v>
      </c>
      <c r="D10" s="1366" t="s">
        <v>2116</v>
      </c>
      <c r="E10" s="313" t="s">
        <v>701</v>
      </c>
      <c r="F10" s="1116" t="s">
        <v>3453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823264</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744950</v>
      </c>
      <c r="D14" s="1345" t="s">
        <v>708</v>
      </c>
      <c r="E14" s="1342"/>
      <c r="F14" s="319"/>
      <c r="G14" s="1384"/>
      <c r="H14" s="982" t="s">
        <v>398</v>
      </c>
      <c r="I14" s="302" t="s">
        <v>709</v>
      </c>
      <c r="J14" s="21">
        <f ca="1">C29</f>
        <v>1083242</v>
      </c>
      <c r="K14" s="12"/>
      <c r="L14" s="807"/>
      <c r="M14" s="808"/>
    </row>
    <row r="15" spans="1:37" s="1397" customFormat="1" ht="18" customHeight="1" thickBot="1">
      <c r="A15" s="982" t="s">
        <v>399</v>
      </c>
      <c r="B15" s="302" t="s">
        <v>710</v>
      </c>
      <c r="C15" s="21">
        <f ca="1">ROUND(C14*F15,0)</f>
        <v>37248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5416</v>
      </c>
      <c r="K16" s="1087" t="s">
        <v>715</v>
      </c>
      <c r="L16" s="1088"/>
      <c r="M16" s="1072"/>
    </row>
    <row r="17" spans="1:37" s="1397" customFormat="1" ht="18" customHeight="1">
      <c r="A17" s="982" t="s">
        <v>681</v>
      </c>
      <c r="B17" s="302" t="s">
        <v>716</v>
      </c>
      <c r="C17" s="21">
        <f ca="1">ROUND(F17*(F43+INDIRECT("'数据-取费表'!S"&amp;$G$1)),0)</f>
        <v>29798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14899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0.05</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826895</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24807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5416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26658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-5416</v>
      </c>
      <c r="K25" s="1095" t="s">
        <v>753</v>
      </c>
      <c r="L25" s="1096"/>
      <c r="M25" s="1097"/>
    </row>
    <row r="26" spans="1:37" ht="18" customHeight="1">
      <c r="A26" s="982" t="s">
        <v>397</v>
      </c>
      <c r="B26" s="302" t="s">
        <v>754</v>
      </c>
      <c r="C26" s="21">
        <f ca="1">ROUND((C19+C20)*F26,0)</f>
        <v>127755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4.7600000000000003E-2</v>
      </c>
      <c r="D28" s="323" t="s">
        <v>765</v>
      </c>
      <c r="E28" s="302" t="s">
        <v>712</v>
      </c>
      <c r="F28" s="322">
        <f>'数据-取费表'!B41</f>
        <v>0.05</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1083242</v>
      </c>
      <c r="D29" s="1092"/>
      <c r="E29" s="1090"/>
      <c r="F29" s="1093"/>
      <c r="G29" s="1396"/>
      <c r="H29" s="334" t="s">
        <v>396</v>
      </c>
      <c r="I29" s="335" t="s">
        <v>768</v>
      </c>
      <c r="J29" s="336">
        <f ca="1">ROUND(J26/(1+F40)^F41,0)</f>
        <v>0</v>
      </c>
      <c r="K29" s="337" t="s">
        <v>769</v>
      </c>
      <c r="L29" s="338"/>
      <c r="M29" s="339">
        <f ca="1">INDIRECT("'数据-取费表'!k"&amp;$G$1)</f>
        <v>148.99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24190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16314</v>
      </c>
      <c r="D31" s="1345" t="s">
        <v>720</v>
      </c>
      <c r="E31" s="1344" t="s">
        <v>770</v>
      </c>
      <c r="F31" s="2315">
        <f ca="1">IF(项目基本情况!B11="企业","——",IF(M47="住宅",IF(F6*F7*F8/12/(1+'数据-取费表'!F30)&gt;100000,4%,2.5%),IF(F6*F7*F8/12/(1+'数据-取费表'!F30)&gt;100000,12%,7%)))</f>
        <v>7.0000000000000007E-2</v>
      </c>
      <c r="G31" s="1384"/>
      <c r="H31" s="2808" t="s">
        <v>2302</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0.05</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5416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1235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1225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220832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3815411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25609</v>
      </c>
      <c r="D43" s="337" t="s">
        <v>777</v>
      </c>
      <c r="E43" s="338" t="s">
        <v>778</v>
      </c>
      <c r="F43" s="339">
        <f ca="1">INDIRECT("'数据-取费表'!k"&amp;$G$1)</f>
        <v>148.99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f ca="1">ROUND((C68-C40)/10000,4)</f>
        <v>-390.86149999999998</v>
      </c>
      <c r="D45" s="3432" t="s">
        <v>3347</v>
      </c>
      <c r="E45" s="1400"/>
      <c r="F45" s="1400"/>
      <c r="O45" s="1403" t="s">
        <v>808</v>
      </c>
      <c r="P45" s="1461"/>
      <c r="Q45" s="1461"/>
      <c r="R45" s="1461"/>
    </row>
    <row r="46" spans="1:18" s="1384" customFormat="1" ht="13.5" thickBot="1">
      <c r="A46" s="1404" t="s">
        <v>809</v>
      </c>
      <c r="C46" s="1405">
        <f ca="1">ROUND(C45,0)</f>
        <v>-391</v>
      </c>
      <c r="D46" s="1406" t="str">
        <f>C2</f>
        <v>万元</v>
      </c>
      <c r="I46" s="1407" t="s">
        <v>810</v>
      </c>
      <c r="J46" s="1408"/>
      <c r="K46" s="1409"/>
      <c r="L46" s="1410">
        <f ca="1">IF(M47="住宅",0,IF(L48&gt;J51,L60,J60))</f>
        <v>59257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3436</v>
      </c>
      <c r="K47" s="1416" t="s">
        <v>816</v>
      </c>
      <c r="L47" s="1417">
        <f ca="1">INDIRECT("'数据-取费表'!d"&amp;$G$1)</f>
        <v>0</v>
      </c>
      <c r="M47" s="1380" t="str">
        <f>IF(ISNUMBER(FIND("住宅",C1)),"住宅","非住宅")</f>
        <v>非住宅</v>
      </c>
      <c r="O47" s="1418" t="s">
        <v>403</v>
      </c>
      <c r="P47" s="1419" t="s">
        <v>817</v>
      </c>
      <c r="Q47" s="1420">
        <f ca="1">C40+J29</f>
        <v>3815411</v>
      </c>
      <c r="R47" s="1420" t="s">
        <v>818</v>
      </c>
    </row>
    <row r="48" spans="1:18" s="1384" customFormat="1" ht="28.5" thickBot="1">
      <c r="A48" s="1110" t="s">
        <v>438</v>
      </c>
      <c r="B48" s="300" t="s">
        <v>692</v>
      </c>
      <c r="C48" s="1359">
        <f ca="1">C49+C53+C55</f>
        <v>0</v>
      </c>
      <c r="D48" s="1112"/>
      <c r="E48" s="1113"/>
      <c r="F48" s="962"/>
      <c r="G48" s="722"/>
      <c r="H48" s="723"/>
      <c r="I48" s="1421" t="s">
        <v>819</v>
      </c>
      <c r="J48" s="1422" t="s">
        <v>3454</v>
      </c>
      <c r="K48" s="1423" t="s">
        <v>820</v>
      </c>
      <c r="L48" s="1424">
        <f ca="1">INDIRECT("'数据-取费表'!f"&amp;$G$1)</f>
        <v>27.51</v>
      </c>
      <c r="O48" s="1418" t="s">
        <v>404</v>
      </c>
      <c r="P48" s="1419" t="s">
        <v>821</v>
      </c>
      <c r="Q48" s="1420">
        <f ca="1">J60</f>
        <v>59257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2005</v>
      </c>
      <c r="K49" s="1423" t="s">
        <v>824</v>
      </c>
      <c r="L49" s="1427"/>
      <c r="O49" s="1428" t="s">
        <v>405</v>
      </c>
      <c r="P49" s="1419" t="s">
        <v>825</v>
      </c>
      <c r="Q49" s="1420">
        <f ca="1">C29</f>
        <v>1083242</v>
      </c>
      <c r="R49" s="1420" t="s">
        <v>818</v>
      </c>
    </row>
    <row r="50" spans="1:18" s="1384" customFormat="1" ht="13.5" thickBot="1">
      <c r="A50" s="976"/>
      <c r="B50" s="979"/>
      <c r="C50" s="980"/>
      <c r="D50" s="953"/>
      <c r="E50" s="1056" t="s">
        <v>697</v>
      </c>
      <c r="F50" s="1057">
        <f ca="1">F7</f>
        <v>148.99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2800423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27.51</v>
      </c>
      <c r="K53" s="3664" t="s">
        <v>837</v>
      </c>
      <c r="L53" s="3665"/>
      <c r="O53" s="1418" t="s">
        <v>409</v>
      </c>
      <c r="P53" s="1419" t="s">
        <v>838</v>
      </c>
      <c r="Q53" s="1420">
        <f ca="1">Q47+Q48</f>
        <v>3874668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823264</v>
      </c>
      <c r="D56" s="1447"/>
      <c r="E56" s="1448"/>
      <c r="F56" s="1440"/>
      <c r="I56" s="1449" t="s">
        <v>842</v>
      </c>
      <c r="J56" s="1450"/>
      <c r="K56" s="1421" t="s">
        <v>843</v>
      </c>
      <c r="L56" s="1424" t="str">
        <f ca="1">IF(L48&lt;J51,"——",L48-J51)</f>
        <v>——</v>
      </c>
      <c r="O56" s="1418" t="s">
        <v>403</v>
      </c>
      <c r="P56" s="1419" t="s">
        <v>817</v>
      </c>
      <c r="Q56" s="1420">
        <f ca="1">C40+J29</f>
        <v>3815411</v>
      </c>
      <c r="R56" s="1420" t="s">
        <v>818</v>
      </c>
    </row>
    <row r="57" spans="1:18" s="1384" customFormat="1" ht="24.75" thickBot="1">
      <c r="A57" s="1451"/>
      <c r="B57" s="950" t="s">
        <v>767</v>
      </c>
      <c r="C57" s="238">
        <f ca="1">C29</f>
        <v>1083242</v>
      </c>
      <c r="D57" s="1452"/>
      <c r="E57" s="1453"/>
      <c r="F57" s="1454"/>
      <c r="I57" s="1455" t="s">
        <v>844</v>
      </c>
      <c r="J57" s="1456">
        <f ca="1">IF(OR(M47="住宅",J51&lt;L48,J56="是"),"——",J51-L48)</f>
        <v>12.489999999999998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6651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433297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0.05</v>
      </c>
      <c r="I60" s="1458" t="s">
        <v>853</v>
      </c>
      <c r="J60" s="1459">
        <f ca="1">IF(OR(M47="住宅",J51&lt;L48,J56="是"),"0",ROUND(J59/(1+J52)^J53,0))</f>
        <v>59257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3815411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5416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1235</v>
      </c>
      <c r="D65" s="964" t="s">
        <v>743</v>
      </c>
      <c r="E65" s="950" t="s">
        <v>744</v>
      </c>
      <c r="F65" s="330">
        <f t="shared" ca="1" si="0"/>
        <v>1.5E-3</v>
      </c>
      <c r="I65" s="1462" t="s">
        <v>867</v>
      </c>
      <c r="J65" s="1463">
        <v>40</v>
      </c>
      <c r="K65" s="1463">
        <v>30</v>
      </c>
      <c r="L65" s="1463">
        <v>50</v>
      </c>
      <c r="M65" s="1465">
        <v>0.02</v>
      </c>
      <c r="O65" s="1418" t="s">
        <v>403</v>
      </c>
      <c r="P65" s="1419" t="s">
        <v>868</v>
      </c>
      <c r="Q65" s="1420">
        <f ca="1">C40+J29</f>
        <v>3815411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-6651</v>
      </c>
      <c r="D67" s="963" t="s">
        <v>753</v>
      </c>
      <c r="E67" s="968"/>
      <c r="F67" s="969"/>
      <c r="O67" s="1428" t="s">
        <v>405</v>
      </c>
      <c r="P67" s="1419" t="s">
        <v>850</v>
      </c>
      <c r="Q67" s="1466">
        <f ca="1">L51</f>
        <v>2800423</v>
      </c>
      <c r="R67" s="1420" t="s">
        <v>870</v>
      </c>
    </row>
    <row r="68" spans="1:18" s="1384" customFormat="1" ht="16.5" thickBot="1">
      <c r="A68" s="947" t="s">
        <v>395</v>
      </c>
      <c r="B68" s="948" t="s">
        <v>774</v>
      </c>
      <c r="C68" s="301">
        <f ca="1">ROUND(C67*(1-((1+F70)/(1+F68))^F69)/(F68-F70),0)</f>
        <v>-93204</v>
      </c>
      <c r="D68" s="965" t="s">
        <v>758</v>
      </c>
      <c r="E68" s="950" t="s">
        <v>759</v>
      </c>
      <c r="F68" s="312">
        <f ca="1">F40</f>
        <v>5.5E-2</v>
      </c>
      <c r="O68" s="1428" t="s">
        <v>406</v>
      </c>
      <c r="P68" s="1467" t="s">
        <v>871</v>
      </c>
      <c r="Q68" s="1420">
        <f ca="1">ROUND(Q69-Q70*Q71,0)</f>
        <v>163204</v>
      </c>
      <c r="R68" s="1420" t="s">
        <v>414</v>
      </c>
    </row>
    <row r="69" spans="1:18" s="1384" customFormat="1" ht="13.5" thickBot="1">
      <c r="A69" s="951"/>
      <c r="B69" s="952"/>
      <c r="C69" s="306"/>
      <c r="D69" s="970" t="s">
        <v>762</v>
      </c>
      <c r="E69" s="950" t="s">
        <v>763</v>
      </c>
      <c r="F69" s="333">
        <f ca="1">F41</f>
        <v>27.51</v>
      </c>
      <c r="O69" s="1428" t="s">
        <v>411</v>
      </c>
      <c r="P69" s="1467" t="s">
        <v>872</v>
      </c>
      <c r="Q69" s="1420">
        <f ca="1">C39</f>
        <v>220832</v>
      </c>
      <c r="R69" s="1420" t="s">
        <v>818</v>
      </c>
    </row>
    <row r="70" spans="1:18" s="1384" customFormat="1" ht="13.5" thickBot="1">
      <c r="A70" s="954"/>
      <c r="B70" s="955"/>
      <c r="C70" s="310"/>
      <c r="D70" s="966"/>
      <c r="E70" s="950" t="s">
        <v>766</v>
      </c>
      <c r="F70" s="1054"/>
      <c r="O70" s="1428" t="s">
        <v>412</v>
      </c>
      <c r="P70" s="1467" t="s">
        <v>873</v>
      </c>
      <c r="Q70" s="1420">
        <f ca="1">C13</f>
        <v>823264</v>
      </c>
      <c r="R70" s="1420" t="s">
        <v>818</v>
      </c>
    </row>
    <row r="71" spans="1:18" s="1384" customFormat="1" ht="13.5" thickBot="1">
      <c r="A71" s="971" t="s">
        <v>396</v>
      </c>
      <c r="B71" s="972" t="s">
        <v>776</v>
      </c>
      <c r="C71" s="336">
        <f ca="1">ROUND(C68/F71,0)</f>
        <v>-626</v>
      </c>
      <c r="D71" s="973" t="s">
        <v>777</v>
      </c>
      <c r="E71" s="974" t="s">
        <v>778</v>
      </c>
      <c r="F71" s="339">
        <f ca="1">F43</f>
        <v>148.99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57628</v>
      </c>
      <c r="D75" s="1384"/>
      <c r="E75" s="1384"/>
      <c r="F75" s="1384"/>
      <c r="K75" s="1402"/>
      <c r="L75" s="1384"/>
      <c r="O75" s="1418" t="s">
        <v>409</v>
      </c>
      <c r="P75" s="1419" t="s">
        <v>838</v>
      </c>
      <c r="Q75" s="1420">
        <f ca="1">Q65+Q66</f>
        <v>3815411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0.78400000000000003</v>
      </c>
    </row>
    <row r="83" spans="2:3">
      <c r="B83" s="273" t="s">
        <v>803</v>
      </c>
      <c r="C83" s="274">
        <f ca="1">ROUND(C13/C40,3)</f>
        <v>0.216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3353</v>
      </c>
      <c r="E2" s="3444"/>
      <c r="F2" s="2846"/>
      <c r="G2" s="2847"/>
      <c r="H2" s="2848"/>
      <c r="I2" s="2849"/>
      <c r="J2" s="3669" t="s">
        <v>2313</v>
      </c>
      <c r="K2" s="3670"/>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671" t="s">
        <v>2323</v>
      </c>
      <c r="K3" s="3672"/>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671" t="s">
        <v>2325</v>
      </c>
      <c r="K4" s="3672"/>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673" t="s">
        <v>2329</v>
      </c>
      <c r="B6" s="3674"/>
      <c r="C6" s="3675"/>
      <c r="D6" s="2870"/>
      <c r="E6" s="2871"/>
      <c r="F6" s="2872"/>
      <c r="G6" s="2873"/>
      <c r="H6" s="2848"/>
      <c r="I6" s="2849"/>
      <c r="J6" s="3676">
        <v>1</v>
      </c>
      <c r="K6" s="3677"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676"/>
      <c r="K7" s="3678"/>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680" t="s">
        <v>2343</v>
      </c>
      <c r="C8" s="3681"/>
      <c r="D8" s="2889" t="s">
        <v>2344</v>
      </c>
      <c r="E8" s="2890" t="s">
        <v>2345</v>
      </c>
      <c r="F8" s="2891" t="s">
        <v>2346</v>
      </c>
      <c r="G8" s="2892"/>
      <c r="H8" s="2848"/>
      <c r="I8" s="2849"/>
      <c r="J8" s="3676"/>
      <c r="K8" s="3678"/>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680" t="s">
        <v>2349</v>
      </c>
      <c r="C9" s="3681"/>
      <c r="D9" s="2889">
        <f>ROUND(D6*E9,0)</f>
        <v>0</v>
      </c>
      <c r="E9" s="2893"/>
      <c r="F9" s="2894" t="s">
        <v>2350</v>
      </c>
      <c r="G9" s="2873"/>
      <c r="H9" s="2848"/>
      <c r="I9" s="2849"/>
      <c r="J9" s="3676"/>
      <c r="K9" s="3678"/>
      <c r="L9" s="2883" t="s">
        <v>2351</v>
      </c>
      <c r="M9" s="2884"/>
      <c r="N9" s="2860"/>
      <c r="O9" s="2885"/>
      <c r="P9" s="2885"/>
      <c r="Q9" s="2886">
        <v>365</v>
      </c>
      <c r="R9" s="2887">
        <f t="shared" si="0"/>
        <v>0</v>
      </c>
      <c r="S9" s="2841"/>
      <c r="T9" s="2841"/>
      <c r="U9" s="2841"/>
      <c r="V9" s="2849"/>
    </row>
    <row r="10" spans="1:22" s="2853" customFormat="1" ht="13.15" customHeight="1">
      <c r="A10" s="2888">
        <v>2</v>
      </c>
      <c r="B10" s="3680" t="s">
        <v>2352</v>
      </c>
      <c r="C10" s="3681"/>
      <c r="D10" s="2889">
        <f>ROUND(D6*E10,0)</f>
        <v>0</v>
      </c>
      <c r="E10" s="2893"/>
      <c r="F10" s="2894" t="s">
        <v>2353</v>
      </c>
      <c r="G10" s="2873"/>
      <c r="H10" s="2848"/>
      <c r="I10" s="2849"/>
      <c r="J10" s="3676"/>
      <c r="K10" s="3678"/>
      <c r="L10" s="2883" t="s">
        <v>2354</v>
      </c>
      <c r="M10" s="2884"/>
      <c r="N10" s="2860"/>
      <c r="O10" s="2885"/>
      <c r="P10" s="2885"/>
      <c r="Q10" s="2886">
        <v>365</v>
      </c>
      <c r="R10" s="2887">
        <f t="shared" si="0"/>
        <v>0</v>
      </c>
      <c r="S10" s="2841"/>
      <c r="T10" s="2841"/>
      <c r="U10" s="2841"/>
      <c r="V10" s="2849"/>
    </row>
    <row r="11" spans="1:22" s="2853" customFormat="1" ht="13.15" customHeight="1">
      <c r="A11" s="2888">
        <v>3</v>
      </c>
      <c r="B11" s="3680" t="s">
        <v>2355</v>
      </c>
      <c r="C11" s="3681"/>
      <c r="D11" s="2889">
        <f>D12+D14+D15+D16</f>
        <v>0</v>
      </c>
      <c r="E11" s="2895" t="e">
        <f>D11/D6</f>
        <v>#DIV/0!</v>
      </c>
      <c r="F11" s="2891"/>
      <c r="G11" s="2892"/>
      <c r="H11" s="2848"/>
      <c r="I11" s="2849"/>
      <c r="J11" s="3676"/>
      <c r="K11" s="3678"/>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682" t="s">
        <v>2358</v>
      </c>
      <c r="C12" s="3683"/>
      <c r="D12" s="2897">
        <f>ROUND(D13*1.2%*(1-30%),0)</f>
        <v>0</v>
      </c>
      <c r="E12" s="2898">
        <v>1.2E-2</v>
      </c>
      <c r="F12" s="2891" t="s">
        <v>2359</v>
      </c>
      <c r="G12" s="2892"/>
      <c r="H12" s="2848"/>
      <c r="I12" s="2849"/>
      <c r="J12" s="3676"/>
      <c r="K12" s="3678"/>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676"/>
      <c r="K13" s="3678"/>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682" t="s">
        <v>2364</v>
      </c>
      <c r="C14" s="3683"/>
      <c r="D14" s="2897">
        <f>ROUND(E14*B5/10000,0)</f>
        <v>0</v>
      </c>
      <c r="E14" s="2886"/>
      <c r="F14" s="2891" t="s">
        <v>2365</v>
      </c>
      <c r="G14" s="2892"/>
      <c r="H14" s="2848"/>
      <c r="I14" s="2849"/>
      <c r="J14" s="3676"/>
      <c r="K14" s="3679"/>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682" t="s">
        <v>2368</v>
      </c>
      <c r="C15" s="3683"/>
      <c r="D15" s="2897">
        <f>ROUND(D6*E15,0)</f>
        <v>0</v>
      </c>
      <c r="E15" s="2898">
        <v>5.5E-2</v>
      </c>
      <c r="F15" s="2891" t="s">
        <v>2369</v>
      </c>
      <c r="G15" s="2873"/>
      <c r="H15" s="2848"/>
      <c r="I15" s="2849"/>
      <c r="J15" s="3676">
        <v>2</v>
      </c>
      <c r="K15" s="3677"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682" t="s">
        <v>2377</v>
      </c>
      <c r="C16" s="3683"/>
      <c r="D16" s="2908">
        <f>D6*E16</f>
        <v>0</v>
      </c>
      <c r="E16" s="2909"/>
      <c r="F16" s="2894" t="s">
        <v>2378</v>
      </c>
      <c r="G16" s="2873"/>
      <c r="H16" s="2848"/>
      <c r="I16" s="2849"/>
      <c r="J16" s="3676"/>
      <c r="K16" s="3678"/>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84" t="s">
        <v>2380</v>
      </c>
      <c r="C17" s="3685"/>
      <c r="D17" s="2911">
        <f>ROUND(D6*E17,0)</f>
        <v>0</v>
      </c>
      <c r="E17" s="2912"/>
      <c r="F17" s="2913" t="s">
        <v>2381</v>
      </c>
      <c r="G17" s="2873"/>
      <c r="H17" s="2848"/>
      <c r="I17" s="2849"/>
      <c r="J17" s="3676"/>
      <c r="K17" s="3678"/>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676"/>
      <c r="K18" s="3678"/>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676"/>
      <c r="K19" s="3679"/>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6">
        <v>3</v>
      </c>
      <c r="K20" s="3677"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676"/>
      <c r="K21" s="3678"/>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676"/>
      <c r="K22" s="3678"/>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676"/>
      <c r="K23" s="3678"/>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676"/>
      <c r="K24" s="3679"/>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686">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669" t="s">
        <v>2313</v>
      </c>
      <c r="K32" s="3670"/>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671" t="s">
        <v>2323</v>
      </c>
      <c r="K33" s="3672"/>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671" t="s">
        <v>2325</v>
      </c>
      <c r="K34" s="367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676">
        <v>1</v>
      </c>
      <c r="K36" s="3677"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676"/>
      <c r="K40" s="3679"/>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6">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387.46679999999998</v>
      </c>
      <c r="C2" s="1872" t="s">
        <v>1651</v>
      </c>
      <c r="D2" s="1873" t="s">
        <v>1652</v>
      </c>
      <c r="E2" s="2607">
        <f>SUM(E6:E13)</f>
        <v>148.99</v>
      </c>
      <c r="F2" s="2707"/>
      <c r="G2" s="1489"/>
      <c r="H2" s="1489"/>
      <c r="I2" s="1489"/>
      <c r="J2" s="1489"/>
      <c r="K2" s="1489"/>
      <c r="L2" s="1489"/>
      <c r="M2" s="1489"/>
      <c r="N2" s="1489"/>
      <c r="O2" s="1489"/>
      <c r="P2" s="1489"/>
      <c r="Q2" s="1489"/>
      <c r="R2" s="1489"/>
      <c r="S2" s="1489"/>
    </row>
    <row r="3" spans="1:22" ht="15.75">
      <c r="A3" s="1870" t="s">
        <v>686</v>
      </c>
      <c r="B3" s="2601">
        <f ca="1">ROUND(B2*10000/E2,0)</f>
        <v>26006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387.46679999999998</v>
      </c>
      <c r="C6" s="1872" t="s">
        <v>1651</v>
      </c>
      <c r="D6" s="2709"/>
      <c r="E6" s="2606">
        <f>IF(OR(A6=0,F6="否"),0,'数据-取费表'!K6+'数据-取费表'!S6)</f>
        <v>148.99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ht="15">
      <c r="A5" s="358"/>
      <c r="B5" s="359"/>
      <c r="C5" s="3701" t="s">
        <v>1673</v>
      </c>
      <c r="D5" s="3702"/>
      <c r="E5" s="3699" t="s">
        <v>1674</v>
      </c>
      <c r="F5" s="3700"/>
      <c r="G5" s="3701" t="s">
        <v>1675</v>
      </c>
      <c r="H5" s="3702"/>
      <c r="I5" s="3701" t="s">
        <v>1676</v>
      </c>
      <c r="J5" s="3702"/>
      <c r="K5" s="1890"/>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1890"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3" t="s">
        <v>1680</v>
      </c>
      <c r="Q7" s="3721"/>
      <c r="R7" s="701" t="s">
        <v>20</v>
      </c>
      <c r="S7" s="702">
        <f t="shared" ref="S7:S15" si="0">F7</f>
        <v>0</v>
      </c>
      <c r="T7" s="701" t="s">
        <v>20</v>
      </c>
      <c r="U7" s="702">
        <f t="shared" ref="U7:U15" si="1">H7</f>
        <v>0</v>
      </c>
      <c r="V7" s="701" t="s">
        <v>20</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71.2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42.7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720"/>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720"/>
      <c r="AC6" s="3692"/>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5.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7">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45909</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估价对象为北京市房地产，为所有。根据《国有土地使用证》[]，估价对象（分摊）出让国有建设用地使用权面积为0平方米，建筑面积为148.99平方米。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估价对象为北京市房地产,属开发建设的办公项目，该项目尚在开发建设中。根据《国有土地使用证》[]，估价对象（分摊）出让国有建设用地使用权面积为0平方米，规划建筑面积为148.99平方米。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45909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2.7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28.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7">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45909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3" t="s">
        <v>1680</v>
      </c>
      <c r="Q7" s="3721"/>
      <c r="R7" s="701" t="s">
        <v>14</v>
      </c>
      <c r="S7" s="702">
        <f t="shared" ref="S7:S14" si="0">F7</f>
        <v>0</v>
      </c>
      <c r="T7" s="701" t="s">
        <v>14</v>
      </c>
      <c r="U7" s="702">
        <f t="shared" ref="U7:U14" si="1">H7</f>
        <v>0</v>
      </c>
      <c r="V7" s="701" t="s">
        <v>14</v>
      </c>
      <c r="W7" s="702">
        <f t="shared" ref="W7:W14" si="2">J7</f>
        <v>0</v>
      </c>
      <c r="X7" s="703"/>
      <c r="Y7" s="3693" t="s">
        <v>1680</v>
      </c>
      <c r="Z7" s="369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2.7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28.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7">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30"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30" s="108" customFormat="1" ht="15.75" thickBot="1">
      <c r="A7" s="362" t="s">
        <v>1679</v>
      </c>
      <c r="B7" s="363"/>
      <c r="C7" s="364">
        <f>'数据-取费表'!B2</f>
        <v>45909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5"/>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71.2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71.2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85.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2.7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28.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148.99</v>
      </c>
      <c r="F56" s="886" t="e">
        <f t="shared" ref="F56:F64" si="15">ROUND(B56*E56/10000,0)</f>
        <v>#DIV/0!</v>
      </c>
      <c r="G56" s="3707"/>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148.99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45909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3" t="s">
        <v>1680</v>
      </c>
      <c r="Q7" s="3721"/>
      <c r="R7" s="701" t="s">
        <v>14</v>
      </c>
      <c r="S7" s="702">
        <f t="shared" ref="S7:S15" si="0">F7</f>
        <v>0</v>
      </c>
      <c r="T7" s="701" t="s">
        <v>14</v>
      </c>
      <c r="U7" s="702">
        <f t="shared" ref="U7:U15" si="1">H7</f>
        <v>0</v>
      </c>
      <c r="V7" s="701" t="s">
        <v>14</v>
      </c>
      <c r="W7" s="702">
        <f t="shared" ref="W7:W15" si="2">J7</f>
        <v>0</v>
      </c>
      <c r="X7" s="703"/>
      <c r="Y7" s="3693" t="s">
        <v>1680</v>
      </c>
      <c r="Z7" s="369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5"/>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148.99</v>
      </c>
      <c r="F51" s="639" t="e">
        <f t="shared" ref="F51:F60" si="15">ROUND(B51*E51/10000,0)</f>
        <v>#DIV/0!</v>
      </c>
      <c r="G51" s="3707"/>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c r="D12" s="3307" t="s">
        <v>3236</v>
      </c>
      <c r="E12" s="3308" t="s">
        <v>3237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3239</v>
      </c>
      <c r="G14" s="3312" t="s">
        <v>3239</v>
      </c>
      <c r="H14" s="3312" t="s">
        <v>3239</v>
      </c>
      <c r="I14" s="3312" t="s">
        <v>3239</v>
      </c>
      <c r="J14" s="3312" t="s">
        <v>3239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t="e">
        <f>ROUND(G18/I18,2)</f>
        <v>#DIV/0!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3250</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3259</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3260</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3253</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3267</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3268</v>
      </c>
      <c r="B96" s="3385" t="s">
        <v>3279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3269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3270</v>
      </c>
      <c r="B98" s="3386" t="s">
        <v>3280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3271</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3272</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3273</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3288</v>
      </c>
      <c r="B103" s="3779"/>
      <c r="C103" s="3779"/>
      <c r="D103" s="3779"/>
      <c r="E103" s="3779"/>
      <c r="F103" s="3779"/>
      <c r="G103" s="3779"/>
      <c r="H103" s="3779"/>
      <c r="I103" s="3779"/>
      <c r="J103" s="3779"/>
      <c r="K103" s="3390"/>
      <c r="L103" s="3390"/>
      <c r="M103" s="3390"/>
      <c r="N103" s="3390"/>
    </row>
    <row r="104" spans="1:14">
      <c r="A104" s="3780" t="s">
        <v>3289</v>
      </c>
      <c r="B104" s="3780" t="s">
        <v>3290</v>
      </c>
      <c r="C104" s="3391" t="s">
        <v>3291</v>
      </c>
      <c r="D104" s="3392"/>
      <c r="E104" s="3392"/>
      <c r="F104" s="3392"/>
      <c r="G104" s="3392"/>
      <c r="H104" s="3392"/>
      <c r="I104" s="3392"/>
      <c r="J104" s="3393"/>
      <c r="K104" s="3394"/>
      <c r="L104" s="3394"/>
      <c r="M104" s="3394"/>
      <c r="N104" s="3394"/>
    </row>
    <row r="105" spans="1:14">
      <c r="A105" s="3780"/>
      <c r="B105" s="3780"/>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66"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3305</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0</v>
      </c>
      <c r="C116" s="3400" t="s">
        <v>3307</v>
      </c>
      <c r="D116" s="3401">
        <f>SUMPRODUCT((A118:A122=F116)*(B117:M117=H116)*B118:M122)</f>
        <v>0</v>
      </c>
      <c r="E116" s="2000" t="s">
        <v>3308</v>
      </c>
      <c r="F116" s="3402">
        <f>E2</f>
        <v>0</v>
      </c>
      <c r="G116" s="2000" t="s">
        <v>3309</v>
      </c>
      <c r="H116" s="3402">
        <f>G2</f>
        <v>0</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2608</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795" t="s">
        <v>2603</v>
      </c>
      <c r="B20" s="3785" t="s">
        <v>2624</v>
      </c>
      <c r="C20" s="3477" t="s">
        <v>2435</v>
      </c>
      <c r="D20" s="3477"/>
      <c r="E20" s="3105">
        <v>1</v>
      </c>
      <c r="F20" s="3106" t="s">
        <v>2436</v>
      </c>
      <c r="G20" s="3106"/>
    </row>
    <row r="21" spans="1:13" ht="19.5" customHeight="1">
      <c r="A21" s="3796"/>
      <c r="B21" s="3786"/>
      <c r="C21" s="3467" t="s">
        <v>2437</v>
      </c>
      <c r="D21" s="3467"/>
      <c r="E21" s="3109">
        <v>1</v>
      </c>
      <c r="F21" s="3106" t="s">
        <v>2438</v>
      </c>
      <c r="G21" s="3106"/>
    </row>
    <row r="22" spans="1:13" ht="19.5" customHeight="1">
      <c r="A22" s="3796"/>
      <c r="B22" s="3786"/>
      <c r="C22" s="3467" t="s">
        <v>2439</v>
      </c>
      <c r="D22" s="3467"/>
      <c r="E22" s="3109">
        <v>0.9</v>
      </c>
      <c r="F22" s="3106" t="s">
        <v>2440</v>
      </c>
      <c r="G22" s="3106"/>
    </row>
    <row r="23" spans="1:13" ht="19.5" customHeight="1">
      <c r="A23" s="3796"/>
      <c r="B23" s="3786"/>
      <c r="C23" s="3467" t="s">
        <v>2441</v>
      </c>
      <c r="D23" s="3467"/>
      <c r="E23" s="3109">
        <v>0.9</v>
      </c>
      <c r="F23" s="3106" t="s">
        <v>2442</v>
      </c>
      <c r="G23" s="3106"/>
    </row>
    <row r="24" spans="1:13" ht="19.5" customHeight="1">
      <c r="A24" s="3796"/>
      <c r="B24" s="3786"/>
      <c r="C24" s="3467" t="s">
        <v>2443</v>
      </c>
      <c r="D24" s="3467"/>
      <c r="E24" s="3109">
        <v>0.8</v>
      </c>
      <c r="F24" s="3106" t="s">
        <v>2444</v>
      </c>
      <c r="G24" s="3106"/>
    </row>
    <row r="25" spans="1:13" ht="19.5" customHeight="1">
      <c r="A25" s="3796"/>
      <c r="B25" s="3786"/>
      <c r="C25" s="3467" t="s">
        <v>2445</v>
      </c>
      <c r="D25" s="3467"/>
      <c r="E25" s="3109">
        <v>0.8</v>
      </c>
      <c r="F25" s="3106"/>
      <c r="G25" s="3106"/>
    </row>
    <row r="26" spans="1:13" ht="19.5" customHeight="1">
      <c r="A26" s="3796"/>
      <c r="B26" s="3786"/>
      <c r="C26" s="3470" t="s">
        <v>3406</v>
      </c>
      <c r="D26" s="3470"/>
      <c r="E26" s="3471">
        <v>0.43</v>
      </c>
      <c r="F26" s="3106"/>
      <c r="G26" s="3106"/>
    </row>
    <row r="27" spans="1:13" ht="19.5" customHeight="1" thickBot="1">
      <c r="A27" s="3797"/>
      <c r="B27" s="3787"/>
      <c r="C27" s="3472" t="s">
        <v>3407</v>
      </c>
      <c r="D27" s="3472"/>
      <c r="E27" s="3473">
        <f>E26*0.9</f>
        <v>0.38700000000000001</v>
      </c>
      <c r="F27" s="3106" t="s">
        <v>2446</v>
      </c>
      <c r="G27" s="3106"/>
    </row>
    <row r="28" spans="1:13" ht="19.5" customHeight="1" thickBot="1">
      <c r="A28" s="3469" t="s">
        <v>2625</v>
      </c>
      <c r="B28" s="3468" t="s">
        <v>2624</v>
      </c>
      <c r="C28" s="3474" t="s">
        <v>2626</v>
      </c>
      <c r="D28" s="3475"/>
      <c r="E28" s="3476">
        <v>1</v>
      </c>
      <c r="F28" s="3106" t="s">
        <v>2447</v>
      </c>
      <c r="G28" s="3106"/>
    </row>
    <row r="29" spans="1:13" ht="19.5" customHeight="1">
      <c r="A29" s="3788" t="s">
        <v>2627</v>
      </c>
      <c r="B29" s="3791" t="s">
        <v>2608</v>
      </c>
      <c r="C29" s="3103" t="s">
        <v>2448</v>
      </c>
      <c r="D29" s="3104"/>
      <c r="E29" s="3105">
        <v>1</v>
      </c>
      <c r="F29" s="3106" t="s">
        <v>2449</v>
      </c>
      <c r="G29" s="3106"/>
    </row>
    <row r="30" spans="1:13" ht="19.5" customHeight="1">
      <c r="A30" s="3789"/>
      <c r="B30" s="3792"/>
      <c r="C30" s="3107" t="s">
        <v>2450</v>
      </c>
      <c r="D30" s="3108"/>
      <c r="E30" s="3109">
        <v>1</v>
      </c>
      <c r="F30" s="3106" t="s">
        <v>2451</v>
      </c>
      <c r="G30" s="3106"/>
    </row>
    <row r="31" spans="1:13" ht="19.5" customHeight="1">
      <c r="A31" s="3789"/>
      <c r="B31" s="3792"/>
      <c r="C31" s="3107" t="s">
        <v>2452</v>
      </c>
      <c r="D31" s="3108"/>
      <c r="E31" s="3109">
        <v>0.8</v>
      </c>
      <c r="F31" s="3106" t="s">
        <v>2453</v>
      </c>
      <c r="G31" s="3106"/>
    </row>
    <row r="32" spans="1:13" ht="19.5" customHeight="1">
      <c r="A32" s="3789"/>
      <c r="B32" s="3792"/>
      <c r="C32" s="3107" t="s">
        <v>2454</v>
      </c>
      <c r="D32" s="3108"/>
      <c r="E32" s="3109">
        <v>0.8</v>
      </c>
      <c r="F32" s="3106" t="s">
        <v>2455</v>
      </c>
      <c r="G32" s="3106"/>
    </row>
    <row r="33" spans="1:7" ht="19.5" customHeight="1">
      <c r="A33" s="3789"/>
      <c r="B33" s="3792"/>
      <c r="C33" s="3107" t="s">
        <v>2456</v>
      </c>
      <c r="D33" s="3108"/>
      <c r="E33" s="3109">
        <v>0.8</v>
      </c>
      <c r="F33" s="3106" t="s">
        <v>2457</v>
      </c>
      <c r="G33" s="3106"/>
    </row>
    <row r="34" spans="1:7" ht="19.5" customHeight="1">
      <c r="A34" s="3789"/>
      <c r="B34" s="3792"/>
      <c r="C34" s="3107" t="s">
        <v>2458</v>
      </c>
      <c r="D34" s="3108"/>
      <c r="E34" s="3109">
        <v>0.7</v>
      </c>
      <c r="F34" s="3106" t="s">
        <v>2459</v>
      </c>
      <c r="G34" s="3106"/>
    </row>
    <row r="35" spans="1:7" ht="19.5" customHeight="1">
      <c r="A35" s="3789"/>
      <c r="B35" s="3792"/>
      <c r="C35" s="3107" t="s">
        <v>2460</v>
      </c>
      <c r="D35" s="3108"/>
      <c r="E35" s="3109">
        <v>0.8</v>
      </c>
      <c r="F35" s="3106" t="s">
        <v>2461</v>
      </c>
      <c r="G35" s="3106"/>
    </row>
    <row r="36" spans="1:7" ht="19.5" customHeight="1">
      <c r="A36" s="3789"/>
      <c r="B36" s="3792"/>
      <c r="C36" s="3107" t="s">
        <v>2462</v>
      </c>
      <c r="D36" s="3108"/>
      <c r="E36" s="3109">
        <v>0.6</v>
      </c>
      <c r="F36" s="3106" t="s">
        <v>2463</v>
      </c>
      <c r="G36" s="3106"/>
    </row>
    <row r="37" spans="1:7" ht="19.5" customHeight="1">
      <c r="A37" s="3789"/>
      <c r="B37" s="3792"/>
      <c r="C37" s="3107" t="s">
        <v>2464</v>
      </c>
      <c r="D37" s="3108"/>
      <c r="E37" s="3109">
        <v>0.2</v>
      </c>
      <c r="F37" s="3106" t="s">
        <v>2465</v>
      </c>
      <c r="G37" s="3106"/>
    </row>
    <row r="38" spans="1:7" ht="19.5" customHeight="1">
      <c r="A38" s="3789"/>
      <c r="B38" s="3792"/>
      <c r="C38" s="3107" t="s">
        <v>2466</v>
      </c>
      <c r="D38" s="3108"/>
      <c r="E38" s="3109">
        <v>0.2</v>
      </c>
      <c r="F38" s="3106" t="s">
        <v>2467</v>
      </c>
      <c r="G38" s="3106"/>
    </row>
    <row r="39" spans="1:7" ht="19.5" customHeight="1">
      <c r="A39" s="3789"/>
      <c r="B39" s="3793" t="s">
        <v>2628</v>
      </c>
      <c r="C39" s="3107" t="s">
        <v>2468</v>
      </c>
      <c r="D39" s="3108"/>
      <c r="E39" s="3109">
        <v>0.6</v>
      </c>
      <c r="F39" s="3106" t="s">
        <v>2469</v>
      </c>
      <c r="G39" s="3106"/>
    </row>
    <row r="40" spans="1:7" ht="19.5" customHeight="1">
      <c r="A40" s="3789"/>
      <c r="B40" s="3792"/>
      <c r="C40" s="3107" t="s">
        <v>2470</v>
      </c>
      <c r="D40" s="3108"/>
      <c r="E40" s="3109">
        <v>0.6</v>
      </c>
      <c r="F40" s="3106" t="s">
        <v>2471</v>
      </c>
      <c r="G40" s="3106"/>
    </row>
    <row r="41" spans="1:7" ht="19.5" customHeight="1" thickBot="1">
      <c r="A41" s="3790"/>
      <c r="B41" s="3794"/>
      <c r="C41" s="3110" t="s">
        <v>2472</v>
      </c>
      <c r="D41" s="3111"/>
      <c r="E41" s="3112">
        <v>0.6</v>
      </c>
      <c r="F41" s="3106" t="s">
        <v>2473</v>
      </c>
      <c r="G41" s="3106"/>
    </row>
    <row r="42" spans="1:7" ht="19.5" customHeight="1" thickBot="1">
      <c r="A42" s="3113" t="s">
        <v>2605</v>
      </c>
      <c r="B42" s="3114" t="s">
        <v>2605</v>
      </c>
      <c r="C42" s="3115" t="s">
        <v>2629</v>
      </c>
      <c r="D42" s="3116"/>
      <c r="E42" s="3117">
        <v>1</v>
      </c>
      <c r="F42" s="3106" t="s">
        <v>2474</v>
      </c>
      <c r="G42" s="3106"/>
    </row>
    <row r="43" spans="1:7" ht="19.5" customHeight="1">
      <c r="A43" s="3795" t="s">
        <v>2606</v>
      </c>
      <c r="B43" s="3791" t="s">
        <v>2630</v>
      </c>
      <c r="C43" s="3103" t="s">
        <v>2475</v>
      </c>
      <c r="D43" s="3104"/>
      <c r="E43" s="3105">
        <v>1</v>
      </c>
      <c r="F43" s="3106" t="s">
        <v>2476</v>
      </c>
      <c r="G43" s="3106"/>
    </row>
    <row r="44" spans="1:7" ht="19.5" customHeight="1">
      <c r="A44" s="3796"/>
      <c r="B44" s="3792"/>
      <c r="C44" s="3107" t="s">
        <v>2477</v>
      </c>
      <c r="D44" s="3108"/>
      <c r="E44" s="3109">
        <v>1</v>
      </c>
      <c r="F44" s="3106" t="s">
        <v>2478</v>
      </c>
      <c r="G44" s="3106"/>
    </row>
    <row r="45" spans="1:7" ht="19.5" customHeight="1">
      <c r="A45" s="3796"/>
      <c r="B45" s="3798"/>
      <c r="C45" s="3107" t="s">
        <v>2479</v>
      </c>
      <c r="D45" s="3108"/>
      <c r="E45" s="3109">
        <v>1.5</v>
      </c>
      <c r="F45" s="3106" t="s">
        <v>2480</v>
      </c>
      <c r="G45" s="3106"/>
    </row>
    <row r="46" spans="1:7" ht="19.5" customHeight="1">
      <c r="A46" s="3796"/>
      <c r="B46" s="3118" t="s">
        <v>2631</v>
      </c>
      <c r="C46" s="3107" t="s">
        <v>2632</v>
      </c>
      <c r="D46" s="3108"/>
      <c r="E46" s="3109">
        <v>2</v>
      </c>
      <c r="F46" s="3106" t="s">
        <v>2481</v>
      </c>
      <c r="G46" s="3106"/>
    </row>
    <row r="47" spans="1:7" ht="19.5" customHeight="1">
      <c r="A47" s="3796"/>
      <c r="B47" s="3793" t="s">
        <v>2633</v>
      </c>
      <c r="C47" s="3107" t="s">
        <v>2482</v>
      </c>
      <c r="D47" s="3108"/>
      <c r="E47" s="3109">
        <v>1</v>
      </c>
      <c r="F47" s="3106" t="s">
        <v>2483</v>
      </c>
      <c r="G47" s="3106"/>
    </row>
    <row r="48" spans="1:7" ht="19.5" customHeight="1">
      <c r="A48" s="3796"/>
      <c r="B48" s="3792"/>
      <c r="C48" s="3107" t="s">
        <v>2484</v>
      </c>
      <c r="D48" s="3108"/>
      <c r="E48" s="3109">
        <v>1</v>
      </c>
      <c r="F48" s="3106" t="s">
        <v>2485</v>
      </c>
      <c r="G48" s="3106"/>
    </row>
    <row r="49" spans="1:7" ht="19.5" customHeight="1">
      <c r="A49" s="3796"/>
      <c r="B49" s="3792"/>
      <c r="C49" s="3107" t="s">
        <v>2486</v>
      </c>
      <c r="D49" s="3108"/>
      <c r="E49" s="3109">
        <v>1</v>
      </c>
      <c r="F49" s="3106" t="s">
        <v>2487</v>
      </c>
      <c r="G49" s="3106"/>
    </row>
    <row r="50" spans="1:7" ht="19.5" customHeight="1">
      <c r="A50" s="3796"/>
      <c r="B50" s="3792"/>
      <c r="C50" s="3107" t="s">
        <v>2488</v>
      </c>
      <c r="D50" s="3108"/>
      <c r="E50" s="3109">
        <v>1</v>
      </c>
      <c r="F50" s="3106" t="s">
        <v>2489</v>
      </c>
      <c r="G50" s="3106"/>
    </row>
    <row r="51" spans="1:7" ht="19.5" customHeight="1">
      <c r="A51" s="3796"/>
      <c r="B51" s="3792"/>
      <c r="C51" s="3107" t="s">
        <v>2490</v>
      </c>
      <c r="D51" s="3108"/>
      <c r="E51" s="3109">
        <v>1</v>
      </c>
      <c r="F51" s="3106" t="s">
        <v>2491</v>
      </c>
      <c r="G51" s="3106"/>
    </row>
    <row r="52" spans="1:7" ht="19.5" customHeight="1">
      <c r="A52" s="3796"/>
      <c r="B52" s="3792"/>
      <c r="C52" s="3107" t="s">
        <v>2492</v>
      </c>
      <c r="D52" s="3108"/>
      <c r="E52" s="3109">
        <v>1</v>
      </c>
      <c r="F52" s="3106" t="s">
        <v>2493</v>
      </c>
      <c r="G52" s="3106"/>
    </row>
    <row r="53" spans="1:7" ht="19.5" customHeight="1" thickBot="1">
      <c r="A53" s="3797"/>
      <c r="B53" s="3794"/>
      <c r="C53" s="3110" t="s">
        <v>2494</v>
      </c>
      <c r="D53" s="3111"/>
      <c r="E53" s="3112">
        <v>1</v>
      </c>
      <c r="F53" s="3106" t="s">
        <v>2495</v>
      </c>
      <c r="G53" s="3106"/>
    </row>
    <row r="54" spans="1:7" ht="19.5" customHeight="1">
      <c r="A54" s="3119"/>
      <c r="B54" s="3119"/>
      <c r="C54" s="3119"/>
      <c r="D54" s="3119"/>
      <c r="E54" s="3119"/>
      <c r="F54" s="3119"/>
      <c r="G54" s="3119"/>
    </row>
    <row r="56" spans="1:7" ht="19.5" customHeight="1">
      <c r="A56" s="3120"/>
      <c r="B56" s="3092" t="s">
        <v>2634</v>
      </c>
      <c r="C56" s="3092" t="s">
        <v>2634</v>
      </c>
      <c r="D56" s="3092" t="s">
        <v>2634</v>
      </c>
      <c r="E56" s="3095" t="s">
        <v>2634</v>
      </c>
      <c r="F56" s="3095" t="s">
        <v>2635</v>
      </c>
      <c r="G56" s="3095" t="s">
        <v>2636</v>
      </c>
    </row>
    <row r="57" spans="1:7" ht="19.5" customHeight="1">
      <c r="A57" s="3121"/>
      <c r="B57" s="3095" t="s">
        <v>2603</v>
      </c>
      <c r="C57" s="3095" t="s">
        <v>2603</v>
      </c>
      <c r="D57" s="3095" t="s">
        <v>2603</v>
      </c>
      <c r="E57" s="3092" t="s">
        <v>2604</v>
      </c>
      <c r="F57" s="3092" t="s">
        <v>2606</v>
      </c>
      <c r="G57" s="3092" t="s">
        <v>2637</v>
      </c>
    </row>
    <row r="58" spans="1:7" ht="19.5" customHeight="1">
      <c r="A58" s="3122"/>
      <c r="B58" s="3092">
        <v>1</v>
      </c>
      <c r="C58" s="3092">
        <v>2</v>
      </c>
      <c r="D58" s="3092">
        <v>3</v>
      </c>
      <c r="E58" s="3123" t="s">
        <v>2638</v>
      </c>
      <c r="F58" s="3123" t="s">
        <v>2638</v>
      </c>
      <c r="G58" s="3123" t="s">
        <v>2638</v>
      </c>
    </row>
    <row r="59" spans="1:7" ht="19.5" customHeight="1">
      <c r="A59" s="3124" t="s">
        <v>2591</v>
      </c>
      <c r="B59" s="3092">
        <v>0.7</v>
      </c>
      <c r="C59" s="3092">
        <v>0.4</v>
      </c>
      <c r="D59" s="3092">
        <v>0.3</v>
      </c>
      <c r="E59" s="3123">
        <v>0.3</v>
      </c>
      <c r="F59" s="3092">
        <v>0.3</v>
      </c>
      <c r="G59" s="3092">
        <v>0.2</v>
      </c>
    </row>
    <row r="60" spans="1:7" ht="19.5" customHeight="1">
      <c r="A60" s="3124" t="s">
        <v>2592</v>
      </c>
      <c r="B60" s="3092">
        <v>0.7</v>
      </c>
      <c r="C60" s="3092">
        <v>0.4</v>
      </c>
      <c r="D60" s="3092">
        <v>0.3</v>
      </c>
      <c r="E60" s="3092">
        <v>0.3</v>
      </c>
      <c r="F60" s="3092">
        <v>0.3</v>
      </c>
      <c r="G60" s="3092">
        <v>0.2</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0.6</v>
      </c>
      <c r="C64" s="3092">
        <v>0.3</v>
      </c>
      <c r="D64" s="3092">
        <v>0.25</v>
      </c>
      <c r="E64" s="3092">
        <v>0.25</v>
      </c>
      <c r="F64" s="3092">
        <v>0.25</v>
      </c>
      <c r="G64" s="3092">
        <v>0.15</v>
      </c>
    </row>
    <row r="65" spans="1:7" ht="19.5" customHeight="1">
      <c r="A65" s="3124" t="s">
        <v>2597</v>
      </c>
      <c r="B65" s="3092">
        <v>0.6</v>
      </c>
      <c r="C65" s="3092">
        <v>0.3</v>
      </c>
      <c r="D65" s="3092">
        <v>0.25</v>
      </c>
      <c r="E65" s="3092">
        <v>0.25</v>
      </c>
      <c r="F65" s="3092">
        <v>0.25</v>
      </c>
      <c r="G65" s="3092">
        <v>0.15</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69" spans="1:7" ht="19.5" customHeight="1">
      <c r="A69" s="3124" t="s">
        <v>2601</v>
      </c>
      <c r="B69" s="3092">
        <v>0.5</v>
      </c>
      <c r="C69" s="3092">
        <v>0.2</v>
      </c>
      <c r="D69" s="3092">
        <v>0.2</v>
      </c>
      <c r="E69" s="3092">
        <v>0.2</v>
      </c>
      <c r="F69" s="3092">
        <v>0.2</v>
      </c>
      <c r="G69" s="3092">
        <v>0.1</v>
      </c>
    </row>
    <row r="70" spans="1:7" ht="19.5" customHeight="1">
      <c r="A70" s="3124" t="s">
        <v>2602</v>
      </c>
      <c r="B70" s="3092">
        <v>0.5</v>
      </c>
      <c r="C70" s="3092">
        <v>0.2</v>
      </c>
      <c r="D70" s="3092">
        <v>0.2</v>
      </c>
      <c r="E70" s="3092">
        <v>0.2</v>
      </c>
      <c r="F70" s="3092">
        <v>0.2</v>
      </c>
      <c r="G70" s="3092">
        <v>0.1</v>
      </c>
    </row>
    <row r="72" spans="1:7" ht="19.5" customHeight="1">
      <c r="A72" s="3125"/>
      <c r="B72" s="3126"/>
      <c r="C72" s="3126"/>
      <c r="D72" s="3126" t="s">
        <v>2639</v>
      </c>
      <c r="E72" s="3126"/>
      <c r="F72" s="3126"/>
    </row>
    <row r="73" spans="1:7" ht="19.5" customHeight="1">
      <c r="A73" s="3118" t="s">
        <v>2640</v>
      </c>
      <c r="B73" s="3118" t="s">
        <v>2641</v>
      </c>
      <c r="C73" s="3118" t="s">
        <v>2642</v>
      </c>
      <c r="D73" s="3118" t="s">
        <v>2643</v>
      </c>
      <c r="E73" s="3118" t="s">
        <v>2644</v>
      </c>
      <c r="F73" s="3118" t="s">
        <v>2645</v>
      </c>
    </row>
    <row r="74" spans="1:7" ht="13.5">
      <c r="A74" s="3118"/>
      <c r="B74" s="3118"/>
      <c r="C74" s="3118" t="s">
        <v>2646</v>
      </c>
      <c r="D74" s="3118"/>
      <c r="E74" s="3118" t="s">
        <v>2617</v>
      </c>
      <c r="F74" s="3118" t="s">
        <v>2617</v>
      </c>
    </row>
    <row r="75" spans="1:7" ht="13.5">
      <c r="A75" s="3118">
        <v>1</v>
      </c>
      <c r="B75" s="3793" t="s">
        <v>2647</v>
      </c>
      <c r="C75" s="3092" t="s">
        <v>2648</v>
      </c>
      <c r="D75" s="3092" t="s">
        <v>2649</v>
      </c>
      <c r="E75" s="3118">
        <v>0.2</v>
      </c>
      <c r="F75" s="3118">
        <v>25</v>
      </c>
    </row>
    <row r="76" spans="1:7" ht="24">
      <c r="A76" s="3118">
        <v>2</v>
      </c>
      <c r="B76" s="3792"/>
      <c r="C76" s="3092" t="s">
        <v>2650</v>
      </c>
      <c r="D76" s="3092" t="s">
        <v>2651</v>
      </c>
      <c r="E76" s="3118">
        <v>0.2</v>
      </c>
      <c r="F76" s="3118">
        <v>25</v>
      </c>
    </row>
    <row r="77" spans="1:7" ht="24">
      <c r="A77" s="3118">
        <v>3</v>
      </c>
      <c r="B77" s="3792"/>
      <c r="C77" s="3092" t="s">
        <v>2652</v>
      </c>
      <c r="D77" s="3092" t="s">
        <v>2653</v>
      </c>
      <c r="E77" s="3118">
        <v>0.2</v>
      </c>
      <c r="F77" s="3118">
        <v>25</v>
      </c>
    </row>
    <row r="78" spans="1:7" ht="13.5">
      <c r="A78" s="3118">
        <v>4</v>
      </c>
      <c r="B78" s="3792"/>
      <c r="C78" s="3092" t="s">
        <v>2654</v>
      </c>
      <c r="D78" s="3092" t="s">
        <v>2655</v>
      </c>
      <c r="E78" s="3118">
        <v>0.15</v>
      </c>
      <c r="F78" s="3118">
        <v>20</v>
      </c>
    </row>
    <row r="79" spans="1:7" ht="24">
      <c r="A79" s="3118">
        <v>5</v>
      </c>
      <c r="B79" s="3792"/>
      <c r="C79" s="3092" t="s">
        <v>2656</v>
      </c>
      <c r="D79" s="3092" t="s">
        <v>2657</v>
      </c>
      <c r="E79" s="3118">
        <v>0.15</v>
      </c>
      <c r="F79" s="3118">
        <v>20</v>
      </c>
    </row>
    <row r="80" spans="1:7" ht="24">
      <c r="A80" s="3118">
        <v>6</v>
      </c>
      <c r="B80" s="3792"/>
      <c r="C80" s="3092" t="s">
        <v>2658</v>
      </c>
      <c r="D80" s="3092" t="s">
        <v>2659</v>
      </c>
      <c r="E80" s="3118">
        <v>0.15</v>
      </c>
      <c r="F80" s="3118">
        <v>20</v>
      </c>
    </row>
    <row r="81" spans="1:6" ht="24">
      <c r="A81" s="3118">
        <v>7</v>
      </c>
      <c r="B81" s="3792"/>
      <c r="C81" s="3092" t="s">
        <v>2660</v>
      </c>
      <c r="D81" s="3092" t="s">
        <v>2661</v>
      </c>
      <c r="E81" s="3118">
        <v>0.15</v>
      </c>
      <c r="F81" s="3118">
        <v>20</v>
      </c>
    </row>
    <row r="82" spans="1:6" ht="24">
      <c r="A82" s="3118">
        <v>8</v>
      </c>
      <c r="B82" s="3792"/>
      <c r="C82" s="3092" t="s">
        <v>2662</v>
      </c>
      <c r="D82" s="3092" t="s">
        <v>2663</v>
      </c>
      <c r="E82" s="3118">
        <v>0.1</v>
      </c>
      <c r="F82" s="3118">
        <v>15</v>
      </c>
    </row>
    <row r="83" spans="1:6" ht="24">
      <c r="A83" s="3118">
        <v>9</v>
      </c>
      <c r="B83" s="3792"/>
      <c r="C83" s="3092" t="s">
        <v>2664</v>
      </c>
      <c r="D83" s="3092" t="s">
        <v>2665</v>
      </c>
      <c r="E83" s="3118">
        <v>0.1</v>
      </c>
      <c r="F83" s="3118">
        <v>15</v>
      </c>
    </row>
    <row r="84" spans="1:6" ht="24">
      <c r="A84" s="3118">
        <v>10</v>
      </c>
      <c r="B84" s="3792"/>
      <c r="C84" s="3092" t="s">
        <v>2666</v>
      </c>
      <c r="D84" s="3092" t="s">
        <v>2667</v>
      </c>
      <c r="E84" s="3118">
        <v>0.1</v>
      </c>
      <c r="F84" s="3118">
        <v>15</v>
      </c>
    </row>
    <row r="85" spans="1:6" ht="24">
      <c r="A85" s="3118">
        <v>11</v>
      </c>
      <c r="B85" s="3792"/>
      <c r="C85" s="3092" t="s">
        <v>2668</v>
      </c>
      <c r="D85" s="3092" t="s">
        <v>2669</v>
      </c>
      <c r="E85" s="3118">
        <v>0.1</v>
      </c>
      <c r="F85" s="3118">
        <v>15</v>
      </c>
    </row>
    <row r="86" spans="1:6" ht="24">
      <c r="A86" s="3118">
        <v>12</v>
      </c>
      <c r="B86" s="3792"/>
      <c r="C86" s="3092" t="s">
        <v>2670</v>
      </c>
      <c r="D86" s="3092" t="s">
        <v>2671</v>
      </c>
      <c r="E86" s="3118">
        <v>0.1</v>
      </c>
      <c r="F86" s="3118">
        <v>15</v>
      </c>
    </row>
    <row r="87" spans="1:6" ht="13.5">
      <c r="A87" s="3118">
        <v>13</v>
      </c>
      <c r="B87" s="3792"/>
      <c r="C87" s="3092" t="s">
        <v>2672</v>
      </c>
      <c r="D87" s="3092" t="s">
        <v>2673</v>
      </c>
      <c r="E87" s="3118">
        <v>0.1</v>
      </c>
      <c r="F87" s="3118">
        <v>15</v>
      </c>
    </row>
    <row r="88" spans="1:6" ht="13.5">
      <c r="A88" s="3118">
        <v>14</v>
      </c>
      <c r="B88" s="3792"/>
      <c r="C88" s="3092" t="s">
        <v>2674</v>
      </c>
      <c r="D88" s="3092" t="s">
        <v>2675</v>
      </c>
      <c r="E88" s="3118">
        <v>0.1</v>
      </c>
      <c r="F88" s="3118">
        <v>15</v>
      </c>
    </row>
    <row r="89" spans="1:6" ht="13.5">
      <c r="A89" s="3118">
        <v>15</v>
      </c>
      <c r="B89" s="3792"/>
      <c r="C89" s="3092" t="s">
        <v>2676</v>
      </c>
      <c r="D89" s="3092" t="s">
        <v>2677</v>
      </c>
      <c r="E89" s="3118">
        <v>0.1</v>
      </c>
      <c r="F89" s="3118">
        <v>15</v>
      </c>
    </row>
    <row r="90" spans="1:6" ht="24">
      <c r="A90" s="3118">
        <v>16</v>
      </c>
      <c r="B90" s="3792"/>
      <c r="C90" s="3092" t="s">
        <v>2678</v>
      </c>
      <c r="D90" s="3092" t="s">
        <v>2679</v>
      </c>
      <c r="E90" s="3118">
        <v>0.1</v>
      </c>
      <c r="F90" s="3118">
        <v>15</v>
      </c>
    </row>
    <row r="91" spans="1:6" ht="24">
      <c r="A91" s="3118">
        <v>17</v>
      </c>
      <c r="B91" s="3798"/>
      <c r="C91" s="3092" t="s">
        <v>2680</v>
      </c>
      <c r="D91" s="3092" t="s">
        <v>2681</v>
      </c>
      <c r="E91" s="3118">
        <v>0.1</v>
      </c>
      <c r="F91" s="3118">
        <v>15</v>
      </c>
    </row>
    <row r="92" spans="1:6" ht="13.5">
      <c r="A92" s="3118">
        <v>18</v>
      </c>
      <c r="B92" s="3793" t="s">
        <v>2682</v>
      </c>
      <c r="C92" s="3092" t="s">
        <v>2683</v>
      </c>
      <c r="D92" s="3092" t="s">
        <v>2684</v>
      </c>
      <c r="E92" s="3118">
        <v>0.2</v>
      </c>
      <c r="F92" s="3118">
        <v>25</v>
      </c>
    </row>
    <row r="93" spans="1:6" ht="24">
      <c r="A93" s="3118">
        <v>19</v>
      </c>
      <c r="B93" s="3792"/>
      <c r="C93" s="3092" t="s">
        <v>2685</v>
      </c>
      <c r="D93" s="3092" t="s">
        <v>2686</v>
      </c>
      <c r="E93" s="3118">
        <v>0.2</v>
      </c>
      <c r="F93" s="3118">
        <v>25</v>
      </c>
    </row>
    <row r="94" spans="1:6" ht="13.5">
      <c r="A94" s="3118">
        <v>20</v>
      </c>
      <c r="B94" s="3792"/>
      <c r="C94" s="3092" t="s">
        <v>2687</v>
      </c>
      <c r="D94" s="3092" t="s">
        <v>2688</v>
      </c>
      <c r="E94" s="3118">
        <v>0.15</v>
      </c>
      <c r="F94" s="3118">
        <v>20</v>
      </c>
    </row>
    <row r="95" spans="1:6" ht="13.5">
      <c r="A95" s="3118">
        <v>21</v>
      </c>
      <c r="B95" s="3792"/>
      <c r="C95" s="3092" t="s">
        <v>2689</v>
      </c>
      <c r="D95" s="3092" t="s">
        <v>2690</v>
      </c>
      <c r="E95" s="3118">
        <v>0.15</v>
      </c>
      <c r="F95" s="3118">
        <v>20</v>
      </c>
    </row>
    <row r="96" spans="1:6" ht="13.5">
      <c r="A96" s="3118">
        <v>22</v>
      </c>
      <c r="B96" s="3792"/>
      <c r="C96" s="3092" t="s">
        <v>2691</v>
      </c>
      <c r="D96" s="3092" t="s">
        <v>2692</v>
      </c>
      <c r="E96" s="3118">
        <v>0.15</v>
      </c>
      <c r="F96" s="3118">
        <v>20</v>
      </c>
    </row>
    <row r="97" spans="1:6" ht="36">
      <c r="A97" s="3118">
        <v>23</v>
      </c>
      <c r="B97" s="3792"/>
      <c r="C97" s="3092" t="s">
        <v>2693</v>
      </c>
      <c r="D97" s="3092" t="s">
        <v>2694</v>
      </c>
      <c r="E97" s="3118">
        <v>0.15</v>
      </c>
      <c r="F97" s="3118">
        <v>20</v>
      </c>
    </row>
    <row r="98" spans="1:6" ht="13.5">
      <c r="A98" s="3118">
        <v>24</v>
      </c>
      <c r="B98" s="3792"/>
      <c r="C98" s="3092" t="s">
        <v>2695</v>
      </c>
      <c r="D98" s="3092" t="s">
        <v>2696</v>
      </c>
      <c r="E98" s="3118">
        <v>0.1</v>
      </c>
      <c r="F98" s="3118">
        <v>15</v>
      </c>
    </row>
    <row r="99" spans="1:6" ht="13.5">
      <c r="A99" s="3118">
        <v>25</v>
      </c>
      <c r="B99" s="3792"/>
      <c r="C99" s="3092" t="s">
        <v>2697</v>
      </c>
      <c r="D99" s="3092" t="s">
        <v>2698</v>
      </c>
      <c r="E99" s="3118">
        <v>0.1</v>
      </c>
      <c r="F99" s="3118">
        <v>15</v>
      </c>
    </row>
    <row r="100" spans="1:6" ht="24">
      <c r="A100" s="3118">
        <v>26</v>
      </c>
      <c r="B100" s="3792"/>
      <c r="C100" s="3092" t="s">
        <v>2699</v>
      </c>
      <c r="D100" s="3092" t="s">
        <v>2700</v>
      </c>
      <c r="E100" s="3118">
        <v>0.1</v>
      </c>
      <c r="F100" s="3118">
        <v>15</v>
      </c>
    </row>
    <row r="101" spans="1:6" ht="24">
      <c r="A101" s="3118">
        <v>27</v>
      </c>
      <c r="B101" s="3792"/>
      <c r="C101" s="3092" t="s">
        <v>2701</v>
      </c>
      <c r="D101" s="3092" t="s">
        <v>2702</v>
      </c>
      <c r="E101" s="3118">
        <v>0.1</v>
      </c>
      <c r="F101" s="3118">
        <v>15</v>
      </c>
    </row>
    <row r="102" spans="1:6" ht="13.5">
      <c r="A102" s="3118">
        <v>28</v>
      </c>
      <c r="B102" s="3792"/>
      <c r="C102" s="3092" t="s">
        <v>2703</v>
      </c>
      <c r="D102" s="3092" t="s">
        <v>2704</v>
      </c>
      <c r="E102" s="3118">
        <v>0.1</v>
      </c>
      <c r="F102" s="3118">
        <v>15</v>
      </c>
    </row>
    <row r="103" spans="1:6" ht="13.5">
      <c r="A103" s="3118">
        <v>29</v>
      </c>
      <c r="B103" s="3792"/>
      <c r="C103" s="3092" t="s">
        <v>2705</v>
      </c>
      <c r="D103" s="3092" t="s">
        <v>2706</v>
      </c>
      <c r="E103" s="3118">
        <v>0.1</v>
      </c>
      <c r="F103" s="3118">
        <v>15</v>
      </c>
    </row>
    <row r="104" spans="1:6" ht="13.5">
      <c r="A104" s="3118">
        <v>30</v>
      </c>
      <c r="B104" s="3792"/>
      <c r="C104" s="3092" t="s">
        <v>2707</v>
      </c>
      <c r="D104" s="3092" t="s">
        <v>2708</v>
      </c>
      <c r="E104" s="3118">
        <v>0.1</v>
      </c>
      <c r="F104" s="3118">
        <v>15</v>
      </c>
    </row>
    <row r="105" spans="1:6" ht="24">
      <c r="A105" s="3118">
        <v>31</v>
      </c>
      <c r="B105" s="3792"/>
      <c r="C105" s="3092" t="s">
        <v>2709</v>
      </c>
      <c r="D105" s="3092" t="s">
        <v>2710</v>
      </c>
      <c r="E105" s="3118">
        <v>0.1</v>
      </c>
      <c r="F105" s="3118">
        <v>15</v>
      </c>
    </row>
    <row r="106" spans="1:6" ht="24">
      <c r="A106" s="3118">
        <v>32</v>
      </c>
      <c r="B106" s="3792"/>
      <c r="C106" s="3092" t="s">
        <v>2711</v>
      </c>
      <c r="D106" s="3092" t="s">
        <v>2712</v>
      </c>
      <c r="E106" s="3118">
        <v>0.1</v>
      </c>
      <c r="F106" s="3118">
        <v>15</v>
      </c>
    </row>
    <row r="107" spans="1:6" ht="24">
      <c r="A107" s="3118">
        <v>33</v>
      </c>
      <c r="B107" s="3792"/>
      <c r="C107" s="3092" t="s">
        <v>2713</v>
      </c>
      <c r="D107" s="3092" t="s">
        <v>2714</v>
      </c>
      <c r="E107" s="3118">
        <v>0.1</v>
      </c>
      <c r="F107" s="3118">
        <v>15</v>
      </c>
    </row>
    <row r="108" spans="1:6" ht="24">
      <c r="A108" s="3118">
        <v>34</v>
      </c>
      <c r="B108" s="3798"/>
      <c r="C108" s="3092" t="s">
        <v>2715</v>
      </c>
      <c r="D108" s="3092" t="s">
        <v>2716</v>
      </c>
      <c r="E108" s="3118">
        <v>0.1</v>
      </c>
      <c r="F108" s="3118">
        <v>15</v>
      </c>
    </row>
    <row r="109" spans="1:6" ht="24">
      <c r="A109" s="3118">
        <v>35</v>
      </c>
      <c r="B109" s="3793" t="s">
        <v>2717</v>
      </c>
      <c r="C109" s="3118" t="s">
        <v>2718</v>
      </c>
      <c r="D109" s="3092" t="s">
        <v>2719</v>
      </c>
      <c r="E109" s="3118">
        <v>0.15</v>
      </c>
      <c r="F109" s="3118">
        <v>20</v>
      </c>
    </row>
    <row r="110" spans="1:6" ht="13.5">
      <c r="A110" s="3118">
        <v>36</v>
      </c>
      <c r="B110" s="3792"/>
      <c r="C110" s="3118" t="s">
        <v>2720</v>
      </c>
      <c r="D110" s="3092" t="s">
        <v>2721</v>
      </c>
      <c r="E110" s="3118">
        <v>0.15</v>
      </c>
      <c r="F110" s="3118">
        <v>20</v>
      </c>
    </row>
    <row r="111" spans="1:6" ht="13.5">
      <c r="A111" s="3118">
        <v>37</v>
      </c>
      <c r="B111" s="3792"/>
      <c r="C111" s="3118" t="s">
        <v>2722</v>
      </c>
      <c r="D111" s="3092" t="s">
        <v>2723</v>
      </c>
      <c r="E111" s="3118">
        <v>0.15</v>
      </c>
      <c r="F111" s="3118">
        <v>20</v>
      </c>
    </row>
    <row r="112" spans="1:6" ht="13.5">
      <c r="A112" s="3118">
        <v>38</v>
      </c>
      <c r="B112" s="3792"/>
      <c r="C112" s="3118" t="s">
        <v>2724</v>
      </c>
      <c r="D112" s="3092" t="s">
        <v>2725</v>
      </c>
      <c r="E112" s="3118">
        <v>0.1</v>
      </c>
      <c r="F112" s="3118">
        <v>15</v>
      </c>
    </row>
    <row r="113" spans="1:6" ht="24">
      <c r="A113" s="3118">
        <v>39</v>
      </c>
      <c r="B113" s="3792"/>
      <c r="C113" s="3118" t="s">
        <v>2726</v>
      </c>
      <c r="D113" s="3092" t="s">
        <v>2727</v>
      </c>
      <c r="E113" s="3118">
        <v>0.1</v>
      </c>
      <c r="F113" s="3118">
        <v>15</v>
      </c>
    </row>
    <row r="114" spans="1:6" ht="24">
      <c r="A114" s="3118">
        <v>40</v>
      </c>
      <c r="B114" s="3798"/>
      <c r="C114" s="3118" t="s">
        <v>2728</v>
      </c>
      <c r="D114" s="3092" t="s">
        <v>2729</v>
      </c>
      <c r="E114" s="3118">
        <v>0.1</v>
      </c>
      <c r="F114" s="3118">
        <v>15</v>
      </c>
    </row>
    <row r="115" spans="1:6" ht="13.5">
      <c r="A115" s="3118">
        <v>41</v>
      </c>
      <c r="B115" s="3786" t="s">
        <v>2730</v>
      </c>
      <c r="C115" s="3118" t="s">
        <v>2731</v>
      </c>
      <c r="D115" s="3092" t="s">
        <v>2732</v>
      </c>
      <c r="E115" s="3118">
        <v>0.1</v>
      </c>
      <c r="F115" s="3118">
        <v>15</v>
      </c>
    </row>
    <row r="116" spans="1:6" ht="13.5">
      <c r="A116" s="3118">
        <v>42</v>
      </c>
      <c r="B116" s="3786"/>
      <c r="C116" s="3118" t="s">
        <v>2733</v>
      </c>
      <c r="D116" s="3092" t="s">
        <v>2734</v>
      </c>
      <c r="E116" s="3118">
        <v>0.1</v>
      </c>
      <c r="F116" s="3118">
        <v>15</v>
      </c>
    </row>
    <row r="117" spans="1:6" ht="24">
      <c r="A117" s="3118">
        <v>43</v>
      </c>
      <c r="B117" s="3786"/>
      <c r="C117" s="3118" t="s">
        <v>2735</v>
      </c>
      <c r="D117" s="3092" t="s">
        <v>2736</v>
      </c>
      <c r="E117" s="3118">
        <v>0.1</v>
      </c>
      <c r="F117" s="3118">
        <v>15</v>
      </c>
    </row>
    <row r="118" spans="1:6" ht="13.5">
      <c r="A118" s="3118">
        <v>44</v>
      </c>
      <c r="B118" s="3793" t="s">
        <v>2737</v>
      </c>
      <c r="C118" s="3118" t="s">
        <v>2738</v>
      </c>
      <c r="D118" s="3092" t="s">
        <v>2739</v>
      </c>
      <c r="E118" s="3118">
        <v>0.1</v>
      </c>
      <c r="F118" s="3118">
        <v>15</v>
      </c>
    </row>
    <row r="119" spans="1:6" ht="24">
      <c r="A119" s="3118">
        <v>45</v>
      </c>
      <c r="B119" s="3798"/>
      <c r="C119" s="3092" t="s">
        <v>2740</v>
      </c>
      <c r="D119" s="3092" t="s">
        <v>2741</v>
      </c>
      <c r="E119" s="3118">
        <v>0.1</v>
      </c>
      <c r="F119" s="3118">
        <v>15</v>
      </c>
    </row>
    <row r="120" spans="1:6" ht="24">
      <c r="A120" s="3118">
        <v>46</v>
      </c>
      <c r="B120" s="3793" t="s">
        <v>2742</v>
      </c>
      <c r="C120" s="3118" t="s">
        <v>2743</v>
      </c>
      <c r="D120" s="3092" t="s">
        <v>2744</v>
      </c>
      <c r="E120" s="3118">
        <v>0.1</v>
      </c>
      <c r="F120" s="3118">
        <v>15</v>
      </c>
    </row>
    <row r="121" spans="1:6" ht="24">
      <c r="A121" s="3118">
        <v>47</v>
      </c>
      <c r="B121" s="3798"/>
      <c r="C121" s="3118" t="s">
        <v>2745</v>
      </c>
      <c r="D121" s="3092" t="s">
        <v>2746</v>
      </c>
      <c r="E121" s="3118">
        <v>0.1</v>
      </c>
      <c r="F121" s="3118">
        <v>15</v>
      </c>
    </row>
    <row r="122" spans="1:6" ht="13.5">
      <c r="A122" s="3118">
        <v>48</v>
      </c>
      <c r="B122" s="3793" t="s">
        <v>2747</v>
      </c>
      <c r="C122" s="3118" t="s">
        <v>2748</v>
      </c>
      <c r="D122" s="3092" t="s">
        <v>2749</v>
      </c>
      <c r="E122" s="3118">
        <v>0.1</v>
      </c>
      <c r="F122" s="3118">
        <v>15</v>
      </c>
    </row>
    <row r="123" spans="1:6" ht="13.5">
      <c r="A123" s="3118">
        <v>49</v>
      </c>
      <c r="B123" s="3798"/>
      <c r="C123" s="3118" t="s">
        <v>2750</v>
      </c>
      <c r="D123" s="3092" t="s">
        <v>2751</v>
      </c>
      <c r="E123" s="3118">
        <v>0.1</v>
      </c>
      <c r="F123" s="3118">
        <v>15</v>
      </c>
    </row>
    <row r="124" spans="1:6" ht="24">
      <c r="A124" s="3118">
        <v>50</v>
      </c>
      <c r="B124" s="3786" t="s">
        <v>2752</v>
      </c>
      <c r="C124" s="3118" t="s">
        <v>2753</v>
      </c>
      <c r="D124" s="3092" t="s">
        <v>2754</v>
      </c>
      <c r="E124" s="3118">
        <v>0.1</v>
      </c>
      <c r="F124" s="3118">
        <v>15</v>
      </c>
    </row>
    <row r="125" spans="1:6" ht="24">
      <c r="A125" s="3118">
        <v>51</v>
      </c>
      <c r="B125" s="3786"/>
      <c r="C125" s="3118" t="s">
        <v>2755</v>
      </c>
      <c r="D125" s="3092" t="s">
        <v>2756</v>
      </c>
      <c r="E125" s="3118">
        <v>0.1</v>
      </c>
      <c r="F125" s="3118">
        <v>15</v>
      </c>
    </row>
    <row r="126" spans="1:6" ht="24">
      <c r="A126" s="3118">
        <v>52</v>
      </c>
      <c r="B126" s="3786" t="s">
        <v>2757</v>
      </c>
      <c r="C126" s="3118" t="s">
        <v>2758</v>
      </c>
      <c r="D126" s="3092" t="s">
        <v>2759</v>
      </c>
      <c r="E126" s="3118">
        <v>0.1</v>
      </c>
      <c r="F126" s="3118">
        <v>15</v>
      </c>
    </row>
    <row r="127" spans="1:6" ht="24">
      <c r="A127" s="3118">
        <v>53</v>
      </c>
      <c r="B127" s="3786"/>
      <c r="C127" s="3118" t="s">
        <v>2760</v>
      </c>
      <c r="D127" s="3092" t="s">
        <v>2761</v>
      </c>
      <c r="E127" s="3118">
        <v>0.1</v>
      </c>
      <c r="F127" s="3118">
        <v>15</v>
      </c>
    </row>
    <row r="128" spans="1:6" ht="13.5">
      <c r="A128" s="3118">
        <v>54</v>
      </c>
      <c r="B128" s="3118" t="s">
        <v>2762</v>
      </c>
      <c r="C128" s="3118" t="s">
        <v>2763</v>
      </c>
      <c r="D128" s="3092" t="s">
        <v>2764</v>
      </c>
      <c r="E128" s="3118">
        <v>0.1</v>
      </c>
      <c r="F128" s="3118">
        <v>15</v>
      </c>
    </row>
    <row r="129" spans="1:6" ht="13.5">
      <c r="A129" s="3118">
        <v>55</v>
      </c>
      <c r="B129" s="3786" t="s">
        <v>2765</v>
      </c>
      <c r="C129" s="3118" t="s">
        <v>2766</v>
      </c>
      <c r="D129" s="3092" t="s">
        <v>2767</v>
      </c>
      <c r="E129" s="3118">
        <v>0.1</v>
      </c>
      <c r="F129" s="3118">
        <v>15</v>
      </c>
    </row>
    <row r="130" spans="1:6" ht="13.5">
      <c r="A130" s="3118">
        <v>56</v>
      </c>
      <c r="B130" s="3786"/>
      <c r="C130" s="3118" t="s">
        <v>2768</v>
      </c>
      <c r="D130" s="3092" t="s">
        <v>2769</v>
      </c>
      <c r="E130" s="3118">
        <v>0.1</v>
      </c>
      <c r="F130" s="3118">
        <v>15</v>
      </c>
    </row>
    <row r="131" spans="1:6" ht="24">
      <c r="A131" s="3118">
        <v>57</v>
      </c>
      <c r="B131" s="3786"/>
      <c r="C131" s="3118" t="s">
        <v>2770</v>
      </c>
      <c r="D131" s="3092" t="s">
        <v>2771</v>
      </c>
      <c r="E131" s="3118">
        <v>0.1</v>
      </c>
      <c r="F131" s="3118">
        <v>15</v>
      </c>
    </row>
    <row r="132" spans="1:6" ht="24">
      <c r="A132" s="3118">
        <v>58</v>
      </c>
      <c r="B132" s="3786" t="s">
        <v>2772</v>
      </c>
      <c r="C132" s="3118" t="s">
        <v>2773</v>
      </c>
      <c r="D132" s="3092" t="s">
        <v>2774</v>
      </c>
      <c r="E132" s="3118">
        <v>0.1</v>
      </c>
      <c r="F132" s="3118">
        <v>15</v>
      </c>
    </row>
    <row r="133" spans="1:6" ht="13.5">
      <c r="A133" s="3118">
        <v>59</v>
      </c>
      <c r="B133" s="3786"/>
      <c r="C133" s="3118" t="s">
        <v>2775</v>
      </c>
      <c r="D133" s="3092" t="s">
        <v>2776</v>
      </c>
      <c r="E133" s="3118">
        <v>0.1</v>
      </c>
      <c r="F133" s="3118">
        <v>15</v>
      </c>
    </row>
    <row r="134" spans="1:6" ht="13.5">
      <c r="A134" s="3118">
        <v>60</v>
      </c>
      <c r="B134" s="3793" t="s">
        <v>2777</v>
      </c>
      <c r="C134" s="3118" t="s">
        <v>2778</v>
      </c>
      <c r="D134" s="3092" t="s">
        <v>2779</v>
      </c>
      <c r="E134" s="3118">
        <v>0.1</v>
      </c>
      <c r="F134" s="3118">
        <v>15</v>
      </c>
    </row>
    <row r="135" spans="1:6" ht="13.5">
      <c r="A135" s="3118">
        <v>61</v>
      </c>
      <c r="B135" s="3798"/>
      <c r="C135" s="3118" t="s">
        <v>2780</v>
      </c>
      <c r="D135" s="3092" t="s">
        <v>2781</v>
      </c>
      <c r="E135" s="3118">
        <v>0.1</v>
      </c>
      <c r="F135" s="3118">
        <v>15</v>
      </c>
    </row>
    <row r="136" spans="1:6" ht="24">
      <c r="A136" s="3118">
        <v>62</v>
      </c>
      <c r="B136" s="3118" t="s">
        <v>2782</v>
      </c>
      <c r="C136" s="3118" t="s">
        <v>2783</v>
      </c>
      <c r="D136" s="3092" t="s">
        <v>2784</v>
      </c>
      <c r="E136" s="3118">
        <v>0.1</v>
      </c>
      <c r="F136" s="3118">
        <v>15</v>
      </c>
    </row>
    <row r="137" spans="1:6" ht="13.5">
      <c r="A137" s="3118">
        <v>63</v>
      </c>
      <c r="B137" s="3786" t="s">
        <v>2785</v>
      </c>
      <c r="C137" s="3118" t="s">
        <v>2786</v>
      </c>
      <c r="D137" s="3092" t="s">
        <v>2787</v>
      </c>
      <c r="E137" s="3118">
        <v>0.1</v>
      </c>
      <c r="F137" s="3118">
        <v>15</v>
      </c>
    </row>
    <row r="138" spans="1:6" ht="13.5">
      <c r="A138" s="3118">
        <v>64</v>
      </c>
      <c r="B138" s="3786"/>
      <c r="C138" s="3118" t="s">
        <v>2788</v>
      </c>
      <c r="D138" s="3092" t="s">
        <v>2789</v>
      </c>
      <c r="E138" s="3118">
        <v>0.1</v>
      </c>
      <c r="F138" s="3118">
        <v>15</v>
      </c>
    </row>
    <row r="139" spans="1:6" ht="13.5">
      <c r="A139" s="3118">
        <v>65</v>
      </c>
      <c r="B139" s="3118" t="s">
        <v>2790</v>
      </c>
      <c r="C139" s="3118" t="s">
        <v>2791</v>
      </c>
      <c r="D139" s="3092" t="s">
        <v>2792</v>
      </c>
      <c r="E139" s="3118">
        <v>0.1</v>
      </c>
      <c r="F139" s="3118">
        <v>15</v>
      </c>
    </row>
    <row r="140" spans="1:6" ht="13.5">
      <c r="A140" s="3118"/>
      <c r="B140" s="3118"/>
      <c r="C140" s="3118"/>
      <c r="D140" s="3118"/>
      <c r="E140" s="3118" t="s">
        <v>2793</v>
      </c>
      <c r="F140" s="3118"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0</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0</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26982</v>
      </c>
      <c r="C2" s="2" t="s">
        <v>106</v>
      </c>
      <c r="D2" s="199"/>
      <c r="E2" s="199"/>
      <c r="F2" s="199"/>
      <c r="G2" s="199"/>
    </row>
    <row r="3" spans="1:7" s="200" customFormat="1" ht="18" customHeight="1" thickBot="1">
      <c r="A3" s="203" t="s">
        <v>58</v>
      </c>
      <c r="B3" s="204">
        <f ca="1">ROUND(B2*10000/'数据-汇总表'!E3,0)</f>
        <v>1810994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148.99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148.99</v>
      </c>
      <c r="E19" s="211">
        <f>'数据-取费表'!B31</f>
        <v>200</v>
      </c>
      <c r="F19" s="231"/>
      <c r="G19" s="1" t="s">
        <v>436</v>
      </c>
    </row>
    <row r="20" spans="1:7" s="214" customFormat="1" ht="13.5" customHeight="1">
      <c r="A20" s="777" t="s">
        <v>419</v>
      </c>
      <c r="B20" s="210" t="s">
        <v>77</v>
      </c>
      <c r="C20" s="232">
        <f>ROUND((C5+C19)*F20,0)</f>
        <v>600</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1291</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1272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3090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3090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0.05</v>
      </c>
      <c r="D30" s="236" t="s">
        <v>100</v>
      </c>
      <c r="E30" s="241"/>
      <c r="F30" s="237">
        <f>'数据-取费表'!B41</f>
        <v>0.05</v>
      </c>
      <c r="G30" s="234" t="s">
        <v>86</v>
      </c>
    </row>
    <row r="31" spans="1:7" ht="16.5" customHeight="1">
      <c r="A31" s="209">
        <v>1</v>
      </c>
      <c r="B31" s="210" t="s">
        <v>101</v>
      </c>
      <c r="C31" s="211">
        <f ca="1">ROUND((C5+C19+C20+C22+C27)/(1-C21-D22-D27-C30/(1+'数据-取费表'!B42)),0)</f>
        <v>26900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148.99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13</v>
      </c>
      <c r="D45" s="235">
        <f>C47</f>
        <v>3.0000000000000001E-3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0.05</v>
      </c>
      <c r="D48" s="236" t="s">
        <v>103</v>
      </c>
      <c r="E48" s="232"/>
      <c r="F48" s="237"/>
      <c r="G48" s="234" t="s">
        <v>96</v>
      </c>
    </row>
    <row r="49" spans="1:7" ht="16.5" customHeight="1">
      <c r="A49" s="777" t="s">
        <v>343</v>
      </c>
      <c r="B49" s="210" t="s">
        <v>104</v>
      </c>
      <c r="C49" s="232">
        <f ca="1">ROUND((C33+C39+C41+C45)/(1-C40-D41-D45-C48/(1+'数据-取费表'!B42)),0)</f>
        <v>108</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82</v>
      </c>
      <c r="D51" s="232"/>
      <c r="E51" s="232"/>
      <c r="F51" s="264"/>
      <c r="G51" s="234" t="s">
        <v>37</v>
      </c>
    </row>
    <row r="52" spans="1:7" s="208" customFormat="1" ht="16.5" thickBot="1">
      <c r="A52" s="265" t="s">
        <v>38</v>
      </c>
      <c r="B52" s="266"/>
      <c r="C52" s="267">
        <f ca="1">C31+C51</f>
        <v>26982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3177</v>
      </c>
      <c r="B1" s="3799"/>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3228</v>
      </c>
      <c r="B1" s="3800"/>
      <c r="C1" s="3800"/>
      <c r="D1" s="3800"/>
      <c r="E1" s="3800"/>
      <c r="F1" s="3801"/>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45909</v>
      </c>
      <c r="B1" s="3210" t="s">
        <v>3372</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c r="AF2" t="s">
        <v>3399</v>
      </c>
      <c r="AG2" t="s">
        <v>673</v>
      </c>
      <c r="AH2" t="s">
        <v>21</v>
      </c>
      <c r="AI2" t="s">
        <v>3400</v>
      </c>
      <c r="AJ2" t="s">
        <v>3</v>
      </c>
      <c r="AK2" t="s">
        <v>3401</v>
      </c>
      <c r="AM2" t="s">
        <v>3399</v>
      </c>
      <c r="AN2" t="s">
        <v>673</v>
      </c>
      <c r="AO2" t="s">
        <v>21</v>
      </c>
      <c r="AP2" t="s">
        <v>3400</v>
      </c>
      <c r="AQ2" t="s">
        <v>3</v>
      </c>
      <c r="AR2" t="s">
        <v>3401</v>
      </c>
    </row>
    <row r="3" spans="1:44" s="3161" customFormat="1" ht="12.75">
      <c r="A3" s="3149" t="s">
        <v>2815</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3398</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3397</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3396</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3404</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3403</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3376</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3370</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3369</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3365</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3364</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3362</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3361</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3360</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3358</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3349</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2816</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2817</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2818</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2819</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2820</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3375</v>
      </c>
    </row>
    <row r="27" spans="1:44" s="3009" customFormat="1">
      <c r="I27" s="3208" t="s">
        <v>2821</v>
      </c>
    </row>
    <row r="28" spans="1:44" s="3009" customFormat="1"/>
    <row r="29" spans="1:44" s="3209" customFormat="1" ht="12.75">
      <c r="B29" s="3210" t="s">
        <v>3373</v>
      </c>
      <c r="C29" s="3211"/>
      <c r="D29" s="3211"/>
      <c r="E29" s="3211"/>
      <c r="F29" s="3211"/>
      <c r="G29" s="3211"/>
      <c r="H29" s="3211"/>
      <c r="I29" s="3211"/>
      <c r="J29" s="3165"/>
      <c r="K29" s="3211" t="s">
        <v>2822</v>
      </c>
      <c r="L29" s="3211"/>
      <c r="M29" s="3211"/>
      <c r="N29" s="3211"/>
      <c r="O29" s="3211"/>
      <c r="P29" s="3211"/>
      <c r="Q29" s="3165"/>
      <c r="R29" s="3802" t="s">
        <v>2823</v>
      </c>
      <c r="S29" s="3803"/>
      <c r="T29" s="3803"/>
      <c r="U29" s="3803"/>
      <c r="V29" s="3803"/>
      <c r="W29" s="3803"/>
      <c r="X29" s="3165"/>
      <c r="Y29" s="3802" t="s">
        <v>2824</v>
      </c>
      <c r="Z29" s="3803"/>
      <c r="AA29" s="3803"/>
      <c r="AB29" s="3803"/>
      <c r="AC29" s="3803"/>
      <c r="AD29" s="3803"/>
    </row>
    <row r="30" spans="1:44" s="3143" customFormat="1" ht="14.25" thickBot="1">
      <c r="B30" s="3144"/>
      <c r="C30" s="3145"/>
      <c r="D30" s="3146" t="s">
        <v>2825</v>
      </c>
      <c r="E30" s="3147" t="s">
        <v>2826</v>
      </c>
      <c r="F30" s="3147" t="s">
        <v>2827</v>
      </c>
      <c r="G30" s="3147" t="s">
        <v>2828</v>
      </c>
      <c r="H30" s="3147"/>
      <c r="I30" s="3147" t="s">
        <v>2829</v>
      </c>
      <c r="J30" s="3148"/>
      <c r="K30" s="3146" t="s">
        <v>2825</v>
      </c>
      <c r="L30" s="3147" t="s">
        <v>2826</v>
      </c>
      <c r="M30" s="3147" t="s">
        <v>2827</v>
      </c>
      <c r="N30" s="3147" t="s">
        <v>2828</v>
      </c>
      <c r="O30" s="3147"/>
      <c r="P30" s="3147" t="s">
        <v>2829</v>
      </c>
      <c r="Q30" s="3148"/>
      <c r="R30" s="3146" t="s">
        <v>2825</v>
      </c>
      <c r="S30" s="3147" t="s">
        <v>2826</v>
      </c>
      <c r="T30" s="3147" t="s">
        <v>2827</v>
      </c>
      <c r="U30" s="3147" t="s">
        <v>2828</v>
      </c>
      <c r="V30" s="3147"/>
      <c r="W30" s="3147" t="s">
        <v>2829</v>
      </c>
      <c r="X30" s="3148"/>
      <c r="Y30" s="3146" t="s">
        <v>2825</v>
      </c>
      <c r="Z30" s="3147" t="s">
        <v>2826</v>
      </c>
      <c r="AA30" s="3147" t="s">
        <v>2827</v>
      </c>
      <c r="AB30" s="3147" t="s">
        <v>2828</v>
      </c>
      <c r="AC30" s="3147"/>
      <c r="AD30" s="3147" t="s">
        <v>2829</v>
      </c>
      <c r="AG30" t="s">
        <v>673</v>
      </c>
      <c r="AH30" t="s">
        <v>21</v>
      </c>
      <c r="AI30" t="s">
        <v>3400</v>
      </c>
      <c r="AJ30"/>
      <c r="AK30" t="s">
        <v>3401</v>
      </c>
      <c r="AN30" t="s">
        <v>673</v>
      </c>
      <c r="AO30" t="s">
        <v>21</v>
      </c>
      <c r="AP30" t="s">
        <v>3400</v>
      </c>
      <c r="AQ30"/>
      <c r="AR30" t="s">
        <v>3401</v>
      </c>
    </row>
    <row r="31" spans="1:44" s="3161" customFormat="1" ht="12.75">
      <c r="A31" s="3149" t="s">
        <v>2830</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3398</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3397</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3405</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3402</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3403</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3367</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3371</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3368</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3366</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3364</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3363</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3361</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3360</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3359</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3349</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2831</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2832</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2833</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2834</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2820</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3374</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2835</v>
      </c>
      <c r="B1" s="3817"/>
      <c r="C1" s="3817"/>
      <c r="D1" s="3817"/>
      <c r="E1" s="3817"/>
      <c r="F1" s="3817"/>
      <c r="G1" s="3818"/>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815"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816"/>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45909</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2305</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148.99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2025-09-10T04:28:36Z</dcterms:modified>
</cp:coreProperties>
</file>