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自持酒店" sheetId="81" r:id="rId23"/>
    <sheet name="收益法-自持商业" sheetId="80" r:id="rId24"/>
    <sheet name="收益法-可售商业" sheetId="79"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2" sheetId="78"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47" hidden="1">土地案例!$A$1:$WXC$51</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'收益法-车库'!$A$1:$F$43,'收益法-车库'!$H$3:$M$29,'收益法-车库'!$A$46:$F$71,'收益法-车库'!$I$46:$N$65</definedName>
    <definedName name="_xlnm.Print_Area" localSheetId="24">'收益法-可售商业'!$A$1:$F$43,'收益法-可售商业'!$H$3:$M$29,'收益法-可售商业'!$A$46:$F$71,'收益法-可售商业'!$I$46:$N$65</definedName>
    <definedName name="_xlnm.Print_Area" localSheetId="22">'收益法-自持酒店'!$A$1:$F$43,'收益法-自持酒店'!$H$3:$M$29,'收益法-自持酒店'!$A$46:$F$71,'收益法-自持酒店'!$I$46:$N$65</definedName>
    <definedName name="_xlnm.Print_Area" localSheetId="23">'收益法-自持商业'!$A$1:$F$43,'收益法-自持商业'!$H$3:$M$29,'收益法-自持商业'!$A$46:$F$71,'收益法-自持商业'!$I$46:$N$65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8" i="12" l="1"/>
  <c r="G41" i="43"/>
  <c r="D39" i="43"/>
  <c r="D34" i="43"/>
  <c r="D33" i="43"/>
  <c r="D29" i="43"/>
  <c r="G37" i="6"/>
  <c r="L20" i="1" l="1"/>
  <c r="AE19" i="1" l="1"/>
  <c r="C8" i="12"/>
  <c r="AT18" i="3"/>
  <c r="I13" i="3"/>
  <c r="B21" i="3" l="1"/>
  <c r="E105" i="34"/>
  <c r="F105" i="34" s="1"/>
  <c r="G105" i="34" s="1"/>
  <c r="H105" i="34" s="1"/>
  <c r="E104" i="34"/>
  <c r="F104" i="34" s="1"/>
  <c r="G104" i="34" s="1"/>
  <c r="H104" i="34" s="1"/>
  <c r="D105" i="34"/>
  <c r="D104" i="34"/>
  <c r="U21" i="1"/>
  <c r="U9" i="1" s="1"/>
  <c r="U22" i="1"/>
  <c r="U8" i="1" s="1"/>
  <c r="U7" i="1"/>
  <c r="Q72" i="81" l="1"/>
  <c r="Q59" i="81"/>
  <c r="K59" i="81"/>
  <c r="P74" i="81" s="1"/>
  <c r="F59" i="81"/>
  <c r="Q58" i="81"/>
  <c r="Q51" i="81"/>
  <c r="J50" i="81"/>
  <c r="J51" i="81" s="1"/>
  <c r="M47" i="81"/>
  <c r="D46" i="81"/>
  <c r="F33" i="81"/>
  <c r="F61" i="81" s="1"/>
  <c r="F32" i="81"/>
  <c r="F60" i="81" s="1"/>
  <c r="F31" i="81"/>
  <c r="F28" i="81"/>
  <c r="C28" i="81" s="1"/>
  <c r="F23" i="81"/>
  <c r="D23" i="81" s="1"/>
  <c r="F21" i="81"/>
  <c r="F20" i="81"/>
  <c r="M19" i="81"/>
  <c r="M18" i="81"/>
  <c r="F18" i="81"/>
  <c r="M17" i="81"/>
  <c r="F17" i="81"/>
  <c r="F15" i="81"/>
  <c r="G1" i="81"/>
  <c r="Q72" i="80"/>
  <c r="F60" i="80"/>
  <c r="Q59" i="80"/>
  <c r="K59" i="80"/>
  <c r="P74" i="80" s="1"/>
  <c r="F59" i="80"/>
  <c r="Q58" i="80"/>
  <c r="Q51" i="80"/>
  <c r="J50" i="80"/>
  <c r="J51" i="80" s="1"/>
  <c r="M47" i="80"/>
  <c r="D46" i="80"/>
  <c r="F33" i="80"/>
  <c r="F61" i="80" s="1"/>
  <c r="F32" i="80"/>
  <c r="F31" i="80"/>
  <c r="F28" i="80"/>
  <c r="C28" i="80" s="1"/>
  <c r="F23" i="80"/>
  <c r="F21" i="80"/>
  <c r="F20" i="80"/>
  <c r="M19" i="80"/>
  <c r="M18" i="80"/>
  <c r="F18" i="80"/>
  <c r="M17" i="80"/>
  <c r="F17" i="80"/>
  <c r="F15" i="80"/>
  <c r="G1" i="80"/>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G1" i="79"/>
  <c r="N10" i="1"/>
  <c r="N9" i="1"/>
  <c r="N8" i="1"/>
  <c r="N7" i="1"/>
  <c r="L14" i="1"/>
  <c r="L10" i="1"/>
  <c r="L9" i="1"/>
  <c r="L8" i="1"/>
  <c r="L7" i="1"/>
  <c r="F26" i="80"/>
  <c r="F6" i="80"/>
  <c r="F16" i="80"/>
  <c r="M23" i="80"/>
  <c r="M9" i="80"/>
  <c r="D24" i="81" l="1"/>
  <c r="P61" i="81"/>
  <c r="D22" i="81"/>
  <c r="C27" i="80"/>
  <c r="D23" i="80"/>
  <c r="D22" i="80"/>
  <c r="D24" i="80"/>
  <c r="P61" i="80"/>
  <c r="D24" i="79"/>
  <c r="P61" i="79"/>
  <c r="D22" i="79"/>
  <c r="D3" i="4"/>
  <c r="D85" i="39"/>
  <c r="E85" i="39" s="1"/>
  <c r="F85" i="39" s="1"/>
  <c r="G85" i="39" s="1"/>
  <c r="H85" i="39" s="1"/>
  <c r="I85" i="39" s="1"/>
  <c r="J85" i="39" s="1"/>
  <c r="K85" i="39" s="1"/>
  <c r="L85" i="39" s="1"/>
  <c r="E83" i="39"/>
  <c r="F83" i="39" s="1"/>
  <c r="G83" i="39" s="1"/>
  <c r="H83" i="39" s="1"/>
  <c r="I83" i="39" s="1"/>
  <c r="J83" i="39" s="1"/>
  <c r="K83" i="39" s="1"/>
  <c r="L83" i="39" s="1"/>
  <c r="D83" i="39"/>
  <c r="F80" i="39"/>
  <c r="G80" i="39"/>
  <c r="H80" i="39" s="1"/>
  <c r="I80" i="39" s="1"/>
  <c r="J80" i="39" s="1"/>
  <c r="K80" i="39" s="1"/>
  <c r="L80" i="39" s="1"/>
  <c r="M80" i="39" s="1"/>
  <c r="E80" i="39"/>
  <c r="G5" i="39"/>
  <c r="E71" i="39"/>
  <c r="F71" i="39"/>
  <c r="G71" i="39" s="1"/>
  <c r="H71" i="39" s="1"/>
  <c r="I71" i="39" s="1"/>
  <c r="J71" i="39" s="1"/>
  <c r="K71" i="39" s="1"/>
  <c r="L71" i="39" s="1"/>
  <c r="M71" i="39" s="1"/>
  <c r="N71" i="39" s="1"/>
  <c r="O71" i="39" s="1"/>
  <c r="D71" i="39"/>
  <c r="I46" i="39"/>
  <c r="G46" i="39"/>
  <c r="E46" i="39"/>
  <c r="N17" i="3"/>
  <c r="G23" i="6"/>
  <c r="G22" i="6"/>
  <c r="F22" i="6"/>
  <c r="F21" i="6"/>
  <c r="F20" i="6"/>
  <c r="U17" i="3"/>
  <c r="C76" i="81"/>
  <c r="M8" i="81"/>
  <c r="F38" i="81"/>
  <c r="F42" i="80"/>
  <c r="L48" i="80"/>
  <c r="F36" i="80"/>
  <c r="F38" i="79"/>
  <c r="F40" i="79"/>
  <c r="F6" i="79"/>
  <c r="J15" i="81"/>
  <c r="F16" i="81"/>
  <c r="F6" i="81"/>
  <c r="M8" i="80"/>
  <c r="M26" i="80"/>
  <c r="F36" i="79"/>
  <c r="M24" i="79"/>
  <c r="L48" i="81"/>
  <c r="M22" i="80"/>
  <c r="L47" i="79"/>
  <c r="F8" i="79"/>
  <c r="F26" i="81"/>
  <c r="L47" i="80"/>
  <c r="C76" i="79"/>
  <c r="F37" i="79"/>
  <c r="M22" i="81"/>
  <c r="F40" i="81"/>
  <c r="F13" i="81"/>
  <c r="J15" i="80"/>
  <c r="F8" i="80"/>
  <c r="M28" i="79"/>
  <c r="M8" i="79"/>
  <c r="F26" i="79"/>
  <c r="M28" i="81"/>
  <c r="M9" i="81"/>
  <c r="M26" i="81"/>
  <c r="M28" i="80"/>
  <c r="M24" i="80"/>
  <c r="F42" i="79"/>
  <c r="J15" i="79"/>
  <c r="F16" i="79"/>
  <c r="F37" i="81"/>
  <c r="F8" i="81"/>
  <c r="C76" i="80"/>
  <c r="F38" i="80"/>
  <c r="F13" i="80"/>
  <c r="F9" i="79"/>
  <c r="L48" i="79"/>
  <c r="M6" i="79"/>
  <c r="F9" i="81"/>
  <c r="M24" i="81"/>
  <c r="M6" i="81"/>
  <c r="F9" i="80"/>
  <c r="M6" i="80"/>
  <c r="M22" i="79"/>
  <c r="M9" i="79"/>
  <c r="F13" i="79"/>
  <c r="F42" i="81"/>
  <c r="M23" i="81"/>
  <c r="F40" i="80"/>
  <c r="M23" i="79"/>
  <c r="L47" i="81"/>
  <c r="F36" i="81"/>
  <c r="F37" i="80"/>
  <c r="M26" i="79"/>
  <c r="F64" i="81" l="1"/>
  <c r="F66" i="81"/>
  <c r="F51" i="81"/>
  <c r="F68" i="81"/>
  <c r="L57" i="81"/>
  <c r="L56" i="81"/>
  <c r="J60" i="81"/>
  <c r="Q48" i="81" s="1"/>
  <c r="J57" i="81"/>
  <c r="J55" i="81" s="1"/>
  <c r="J58" i="81" s="1"/>
  <c r="Q50" i="81" s="1"/>
  <c r="I54" i="81"/>
  <c r="L60" i="81"/>
  <c r="J59" i="81"/>
  <c r="C27" i="81"/>
  <c r="F65" i="81"/>
  <c r="N59" i="81"/>
  <c r="L58" i="81"/>
  <c r="Q71" i="81"/>
  <c r="F64" i="80"/>
  <c r="F51" i="80"/>
  <c r="F68" i="80"/>
  <c r="L57" i="80"/>
  <c r="L56" i="80"/>
  <c r="J59" i="80"/>
  <c r="I54" i="80"/>
  <c r="J57" i="80"/>
  <c r="J55" i="80" s="1"/>
  <c r="J58" i="80" s="1"/>
  <c r="Q50" i="80" s="1"/>
  <c r="J60" i="80"/>
  <c r="Q48" i="80" s="1"/>
  <c r="L60" i="80"/>
  <c r="F65" i="80"/>
  <c r="F66" i="80"/>
  <c r="N59" i="80"/>
  <c r="L58" i="80"/>
  <c r="Q71" i="80"/>
  <c r="C27" i="79"/>
  <c r="F65" i="79"/>
  <c r="F51" i="79"/>
  <c r="F68" i="79"/>
  <c r="L57" i="79"/>
  <c r="L56" i="79"/>
  <c r="J60" i="79"/>
  <c r="Q48" i="79" s="1"/>
  <c r="J57" i="79"/>
  <c r="J55" i="79" s="1"/>
  <c r="J58" i="79" s="1"/>
  <c r="Q50" i="79" s="1"/>
  <c r="I54" i="79"/>
  <c r="L60" i="79"/>
  <c r="J59" i="79"/>
  <c r="F64" i="79"/>
  <c r="F66" i="79"/>
  <c r="N59" i="79"/>
  <c r="L58" i="79"/>
  <c r="Q71" i="79"/>
  <c r="N14" i="1"/>
  <c r="E118" i="39"/>
  <c r="F118" i="39" s="1"/>
  <c r="G118" i="39" s="1"/>
  <c r="E117" i="39"/>
  <c r="F117" i="39" s="1"/>
  <c r="G117" i="39" s="1"/>
  <c r="D118" i="39"/>
  <c r="D117" i="39"/>
  <c r="I38" i="39"/>
  <c r="G38" i="39"/>
  <c r="E38" i="39"/>
  <c r="C38" i="39"/>
  <c r="I7" i="39"/>
  <c r="G7" i="39"/>
  <c r="E7" i="39"/>
  <c r="I5" i="39"/>
  <c r="E5" i="39"/>
  <c r="Q66" i="81" l="1"/>
  <c r="Q57" i="81"/>
  <c r="Q60" i="81"/>
  <c r="Q73" i="81"/>
  <c r="L46" i="81"/>
  <c r="Q60" i="80"/>
  <c r="Q73" i="80"/>
  <c r="Q66" i="80"/>
  <c r="Q57" i="80"/>
  <c r="L46" i="80"/>
  <c r="Q66" i="79"/>
  <c r="Q57" i="79"/>
  <c r="Q60" i="79"/>
  <c r="Q73" i="79"/>
  <c r="L46" i="79"/>
  <c r="F19" i="6"/>
  <c r="Q18" i="3"/>
  <c r="AN18" i="3"/>
  <c r="O18" i="3"/>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4"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c r="K66" i="43"/>
  <c r="J66" i="43"/>
  <c r="D66" i="43" s="1"/>
  <c r="M65" i="43"/>
  <c r="N65" i="43" s="1"/>
  <c r="K65" i="43"/>
  <c r="D65" i="43" s="1"/>
  <c r="M64" i="43"/>
  <c r="N64" i="43"/>
  <c r="K64" i="43"/>
  <c r="J64" i="43"/>
  <c r="M63" i="43"/>
  <c r="N63" i="43" s="1"/>
  <c r="K63" i="43"/>
  <c r="J63" i="43" s="1"/>
  <c r="M62" i="43"/>
  <c r="N62" i="43"/>
  <c r="K62" i="43"/>
  <c r="J62" i="43"/>
  <c r="M61" i="43"/>
  <c r="N61" i="43" s="1"/>
  <c r="K61" i="43"/>
  <c r="D61" i="43" s="1"/>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s="1"/>
  <c r="D109" i="39"/>
  <c r="D107" i="39"/>
  <c r="E107" i="39"/>
  <c r="D105" i="39"/>
  <c r="E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H35" i="39"/>
  <c r="AB35" i="39" s="1"/>
  <c r="B104" i="39"/>
  <c r="D97" i="39"/>
  <c r="J23" i="39"/>
  <c r="AC23" i="39" s="1"/>
  <c r="D95" i="39"/>
  <c r="E95" i="39" s="1"/>
  <c r="D93" i="39"/>
  <c r="E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c r="J40" i="39"/>
  <c r="AC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c r="F86" i="34" s="1"/>
  <c r="G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AA36" i="34" s="1"/>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E109" i="39"/>
  <c r="H31" i="39"/>
  <c r="AB31" i="39" s="1"/>
  <c r="F31" i="39"/>
  <c r="AA31" i="39" s="1"/>
  <c r="E101" i="39"/>
  <c r="J23" i="40"/>
  <c r="AC23" i="40"/>
  <c r="F21" i="40"/>
  <c r="AA21" i="40"/>
  <c r="J21" i="40"/>
  <c r="W21" i="40"/>
  <c r="H42" i="39"/>
  <c r="AB42" i="39" s="1"/>
  <c r="F109" i="39"/>
  <c r="G109" i="39" s="1"/>
  <c r="H109" i="39" s="1"/>
  <c r="I109" i="39" s="1"/>
  <c r="J109" i="39" s="1"/>
  <c r="K109" i="39" s="1"/>
  <c r="L109" i="39" s="1"/>
  <c r="M109" i="39" s="1"/>
  <c r="F101" i="39"/>
  <c r="H27" i="39"/>
  <c r="U27" i="39" s="1"/>
  <c r="J27" i="39"/>
  <c r="AC27" i="39" s="1"/>
  <c r="F27" i="39"/>
  <c r="S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H23" i="34"/>
  <c r="U23" i="34" s="1"/>
  <c r="J23" i="34"/>
  <c r="H17" i="34"/>
  <c r="U17"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s="1"/>
  <c r="J25" i="39"/>
  <c r="AC25" i="39" s="1"/>
  <c r="F25" i="39"/>
  <c r="AA25" i="39" s="1"/>
  <c r="F15" i="39"/>
  <c r="AA15" i="39" s="1"/>
  <c r="H15" i="39"/>
  <c r="U15" i="39" s="1"/>
  <c r="J15" i="39"/>
  <c r="W15" i="39" s="1"/>
  <c r="H41" i="39"/>
  <c r="U41" i="39" s="1"/>
  <c r="W14" i="39"/>
  <c r="W8" i="39"/>
  <c r="J19" i="40"/>
  <c r="AC19" i="40"/>
  <c r="J50" i="40"/>
  <c r="H103" i="9"/>
  <c r="D8" i="53" s="1"/>
  <c r="B16" i="53"/>
  <c r="B33" i="72" s="1"/>
  <c r="C7" i="37"/>
  <c r="C7" i="34"/>
  <c r="C7" i="36"/>
  <c r="W35" i="40"/>
  <c r="A118" i="9"/>
  <c r="A4" i="52"/>
  <c r="B41" i="72"/>
  <c r="A12" i="52"/>
  <c r="B56" i="72"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D93" i="9"/>
  <c r="K6" i="1"/>
  <c r="M6" i="1" s="1"/>
  <c r="O6" i="1" s="1"/>
  <c r="P6"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R13"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7" i="39"/>
  <c r="G107" i="39"/>
  <c r="U31" i="39"/>
  <c r="S25" i="39"/>
  <c r="J21" i="39"/>
  <c r="W21" i="39" s="1"/>
  <c r="H21" i="39"/>
  <c r="AC15" i="39"/>
  <c r="AB15"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W41" i="34"/>
  <c r="AC42" i="34"/>
  <c r="AB35" i="34"/>
  <c r="U39" i="34"/>
  <c r="AB41" i="34"/>
  <c r="AA45" i="34"/>
  <c r="U28" i="34"/>
  <c r="AA29" i="34"/>
  <c r="U27" i="34"/>
  <c r="S13" i="34"/>
  <c r="H10" i="34"/>
  <c r="U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AB41" i="39"/>
  <c r="W25" i="39"/>
  <c r="U13" i="39"/>
  <c r="AB13" i="39"/>
  <c r="AA13" i="39"/>
  <c r="S13" i="39"/>
  <c r="S14" i="39"/>
  <c r="AA14" i="39"/>
  <c r="U43" i="39"/>
  <c r="AB43" i="39"/>
  <c r="AA27"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AC14" i="34"/>
  <c r="AC32" i="34"/>
  <c r="AC29" i="34"/>
  <c r="W29" i="34"/>
  <c r="W46" i="34"/>
  <c r="AC46" i="34"/>
  <c r="S32" i="34"/>
  <c r="AA32" i="34"/>
  <c r="U30" i="34"/>
  <c r="AB30" i="34"/>
  <c r="U38" i="34"/>
  <c r="S36" i="34"/>
  <c r="AA8" i="34"/>
  <c r="S8"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AC32" i="39" s="1"/>
  <c r="H107" i="39"/>
  <c r="I107" i="39"/>
  <c r="J107" i="39"/>
  <c r="K107" i="39"/>
  <c r="L107" i="39"/>
  <c r="M107" i="39"/>
  <c r="H32" i="39"/>
  <c r="U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M4" i="43"/>
  <c r="M5" i="43"/>
  <c r="N12" i="43"/>
  <c r="N11" i="43"/>
  <c r="M10" i="43"/>
  <c r="M2" i="43"/>
  <c r="M7" i="43"/>
  <c r="C6" i="43" s="1"/>
  <c r="H70" i="43"/>
  <c r="H54" i="43"/>
  <c r="N9" i="43"/>
  <c r="M8" i="43"/>
  <c r="N10" i="43"/>
  <c r="H48" i="43"/>
  <c r="H74" i="43"/>
  <c r="M6" i="43"/>
  <c r="N7" i="43"/>
  <c r="F59" i="43" s="1"/>
  <c r="N4" i="43"/>
  <c r="N2" i="43"/>
  <c r="H49" i="43"/>
  <c r="N17" i="43"/>
  <c r="L17" i="43"/>
  <c r="O17" i="43"/>
  <c r="M17" i="43"/>
  <c r="E17" i="43"/>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F43" i="79"/>
  <c r="M29" i="81"/>
  <c r="D7" i="73"/>
  <c r="F43" i="67"/>
  <c r="F42" i="15"/>
  <c r="E11" i="76"/>
  <c r="M28" i="67"/>
  <c r="M23" i="15"/>
  <c r="F16" i="67"/>
  <c r="F6" i="73"/>
  <c r="M9" i="15"/>
  <c r="L48" i="67"/>
  <c r="E2" i="69"/>
  <c r="D5" i="73"/>
  <c r="F38" i="67"/>
  <c r="D2" i="35"/>
  <c r="F26" i="15"/>
  <c r="F6" i="15"/>
  <c r="D2" i="36"/>
  <c r="M27" i="67"/>
  <c r="M6" i="15"/>
  <c r="E9" i="76"/>
  <c r="M8" i="67"/>
  <c r="E7" i="76"/>
  <c r="F37" i="15"/>
  <c r="B9" i="76"/>
  <c r="E13" i="76"/>
  <c r="F7" i="73"/>
  <c r="F36" i="15"/>
  <c r="D2" i="33"/>
  <c r="F40" i="15"/>
  <c r="B8" i="76"/>
  <c r="L47" i="15"/>
  <c r="D2" i="21"/>
  <c r="J15" i="15"/>
  <c r="M29" i="15"/>
  <c r="L48" i="15"/>
  <c r="F43" i="80"/>
  <c r="F7" i="79"/>
  <c r="F13" i="15"/>
  <c r="F43" i="15"/>
  <c r="F9" i="15"/>
  <c r="M27" i="15"/>
  <c r="F7" i="15"/>
  <c r="M24" i="67"/>
  <c r="D3" i="73"/>
  <c r="D2" i="37"/>
  <c r="M23" i="67"/>
  <c r="B13" i="76"/>
  <c r="B12" i="76"/>
  <c r="E8" i="76"/>
  <c r="AO11" i="1"/>
  <c r="L47" i="67"/>
  <c r="F7" i="67"/>
  <c r="F41" i="67"/>
  <c r="F26" i="67"/>
  <c r="F7" i="81"/>
  <c r="E10" i="76"/>
  <c r="F42" i="67"/>
  <c r="E2" i="68"/>
  <c r="J15" i="67"/>
  <c r="F8" i="67"/>
  <c r="F7" i="80"/>
  <c r="F43" i="81"/>
  <c r="M22" i="15"/>
  <c r="M28" i="15"/>
  <c r="F6" i="67"/>
  <c r="F3" i="73"/>
  <c r="C76" i="67"/>
  <c r="F4" i="73"/>
  <c r="M29" i="80"/>
  <c r="M29" i="79"/>
  <c r="M27" i="79"/>
  <c r="D4" i="73"/>
  <c r="AO13" i="1"/>
  <c r="F36" i="67"/>
  <c r="M26" i="15"/>
  <c r="M24" i="15"/>
  <c r="F13" i="67"/>
  <c r="B10" i="76"/>
  <c r="M27" i="81"/>
  <c r="F9" i="67"/>
  <c r="F20" i="31"/>
  <c r="F37" i="67"/>
  <c r="F5" i="73"/>
  <c r="M22" i="67"/>
  <c r="E12" i="76"/>
  <c r="F38" i="15"/>
  <c r="AO12" i="1"/>
  <c r="F40" i="67"/>
  <c r="M9" i="67"/>
  <c r="M29" i="67"/>
  <c r="F8" i="15"/>
  <c r="M26" i="67"/>
  <c r="C76" i="15"/>
  <c r="D2" i="34"/>
  <c r="M8" i="15"/>
  <c r="B11" i="76"/>
  <c r="D6" i="73"/>
  <c r="M6" i="67"/>
  <c r="M27" i="80"/>
  <c r="B7" i="76"/>
  <c r="F16" i="15"/>
  <c r="AO6" i="1"/>
  <c r="S38" i="39" l="1"/>
  <c r="J67" i="43"/>
  <c r="J65" i="43"/>
  <c r="D63" i="43"/>
  <c r="J61" i="43"/>
  <c r="E59" i="43"/>
  <c r="B57" i="43" s="1"/>
  <c r="C24" i="43" s="1"/>
  <c r="H62" i="43"/>
  <c r="H65" i="43"/>
  <c r="H63" i="43"/>
  <c r="H67" i="43"/>
  <c r="H60" i="43"/>
  <c r="H66" i="43"/>
  <c r="H64" i="43"/>
  <c r="H59" i="43"/>
  <c r="H61" i="43"/>
  <c r="G38" i="6"/>
  <c r="M20" i="15"/>
  <c r="M20" i="81"/>
  <c r="M20" i="80"/>
  <c r="F34" i="79"/>
  <c r="F62" i="79" s="1"/>
  <c r="F34" i="81"/>
  <c r="F62" i="81" s="1"/>
  <c r="F34" i="80"/>
  <c r="F62" i="80" s="1"/>
  <c r="M20" i="79"/>
  <c r="C6" i="81"/>
  <c r="M7" i="81"/>
  <c r="J6" i="81" s="1"/>
  <c r="J18" i="81" s="1"/>
  <c r="F50" i="81"/>
  <c r="C49" i="81" s="1"/>
  <c r="F71" i="81"/>
  <c r="F50" i="79"/>
  <c r="C49" i="79" s="1"/>
  <c r="C6" i="79"/>
  <c r="M7" i="79"/>
  <c r="J6" i="79" s="1"/>
  <c r="J18" i="79" s="1"/>
  <c r="F71" i="79"/>
  <c r="C6" i="80"/>
  <c r="F50" i="80"/>
  <c r="C49" i="80" s="1"/>
  <c r="M7" i="80"/>
  <c r="J6" i="80" s="1"/>
  <c r="J18" i="80" s="1"/>
  <c r="F71" i="80"/>
  <c r="M7" i="1"/>
  <c r="M9" i="1"/>
  <c r="M8" i="1"/>
  <c r="AB17" i="34"/>
  <c r="U21" i="34"/>
  <c r="H43" i="34"/>
  <c r="J43" i="34"/>
  <c r="F43" i="34"/>
  <c r="G124" i="34"/>
  <c r="H124" i="34" s="1"/>
  <c r="I124" i="34" s="1"/>
  <c r="J124" i="34" s="1"/>
  <c r="K124" i="34" s="1"/>
  <c r="L124" i="34" s="1"/>
  <c r="M124" i="34" s="1"/>
  <c r="F40" i="34"/>
  <c r="S40" i="34" s="1"/>
  <c r="F118" i="34"/>
  <c r="G118" i="34" s="1"/>
  <c r="J40" i="34"/>
  <c r="H112" i="34"/>
  <c r="I112" i="34" s="1"/>
  <c r="J112" i="34" s="1"/>
  <c r="K112" i="34" s="1"/>
  <c r="L112" i="34" s="1"/>
  <c r="M112" i="34" s="1"/>
  <c r="H37" i="34"/>
  <c r="F37" i="34"/>
  <c r="J37" i="34"/>
  <c r="H25" i="34"/>
  <c r="G88" i="34"/>
  <c r="J25" i="34"/>
  <c r="S23" i="34"/>
  <c r="AB23" i="34"/>
  <c r="F82" i="34"/>
  <c r="G82" i="34" s="1"/>
  <c r="F19" i="34"/>
  <c r="F80" i="34"/>
  <c r="G80" i="34" s="1"/>
  <c r="F17" i="34"/>
  <c r="F78" i="34"/>
  <c r="G78" i="34" s="1"/>
  <c r="F15" i="34"/>
  <c r="H15" i="34"/>
  <c r="J15" i="34"/>
  <c r="O7" i="1"/>
  <c r="S35" i="34"/>
  <c r="F70" i="34"/>
  <c r="C70" i="39"/>
  <c r="D68" i="39"/>
  <c r="C20" i="43"/>
  <c r="C5" i="11"/>
  <c r="W33" i="34"/>
  <c r="AC39" i="34"/>
  <c r="AB36" i="34"/>
  <c r="AC36" i="34"/>
  <c r="S21" i="34"/>
  <c r="AC17" i="34"/>
  <c r="AC30" i="34"/>
  <c r="U31" i="34"/>
  <c r="AC10" i="34"/>
  <c r="S10" i="34"/>
  <c r="AC9" i="34"/>
  <c r="W9" i="34"/>
  <c r="S9" i="34"/>
  <c r="H9" i="34"/>
  <c r="A15" i="62"/>
  <c r="B61" i="72" s="1"/>
  <c r="T35" i="4"/>
  <c r="A19" i="51" s="1"/>
  <c r="B14" i="72" s="1"/>
  <c r="F9" i="1"/>
  <c r="G9" i="1" s="1"/>
  <c r="S15" i="39"/>
  <c r="S42" i="39"/>
  <c r="F41" i="39"/>
  <c r="H124" i="39"/>
  <c r="I124" i="39" s="1"/>
  <c r="J124" i="39" s="1"/>
  <c r="K124" i="39" s="1"/>
  <c r="L124" i="39" s="1"/>
  <c r="M124" i="39" s="1"/>
  <c r="J41" i="39"/>
  <c r="F40" i="39"/>
  <c r="F122" i="39"/>
  <c r="G122" i="39" s="1"/>
  <c r="H122" i="39" s="1"/>
  <c r="I122" i="39" s="1"/>
  <c r="J122" i="39" s="1"/>
  <c r="K122" i="39" s="1"/>
  <c r="L122" i="39" s="1"/>
  <c r="M122" i="39" s="1"/>
  <c r="F120" i="39"/>
  <c r="G120" i="39" s="1"/>
  <c r="H120" i="39" s="1"/>
  <c r="I120" i="39" s="1"/>
  <c r="J120" i="39" s="1"/>
  <c r="K120" i="39" s="1"/>
  <c r="L120" i="39" s="1"/>
  <c r="M120" i="39" s="1"/>
  <c r="F39" i="39"/>
  <c r="F34" i="39"/>
  <c r="AA34" i="39" s="1"/>
  <c r="J34" i="39"/>
  <c r="AC34" i="39" s="1"/>
  <c r="H34" i="39"/>
  <c r="U34" i="39" s="1"/>
  <c r="W29" i="39"/>
  <c r="U29" i="39"/>
  <c r="S29" i="39"/>
  <c r="J31" i="39"/>
  <c r="F105" i="39"/>
  <c r="G105" i="39" s="1"/>
  <c r="H105" i="39" s="1"/>
  <c r="I105" i="39" s="1"/>
  <c r="J105" i="39" s="1"/>
  <c r="K105" i="39" s="1"/>
  <c r="L105" i="39" s="1"/>
  <c r="M105" i="39" s="1"/>
  <c r="S31" i="39"/>
  <c r="S23" i="39"/>
  <c r="AA12" i="39"/>
  <c r="AC37" i="39"/>
  <c r="W37" i="39"/>
  <c r="AA32" i="39"/>
  <c r="AB32" i="39"/>
  <c r="G17" i="43"/>
  <c r="C16" i="43" s="1"/>
  <c r="C5" i="43" s="1"/>
  <c r="H50" i="43"/>
  <c r="D5" i="43"/>
  <c r="H75" i="43"/>
  <c r="W34" i="39"/>
  <c r="W32" i="39"/>
  <c r="W42" i="39"/>
  <c r="U42" i="39"/>
  <c r="U40" i="39"/>
  <c r="W39" i="39"/>
  <c r="BR5" i="3"/>
  <c r="G28" i="6" s="1"/>
  <c r="C92" i="9"/>
  <c r="C94" i="9"/>
  <c r="F30" i="69"/>
  <c r="F48" i="69" s="1"/>
  <c r="D68" i="9"/>
  <c r="M18" i="15"/>
  <c r="F52" i="9"/>
  <c r="C30" i="11"/>
  <c r="F32" i="15"/>
  <c r="F60" i="15" s="1"/>
  <c r="F32" i="67"/>
  <c r="F60" i="67" s="1"/>
  <c r="F28" i="67"/>
  <c r="C28" i="67" s="1"/>
  <c r="C24" i="12"/>
  <c r="F54" i="9"/>
  <c r="F28" i="15"/>
  <c r="C28" i="15" s="1"/>
  <c r="M18" i="67"/>
  <c r="F31" i="12"/>
  <c r="F30" i="68"/>
  <c r="F53" i="9"/>
  <c r="C21" i="69"/>
  <c r="D22" i="67"/>
  <c r="F99" i="39"/>
  <c r="G99" i="39" s="1"/>
  <c r="H25" i="39"/>
  <c r="AB27" i="39"/>
  <c r="W27" i="39"/>
  <c r="F21" i="39"/>
  <c r="F95" i="39"/>
  <c r="G95" i="39" s="1"/>
  <c r="AC21" i="39"/>
  <c r="F17" i="39"/>
  <c r="F91" i="39"/>
  <c r="G91" i="39" s="1"/>
  <c r="H17" i="39"/>
  <c r="AB17" i="39" s="1"/>
  <c r="J17" i="39"/>
  <c r="U17" i="39"/>
  <c r="F93" i="39"/>
  <c r="G93" i="39" s="1"/>
  <c r="H19" i="39"/>
  <c r="AB19" i="39" s="1"/>
  <c r="J19" i="39"/>
  <c r="F19" i="39"/>
  <c r="W9" i="39"/>
  <c r="S9" i="39"/>
  <c r="U9" i="39"/>
  <c r="L27" i="6"/>
  <c r="BL18" i="3"/>
  <c r="BL5" i="3" s="1"/>
  <c r="E29" i="6"/>
  <c r="K15" i="1" s="1"/>
  <c r="F30" i="6"/>
  <c r="G18" i="3"/>
  <c r="G5" i="3" s="1"/>
  <c r="B3" i="3" s="1"/>
  <c r="BA18" i="3"/>
  <c r="AZ18" i="3" s="1"/>
  <c r="G30" i="6"/>
  <c r="G31" i="6" s="1"/>
  <c r="E28" i="6"/>
  <c r="H16" i="1"/>
  <c r="I4" i="6"/>
  <c r="G3" i="43" s="1"/>
  <c r="D101" i="43" s="1"/>
  <c r="AR13" i="1"/>
  <c r="T13" i="1"/>
  <c r="AQ13" i="1"/>
  <c r="AR12" i="1"/>
  <c r="T12" i="1"/>
  <c r="AQ12" i="1"/>
  <c r="BA16" i="3"/>
  <c r="AZ16" i="3" s="1"/>
  <c r="BB5" i="3"/>
  <c r="E12" i="6" s="1"/>
  <c r="P7" i="1"/>
  <c r="Q16" i="1"/>
  <c r="F27" i="68" s="1"/>
  <c r="C36" i="69"/>
  <c r="D19" i="12"/>
  <c r="C19" i="12" s="1"/>
  <c r="D9" i="69"/>
  <c r="C9" i="69" s="1"/>
  <c r="BA5" i="3"/>
  <c r="O12" i="1"/>
  <c r="P12" i="1" s="1"/>
  <c r="O9" i="1"/>
  <c r="P9" i="1" s="1"/>
  <c r="O11" i="1"/>
  <c r="P11" i="1" s="1"/>
  <c r="O8" i="1"/>
  <c r="D12" i="52"/>
  <c r="D127" i="9"/>
  <c r="D13" i="52"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C36" i="43"/>
  <c r="E36" i="43" s="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8" i="67"/>
  <c r="F64" i="67"/>
  <c r="F68" i="15"/>
  <c r="D9" i="68"/>
  <c r="C16" i="79"/>
  <c r="C16" i="80"/>
  <c r="C16" i="67"/>
  <c r="C16" i="81"/>
  <c r="C16" i="15"/>
  <c r="G1" i="73"/>
  <c r="S34" i="39" l="1"/>
  <c r="C35" i="43"/>
  <c r="E35" i="43" s="1"/>
  <c r="C39" i="43"/>
  <c r="G39" i="43" s="1"/>
  <c r="I39" i="43" s="1"/>
  <c r="E16" i="3"/>
  <c r="C34" i="34"/>
  <c r="C32" i="79"/>
  <c r="C33" i="79"/>
  <c r="C32" i="80"/>
  <c r="C33" i="80"/>
  <c r="C32" i="81"/>
  <c r="C33" i="81"/>
  <c r="AC43" i="34"/>
  <c r="W43" i="34"/>
  <c r="AA43" i="34"/>
  <c r="S43" i="34"/>
  <c r="AB43" i="34"/>
  <c r="U43" i="34"/>
  <c r="AA40" i="34"/>
  <c r="W40" i="34"/>
  <c r="AC40" i="34"/>
  <c r="AC37" i="34"/>
  <c r="W37" i="34"/>
  <c r="U37" i="34"/>
  <c r="AB37" i="34"/>
  <c r="AA37" i="34"/>
  <c r="S37" i="34"/>
  <c r="AC25" i="34"/>
  <c r="W25" i="34"/>
  <c r="H88" i="34"/>
  <c r="I88" i="34" s="1"/>
  <c r="J88" i="34" s="1"/>
  <c r="K88" i="34" s="1"/>
  <c r="L88" i="34" s="1"/>
  <c r="M88" i="34" s="1"/>
  <c r="F25" i="34"/>
  <c r="AB25" i="34"/>
  <c r="U25" i="34"/>
  <c r="S19" i="34"/>
  <c r="AA19" i="34"/>
  <c r="AA17" i="34"/>
  <c r="S17" i="34"/>
  <c r="W15" i="34"/>
  <c r="AC15" i="34"/>
  <c r="S15" i="34"/>
  <c r="AA15" i="34"/>
  <c r="AB15" i="34"/>
  <c r="U15" i="34"/>
  <c r="G70" i="34"/>
  <c r="H70" i="34" s="1"/>
  <c r="I70" i="34" s="1"/>
  <c r="J70" i="34" s="1"/>
  <c r="K70" i="34" s="1"/>
  <c r="L70" i="34" s="1"/>
  <c r="M70" i="34" s="1"/>
  <c r="D70" i="39"/>
  <c r="E68" i="39"/>
  <c r="U9" i="34"/>
  <c r="AB9" i="34"/>
  <c r="F11" i="81"/>
  <c r="M11" i="81"/>
  <c r="J10" i="81" s="1"/>
  <c r="J5" i="81" s="1"/>
  <c r="T12" i="43"/>
  <c r="V12" i="43" s="1"/>
  <c r="T14" i="43"/>
  <c r="V14" i="43" s="1"/>
  <c r="T11" i="43"/>
  <c r="V11" i="43" s="1"/>
  <c r="T15" i="43"/>
  <c r="V15" i="43" s="1"/>
  <c r="T10" i="43"/>
  <c r="V10" i="43" s="1"/>
  <c r="T13" i="43"/>
  <c r="V13" i="43" s="1"/>
  <c r="F11" i="80"/>
  <c r="M11" i="80"/>
  <c r="J10" i="80" s="1"/>
  <c r="J5" i="80" s="1"/>
  <c r="G36" i="43"/>
  <c r="I36" i="43" s="1"/>
  <c r="F11" i="79"/>
  <c r="M11" i="79"/>
  <c r="J10" i="79" s="1"/>
  <c r="J5" i="79" s="1"/>
  <c r="T8" i="43"/>
  <c r="V8" i="43" s="1"/>
  <c r="T16" i="43"/>
  <c r="V16" i="43" s="1"/>
  <c r="T9" i="43"/>
  <c r="V9" i="43" s="1"/>
  <c r="F7" i="34"/>
  <c r="AA7" i="34" s="1"/>
  <c r="W41" i="39"/>
  <c r="AC41" i="39"/>
  <c r="S41" i="39"/>
  <c r="AA41" i="39"/>
  <c r="AA40" i="39"/>
  <c r="S40" i="39"/>
  <c r="S39" i="39"/>
  <c r="AA39" i="39"/>
  <c r="AB34" i="39"/>
  <c r="W31" i="39"/>
  <c r="AC31" i="39"/>
  <c r="C38" i="43"/>
  <c r="E38" i="43" s="1"/>
  <c r="C33" i="43"/>
  <c r="E33" i="43" s="1"/>
  <c r="C34" i="43"/>
  <c r="G34" i="43" s="1"/>
  <c r="I34" i="43" s="1"/>
  <c r="C37" i="43"/>
  <c r="E37" i="43" s="1"/>
  <c r="AB11" i="43"/>
  <c r="AB13" i="43" s="1"/>
  <c r="Y11" i="43"/>
  <c r="Y13" i="43" s="1"/>
  <c r="N104" i="46"/>
  <c r="C9" i="68"/>
  <c r="C48" i="69"/>
  <c r="C30" i="69"/>
  <c r="F48" i="68"/>
  <c r="C30" i="68"/>
  <c r="C48" i="68"/>
  <c r="AB25" i="39"/>
  <c r="U25" i="39"/>
  <c r="S21" i="39"/>
  <c r="AA21" i="39"/>
  <c r="W17" i="39"/>
  <c r="AC17" i="39"/>
  <c r="AA17" i="39"/>
  <c r="S17" i="39"/>
  <c r="AA19" i="39"/>
  <c r="S19" i="39"/>
  <c r="U19" i="39"/>
  <c r="AC19" i="39"/>
  <c r="W19" i="39"/>
  <c r="AZ5" i="3"/>
  <c r="E3" i="6" s="1"/>
  <c r="AG11" i="43"/>
  <c r="AG13" i="43" s="1"/>
  <c r="AJ11" i="43"/>
  <c r="AJ13" i="43" s="1"/>
  <c r="B113" i="43"/>
  <c r="AC11" i="43"/>
  <c r="AC13" i="43" s="1"/>
  <c r="Z7" i="43"/>
  <c r="AF11" i="43"/>
  <c r="AF13" i="43" s="1"/>
  <c r="H101" i="43"/>
  <c r="C101" i="43"/>
  <c r="C103" i="43" s="1"/>
  <c r="AR6" i="3"/>
  <c r="E508" i="3"/>
  <c r="E545" i="3"/>
  <c r="AK6" i="3"/>
  <c r="AA11" i="43"/>
  <c r="AA13" i="43" s="1"/>
  <c r="AE11" i="43"/>
  <c r="AE13" i="43" s="1"/>
  <c r="AI11" i="43"/>
  <c r="AI13" i="43" s="1"/>
  <c r="Z11" i="43"/>
  <c r="Z13" i="43" s="1"/>
  <c r="AD11" i="43"/>
  <c r="AD13" i="43" s="1"/>
  <c r="AH11" i="43"/>
  <c r="AH13" i="43" s="1"/>
  <c r="G22" i="43"/>
  <c r="L101" i="43"/>
  <c r="L109" i="43" s="1"/>
  <c r="J101" i="43"/>
  <c r="G101" i="43"/>
  <c r="G107" i="43" s="1"/>
  <c r="E380" i="3"/>
  <c r="E337" i="3"/>
  <c r="E175" i="3"/>
  <c r="E578" i="3"/>
  <c r="E216" i="3"/>
  <c r="E538" i="3"/>
  <c r="E270" i="3"/>
  <c r="E555" i="3"/>
  <c r="E343" i="3"/>
  <c r="E395" i="3"/>
  <c r="E128" i="3"/>
  <c r="E583" i="3"/>
  <c r="E185" i="3"/>
  <c r="E231" i="3"/>
  <c r="E439" i="3"/>
  <c r="E561" i="3"/>
  <c r="E533" i="3"/>
  <c r="E143" i="3"/>
  <c r="E410" i="3"/>
  <c r="E388" i="3"/>
  <c r="E305" i="3"/>
  <c r="E530" i="3"/>
  <c r="E114" i="3"/>
  <c r="E550" i="3"/>
  <c r="E352" i="3"/>
  <c r="E518" i="3"/>
  <c r="E565" i="3"/>
  <c r="E293" i="3"/>
  <c r="E61" i="3"/>
  <c r="E169" i="3"/>
  <c r="E298" i="3"/>
  <c r="E321" i="3"/>
  <c r="E338" i="3"/>
  <c r="E418" i="3"/>
  <c r="E506" i="3"/>
  <c r="E523" i="3"/>
  <c r="S6" i="3"/>
  <c r="E390" i="3"/>
  <c r="E97" i="3"/>
  <c r="E285" i="3"/>
  <c r="E359" i="3"/>
  <c r="E574" i="3"/>
  <c r="O6" i="3"/>
  <c r="E328" i="3"/>
  <c r="E426" i="3"/>
  <c r="E153" i="3"/>
  <c r="E501" i="3"/>
  <c r="E319" i="3"/>
  <c r="E53" i="3"/>
  <c r="E415" i="3"/>
  <c r="E260" i="3"/>
  <c r="E329" i="3"/>
  <c r="E510" i="3"/>
  <c r="E205" i="3"/>
  <c r="E385" i="3"/>
  <c r="AI6" i="3"/>
  <c r="E237" i="3"/>
  <c r="E17" i="3"/>
  <c r="E336" i="3"/>
  <c r="E511" i="3"/>
  <c r="E101" i="43"/>
  <c r="E30" i="6"/>
  <c r="K14" i="1"/>
  <c r="K101" i="43"/>
  <c r="E22" i="43"/>
  <c r="I101" i="43"/>
  <c r="I107" i="43" s="1"/>
  <c r="H22" i="43"/>
  <c r="J22" i="43"/>
  <c r="D103" i="43"/>
  <c r="D102" i="43"/>
  <c r="D105" i="43"/>
  <c r="D107" i="43"/>
  <c r="E105" i="43"/>
  <c r="F101" i="43"/>
  <c r="F103" i="43" s="1"/>
  <c r="M101" i="43"/>
  <c r="M105" i="43" s="1"/>
  <c r="N101" i="43"/>
  <c r="N103" i="43" s="1"/>
  <c r="F22" i="43"/>
  <c r="C47" i="68"/>
  <c r="D45" i="68" s="1"/>
  <c r="F45" i="68"/>
  <c r="N109" i="43"/>
  <c r="D106" i="4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AT6" i="3"/>
  <c r="E278" i="3"/>
  <c r="E563" i="3"/>
  <c r="E172" i="3"/>
  <c r="E445" i="3"/>
  <c r="E535" i="3"/>
  <c r="E539" i="3"/>
  <c r="E567" i="3"/>
  <c r="E461" i="3"/>
  <c r="E227" i="3"/>
  <c r="E165" i="3"/>
  <c r="E353" i="3"/>
  <c r="E495" i="3"/>
  <c r="AN6" i="3"/>
  <c r="E586" i="3"/>
  <c r="E304" i="3"/>
  <c r="E213" i="3"/>
  <c r="E302" i="3"/>
  <c r="X6" i="3"/>
  <c r="E246" i="3"/>
  <c r="E314" i="3"/>
  <c r="E104" i="43"/>
  <c r="D109" i="43"/>
  <c r="D104" i="43"/>
  <c r="E109" i="43"/>
  <c r="E69" i="3"/>
  <c r="E528" i="3"/>
  <c r="E361" i="3"/>
  <c r="E347" i="3"/>
  <c r="E399" i="3"/>
  <c r="E124" i="3"/>
  <c r="E568" i="3"/>
  <c r="E536" i="3"/>
  <c r="E402" i="3"/>
  <c r="E423" i="3"/>
  <c r="E350" i="3"/>
  <c r="E382" i="3"/>
  <c r="E303" i="3"/>
  <c r="E263" i="3"/>
  <c r="E301" i="3"/>
  <c r="E245" i="3"/>
  <c r="E159" i="3"/>
  <c r="E191" i="3"/>
  <c r="E99"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83" i="3"/>
  <c r="AA6" i="3"/>
  <c r="E397" i="3"/>
  <c r="E549" i="3"/>
  <c r="E453" i="3"/>
  <c r="E368" i="3"/>
  <c r="E244" i="3"/>
  <c r="E196" i="3"/>
  <c r="E156" i="3"/>
  <c r="E188" i="3"/>
  <c r="E228" i="3"/>
  <c r="E181" i="3"/>
  <c r="E157"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261" i="3"/>
  <c r="E280" i="3"/>
  <c r="E503" i="3"/>
  <c r="I6" i="3"/>
  <c r="E306" i="3"/>
  <c r="E262" i="3"/>
  <c r="E236" i="3"/>
  <c r="E269" i="3"/>
  <c r="E89" i="3"/>
  <c r="E252" i="3"/>
  <c r="E204" i="3"/>
  <c r="E164" i="3"/>
  <c r="E327" i="3"/>
  <c r="E576" i="3"/>
  <c r="Z6" i="3"/>
  <c r="AG6" i="3"/>
  <c r="AO6" i="3"/>
  <c r="E448"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96" i="3"/>
  <c r="E148" i="3"/>
  <c r="E207" i="3"/>
  <c r="E145" i="3"/>
  <c r="E379" i="3"/>
  <c r="U6" i="3"/>
  <c r="E411"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4" i="3"/>
  <c r="E136" i="3"/>
  <c r="E122" i="3"/>
  <c r="E271" i="3"/>
  <c r="E107" i="3"/>
  <c r="E585" i="3"/>
  <c r="E515"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107" i="43"/>
  <c r="E8" i="6"/>
  <c r="E10" i="6"/>
  <c r="E14" i="6"/>
  <c r="E11" i="6"/>
  <c r="E15" i="6"/>
  <c r="E13" i="6"/>
  <c r="E106" i="43"/>
  <c r="E103" i="43"/>
  <c r="E62" i="39"/>
  <c r="E57" i="40"/>
  <c r="F27" i="69"/>
  <c r="F28" i="12"/>
  <c r="F27" i="11"/>
  <c r="AY6" i="3"/>
  <c r="P8" i="1"/>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H107" i="43"/>
  <c r="H106" i="43"/>
  <c r="H105" i="43"/>
  <c r="H103" i="43"/>
  <c r="H102" i="43"/>
  <c r="H104" i="43"/>
  <c r="H109" i="43"/>
  <c r="J107" i="43"/>
  <c r="J102" i="43"/>
  <c r="J105" i="43"/>
  <c r="J106" i="43"/>
  <c r="J109" i="43"/>
  <c r="J104" i="43"/>
  <c r="J103" i="43"/>
  <c r="J10" i="40"/>
  <c r="AC10" i="40" s="1"/>
  <c r="H10" i="39"/>
  <c r="AB10" i="39" s="1"/>
  <c r="F10" i="40"/>
  <c r="AA10" i="40" s="1"/>
  <c r="J10" i="39"/>
  <c r="W10" i="39" s="1"/>
  <c r="H10" i="40"/>
  <c r="U10" i="40" s="1"/>
  <c r="F59" i="67"/>
  <c r="G35" i="43"/>
  <c r="I35" i="43" s="1"/>
  <c r="H7" i="37"/>
  <c r="AB7" i="37" s="1"/>
  <c r="T42" i="37" s="1"/>
  <c r="G42" i="37" s="1"/>
  <c r="B40" i="1"/>
  <c r="F24" i="81" s="1"/>
  <c r="S10" i="39"/>
  <c r="AA10" i="39"/>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D9" i="71"/>
  <c r="C8" i="71"/>
  <c r="M17" i="67"/>
  <c r="M17" i="15"/>
  <c r="F59" i="15"/>
  <c r="P24" i="43"/>
  <c r="B66" i="40" s="1"/>
  <c r="P21" i="43"/>
  <c r="C49" i="67"/>
  <c r="P25" i="43"/>
  <c r="P23" i="43"/>
  <c r="G38" i="43"/>
  <c r="I38" i="43" s="1"/>
  <c r="E34" i="43"/>
  <c r="G33" i="43"/>
  <c r="I33" i="43" s="1"/>
  <c r="C49" i="15"/>
  <c r="J18" i="15"/>
  <c r="C32" i="67"/>
  <c r="Q60" i="67"/>
  <c r="Q73" i="67"/>
  <c r="M28" i="43"/>
  <c r="N28" i="43"/>
  <c r="O28" i="43"/>
  <c r="P28" i="43"/>
  <c r="M11" i="67"/>
  <c r="J10" i="67" s="1"/>
  <c r="J5" i="67" s="1"/>
  <c r="F11" i="15"/>
  <c r="M11" i="15"/>
  <c r="J10" i="15" s="1"/>
  <c r="J5" i="15" s="1"/>
  <c r="F11" i="67"/>
  <c r="J18" i="67"/>
  <c r="C32" i="15"/>
  <c r="Q60" i="15"/>
  <c r="Q73" i="15"/>
  <c r="Q61" i="67"/>
  <c r="Q74" i="67"/>
  <c r="E39" i="43" l="1"/>
  <c r="G37" i="43"/>
  <c r="I37" i="43" s="1"/>
  <c r="J34" i="34"/>
  <c r="F34" i="34"/>
  <c r="H34" i="34"/>
  <c r="S25" i="34"/>
  <c r="AA25" i="34"/>
  <c r="S7" i="34"/>
  <c r="F68" i="39"/>
  <c r="E70" i="39"/>
  <c r="B71" i="39"/>
  <c r="J26" i="81"/>
  <c r="J24" i="81"/>
  <c r="C24" i="81"/>
  <c r="C53" i="81"/>
  <c r="C48" i="81" s="1"/>
  <c r="C10" i="81"/>
  <c r="C5" i="81" s="1"/>
  <c r="J26" i="80"/>
  <c r="J24" i="80"/>
  <c r="F24" i="79"/>
  <c r="F24" i="80"/>
  <c r="C53" i="80"/>
  <c r="C48" i="80" s="1"/>
  <c r="C10" i="80"/>
  <c r="C5" i="80" s="1"/>
  <c r="C24" i="79"/>
  <c r="J26" i="79"/>
  <c r="J24" i="79"/>
  <c r="C53" i="79"/>
  <c r="C48" i="79" s="1"/>
  <c r="C10" i="79"/>
  <c r="C5" i="79" s="1"/>
  <c r="W10" i="40"/>
  <c r="AB10" i="40"/>
  <c r="U10" i="39"/>
  <c r="AC10" i="39"/>
  <c r="G109" i="43"/>
  <c r="L103" i="43"/>
  <c r="C109" i="43"/>
  <c r="F107" i="43"/>
  <c r="I109" i="43"/>
  <c r="G102" i="43"/>
  <c r="G104" i="43"/>
  <c r="L104" i="43"/>
  <c r="L106" i="43"/>
  <c r="C106" i="43"/>
  <c r="C107" i="43"/>
  <c r="F106" i="43"/>
  <c r="H6" i="3"/>
  <c r="I104" i="43"/>
  <c r="I102" i="43"/>
  <c r="I103" i="43"/>
  <c r="G103" i="43"/>
  <c r="G105" i="43"/>
  <c r="G106" i="43"/>
  <c r="L105" i="43"/>
  <c r="L102" i="43"/>
  <c r="L107" i="43"/>
  <c r="C105" i="43"/>
  <c r="C104" i="43"/>
  <c r="F109" i="43"/>
  <c r="I106" i="43"/>
  <c r="I105" i="43"/>
  <c r="E107" i="43"/>
  <c r="E102" i="43"/>
  <c r="M14" i="1"/>
  <c r="C34" i="69"/>
  <c r="K16" i="1"/>
  <c r="B29" i="1" s="1"/>
  <c r="D22" i="43"/>
  <c r="M104" i="43"/>
  <c r="K107" i="43"/>
  <c r="K106" i="43"/>
  <c r="K103" i="43"/>
  <c r="K105" i="43"/>
  <c r="K104" i="43"/>
  <c r="K102" i="43"/>
  <c r="K109" i="43"/>
  <c r="S10" i="40"/>
  <c r="M103" i="43"/>
  <c r="N105" i="43"/>
  <c r="N104" i="43"/>
  <c r="N106" i="43"/>
  <c r="N102" i="43"/>
  <c r="F102" i="43"/>
  <c r="F104" i="43"/>
  <c r="F105" i="43"/>
  <c r="AC6" i="3"/>
  <c r="E6" i="3" s="1"/>
  <c r="M102" i="43"/>
  <c r="M109" i="43"/>
  <c r="M106" i="43"/>
  <c r="M107" i="43"/>
  <c r="E16" i="6"/>
  <c r="E58" i="40"/>
  <c r="E63" i="39"/>
  <c r="E61" i="39"/>
  <c r="E56" i="40"/>
  <c r="E60" i="40"/>
  <c r="E65" i="39"/>
  <c r="E64" i="39"/>
  <c r="E59" i="40"/>
  <c r="F27" i="6"/>
  <c r="E51" i="40"/>
  <c r="E56" i="39"/>
  <c r="C47" i="11"/>
  <c r="D45" i="11" s="1"/>
  <c r="C47" i="69"/>
  <c r="D45" i="69" s="1"/>
  <c r="C29" i="69"/>
  <c r="D27" i="69" s="1"/>
  <c r="F45" i="69"/>
  <c r="D3" i="34"/>
  <c r="D3" i="33"/>
  <c r="D19" i="11"/>
  <c r="C19" i="11" s="1"/>
  <c r="C17" i="4"/>
  <c r="B4" i="52" s="1"/>
  <c r="B43" i="72" s="1"/>
  <c r="D37" i="11"/>
  <c r="D14" i="12"/>
  <c r="M18" i="9"/>
  <c r="B118" i="9" s="1"/>
  <c r="B14" i="74" s="1"/>
  <c r="B1" i="74" s="1"/>
  <c r="D3" i="21"/>
  <c r="L18" i="9"/>
  <c r="E6" i="6"/>
  <c r="D3" i="37"/>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103" i="3"/>
  <c r="AY160" i="3"/>
  <c r="AY183" i="3"/>
  <c r="AY284" i="3"/>
  <c r="AY319" i="3"/>
  <c r="AY497" i="3"/>
  <c r="AY212" i="3"/>
  <c r="AY478" i="3"/>
  <c r="AY573" i="3"/>
  <c r="AY100" i="3"/>
  <c r="AY20" i="3"/>
  <c r="AY173" i="3"/>
  <c r="AY286" i="3"/>
  <c r="AY227" i="3"/>
  <c r="AY507" i="3"/>
  <c r="AY72" i="3"/>
  <c r="AY181"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50" i="3"/>
  <c r="AY289" i="3"/>
  <c r="AY261" i="3"/>
  <c r="AY209" i="3"/>
  <c r="AY455" i="3"/>
  <c r="AY116" i="3"/>
  <c r="AY343" i="3"/>
  <c r="AY417" i="3"/>
  <c r="AY539" i="3"/>
  <c r="AY84" i="3"/>
  <c r="AY193" i="3"/>
  <c r="AY134" i="3"/>
  <c r="AY270" i="3"/>
  <c r="AY373" i="3"/>
  <c r="AY88" i="3"/>
  <c r="AY29" i="3"/>
  <c r="AY161"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4" i="3"/>
  <c r="AY329"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15" i="43"/>
  <c r="D113" i="43" s="1"/>
  <c r="S6" i="43"/>
  <c r="T6" i="43" s="1"/>
  <c r="V6" i="43" s="1"/>
  <c r="S3" i="43"/>
  <c r="T3" i="43" s="1"/>
  <c r="V3" i="43" s="1"/>
  <c r="S5" i="43"/>
  <c r="T5" i="43" s="1"/>
  <c r="V5" i="43" s="1"/>
  <c r="S4" i="43"/>
  <c r="T4" i="43" s="1"/>
  <c r="V4" i="43" s="1"/>
  <c r="S2" i="43"/>
  <c r="T2" i="43" s="1"/>
  <c r="V2" i="43" s="1"/>
  <c r="C23" i="43"/>
  <c r="C21" i="43" s="1"/>
  <c r="C29" i="43" s="1"/>
  <c r="S7" i="43"/>
  <c r="T7" i="43" s="1"/>
  <c r="V7" i="43"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F22" i="69"/>
  <c r="F41" i="69" s="1"/>
  <c r="F24" i="67"/>
  <c r="C24" i="67" s="1"/>
  <c r="F22" i="11"/>
  <c r="F22" i="68"/>
  <c r="F24" i="15"/>
  <c r="C24" i="15" s="1"/>
  <c r="AA34" i="34" l="1"/>
  <c r="S34" i="34"/>
  <c r="AB34" i="34"/>
  <c r="U34" i="34"/>
  <c r="AC34" i="34"/>
  <c r="W34" i="34"/>
  <c r="F70" i="39"/>
  <c r="G68" i="39"/>
  <c r="C66" i="81"/>
  <c r="C60" i="81"/>
  <c r="C38" i="81"/>
  <c r="C66" i="80"/>
  <c r="C60" i="80"/>
  <c r="C38" i="80"/>
  <c r="C24" i="80"/>
  <c r="C66" i="79"/>
  <c r="C60" i="79"/>
  <c r="C38" i="79"/>
  <c r="C35" i="69"/>
  <c r="C38" i="69"/>
  <c r="O14" i="1"/>
  <c r="M16" i="1"/>
  <c r="E66" i="39"/>
  <c r="F31" i="6"/>
  <c r="E27" i="6"/>
  <c r="C8" i="74"/>
  <c r="C7" i="74"/>
  <c r="C20" i="11"/>
  <c r="D25" i="6"/>
  <c r="D22" i="6"/>
  <c r="D24" i="6"/>
  <c r="D6" i="6"/>
  <c r="D9" i="6"/>
  <c r="D10" i="6"/>
  <c r="L19" i="9"/>
  <c r="D29" i="6"/>
  <c r="D15" i="6"/>
  <c r="D21" i="6"/>
  <c r="D20" i="6"/>
  <c r="D5" i="6"/>
  <c r="D12" i="6"/>
  <c r="D11" i="6"/>
  <c r="D13" i="6"/>
  <c r="D28" i="6"/>
  <c r="D30" i="6" s="1"/>
  <c r="E61" i="40"/>
  <c r="D14" i="6"/>
  <c r="D8" i="6"/>
  <c r="D26" i="6"/>
  <c r="M19" i="9"/>
  <c r="C118" i="9" s="1"/>
  <c r="C14" i="74" s="1"/>
  <c r="B2" i="74" s="1"/>
  <c r="D23" i="6"/>
  <c r="C18" i="4"/>
  <c r="D19" i="6"/>
  <c r="D10" i="11"/>
  <c r="C10" i="11" s="1"/>
  <c r="D20" i="12"/>
  <c r="C20" i="12" s="1"/>
  <c r="C18" i="12" s="1"/>
  <c r="D10" i="69"/>
  <c r="D17" i="12"/>
  <c r="C17" i="12" s="1"/>
  <c r="E29" i="43"/>
  <c r="C26" i="43" s="1"/>
  <c r="B2" i="43" s="1"/>
  <c r="C30" i="43"/>
  <c r="E30" i="43" s="1"/>
  <c r="C27" i="43" s="1"/>
  <c r="D6" i="71"/>
  <c r="C5" i="71"/>
  <c r="D5" i="71"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7" i="71"/>
  <c r="M20" i="43"/>
  <c r="F41" i="68"/>
  <c r="C60" i="15"/>
  <c r="C66" i="15"/>
  <c r="C26" i="69"/>
  <c r="D22" i="69" s="1"/>
  <c r="C44" i="69"/>
  <c r="D41" i="69" s="1"/>
  <c r="C38" i="67"/>
  <c r="C38" i="15"/>
  <c r="C66" i="67"/>
  <c r="C60" i="67"/>
  <c r="D10" i="68"/>
  <c r="E6" i="76"/>
  <c r="B6" i="76"/>
  <c r="H68" i="39" l="1"/>
  <c r="G70" i="39"/>
  <c r="N16" i="1"/>
  <c r="L16" i="1"/>
  <c r="P14" i="1"/>
  <c r="P16" i="1" s="1"/>
  <c r="C11" i="12" s="1"/>
  <c r="O16" i="1"/>
  <c r="K20" i="6"/>
  <c r="K21" i="6"/>
  <c r="K23" i="6"/>
  <c r="K22" i="6"/>
  <c r="K26" i="6"/>
  <c r="M26" i="6" s="1"/>
  <c r="I26" i="6" s="1"/>
  <c r="E31" i="6"/>
  <c r="K25" i="6"/>
  <c r="M25" i="6" s="1"/>
  <c r="I25" i="6" s="1"/>
  <c r="K24" i="6"/>
  <c r="K19" i="6"/>
  <c r="S6" i="1" s="1"/>
  <c r="D16" i="6"/>
  <c r="C10" i="69"/>
  <c r="C8" i="69" s="1"/>
  <c r="C5" i="69" s="1"/>
  <c r="D19" i="69"/>
  <c r="D27" i="6"/>
  <c r="D31" i="6" s="1"/>
  <c r="C10" i="68"/>
  <c r="C8" i="68" s="1"/>
  <c r="D19" i="68"/>
  <c r="A10" i="51"/>
  <c r="B9" i="72" s="1"/>
  <c r="A7" i="51"/>
  <c r="B7" i="72" s="1"/>
  <c r="C4" i="52"/>
  <c r="B45" i="72" s="1"/>
  <c r="D8" i="74"/>
  <c r="D7" i="74"/>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I68" i="39" l="1"/>
  <c r="H70" i="39"/>
  <c r="M24" i="6"/>
  <c r="I24" i="6" s="1"/>
  <c r="S24" i="6" s="1"/>
  <c r="S11" i="1"/>
  <c r="M23" i="6"/>
  <c r="I23" i="6" s="1"/>
  <c r="S23" i="6" s="1"/>
  <c r="S10" i="1"/>
  <c r="E10" i="70" s="1"/>
  <c r="M22" i="6"/>
  <c r="I22" i="6" s="1"/>
  <c r="S22" i="6" s="1"/>
  <c r="S9" i="1"/>
  <c r="M21" i="6"/>
  <c r="I21" i="6" s="1"/>
  <c r="S21" i="6" s="1"/>
  <c r="S8" i="1"/>
  <c r="M20" i="6"/>
  <c r="I20" i="6" s="1"/>
  <c r="S20" i="6" s="1"/>
  <c r="S7" i="1"/>
  <c r="B24" i="1"/>
  <c r="B23" i="1"/>
  <c r="C29" i="68"/>
  <c r="D27" i="68" s="1"/>
  <c r="C29" i="11"/>
  <c r="D27" i="11" s="1"/>
  <c r="C44" i="11"/>
  <c r="D41" i="11" s="1"/>
  <c r="C24" i="11"/>
  <c r="C44" i="68"/>
  <c r="D41" i="68" s="1"/>
  <c r="C28" i="11"/>
  <c r="C27" i="11" s="1"/>
  <c r="AQ6" i="1"/>
  <c r="T6" i="1"/>
  <c r="AR6" i="1"/>
  <c r="C12" i="12"/>
  <c r="C15" i="12"/>
  <c r="B3" i="76"/>
  <c r="K27" i="6"/>
  <c r="M19" i="6"/>
  <c r="S25" i="6"/>
  <c r="H25" i="6"/>
  <c r="R25" i="6" s="1"/>
  <c r="S26" i="6"/>
  <c r="H26" i="6"/>
  <c r="R26" i="6" s="1"/>
  <c r="H20" i="6"/>
  <c r="R20" i="6" s="1"/>
  <c r="R7" i="1" s="1"/>
  <c r="I6" i="6"/>
  <c r="C11" i="39" s="1"/>
  <c r="I5" i="6"/>
  <c r="C19" i="69"/>
  <c r="C24" i="69" s="1"/>
  <c r="D37" i="69"/>
  <c r="C37" i="69" s="1"/>
  <c r="C33" i="69" s="1"/>
  <c r="C19" i="68"/>
  <c r="D37" i="68"/>
  <c r="C23" i="69"/>
  <c r="I63" i="40"/>
  <c r="H65" i="40"/>
  <c r="I58" i="21"/>
  <c r="J58" i="21" s="1"/>
  <c r="K58" i="21" s="1"/>
  <c r="L58" i="21" s="1"/>
  <c r="M58" i="21" s="1"/>
  <c r="N58" i="21" s="1"/>
  <c r="O58" i="21" s="1"/>
  <c r="H7" i="21" s="1"/>
  <c r="F7" i="21"/>
  <c r="J48" i="35"/>
  <c r="C17" i="81"/>
  <c r="C17" i="80"/>
  <c r="C14" i="67"/>
  <c r="C17" i="79"/>
  <c r="C17" i="15"/>
  <c r="C17" i="67"/>
  <c r="C11" i="34" l="1"/>
  <c r="H11" i="39"/>
  <c r="F11" i="39"/>
  <c r="J11" i="39"/>
  <c r="E7" i="70"/>
  <c r="E8" i="70"/>
  <c r="E9" i="70"/>
  <c r="F50" i="68"/>
  <c r="M59" i="81"/>
  <c r="L59" i="81" s="1"/>
  <c r="J53" i="80"/>
  <c r="J53" i="79"/>
  <c r="J53" i="81"/>
  <c r="M59" i="80"/>
  <c r="L59" i="80" s="1"/>
  <c r="M59" i="79"/>
  <c r="L59" i="79" s="1"/>
  <c r="I70" i="39"/>
  <c r="J68" i="39"/>
  <c r="J7" i="21"/>
  <c r="AC7" i="21" s="1"/>
  <c r="V48" i="21" s="1"/>
  <c r="I48" i="21" s="1"/>
  <c r="C20" i="69"/>
  <c r="C28" i="69" s="1"/>
  <c r="C27" i="69" s="1"/>
  <c r="S16" i="1"/>
  <c r="C18" i="67"/>
  <c r="C15" i="67"/>
  <c r="H21" i="6"/>
  <c r="R21" i="6" s="1"/>
  <c r="R8" i="1" s="1"/>
  <c r="H24" i="6"/>
  <c r="R24" i="6" s="1"/>
  <c r="R11" i="1" s="1"/>
  <c r="H22" i="6"/>
  <c r="R22" i="6" s="1"/>
  <c r="R9" i="1" s="1"/>
  <c r="H23" i="6"/>
  <c r="R23" i="6" s="1"/>
  <c r="R10" i="1" s="1"/>
  <c r="F50" i="69"/>
  <c r="T11" i="1"/>
  <c r="AR11" i="1"/>
  <c r="AQ11" i="1"/>
  <c r="F34" i="68"/>
  <c r="C34" i="68" s="1"/>
  <c r="C38" i="68" s="1"/>
  <c r="F50" i="11"/>
  <c r="AR10" i="1"/>
  <c r="AQ10" i="1"/>
  <c r="T10" i="1"/>
  <c r="T7" i="1"/>
  <c r="AR7" i="1"/>
  <c r="AQ7" i="1"/>
  <c r="AQ8" i="1"/>
  <c r="T8" i="1"/>
  <c r="AR8" i="1"/>
  <c r="AQ9" i="1"/>
  <c r="AR9" i="1"/>
  <c r="T9" i="1"/>
  <c r="C36" i="68"/>
  <c r="F34" i="11"/>
  <c r="F11" i="12"/>
  <c r="J53" i="15"/>
  <c r="J53" i="67"/>
  <c r="M59" i="15"/>
  <c r="L59" i="15" s="1"/>
  <c r="M59" i="67"/>
  <c r="C29" i="12"/>
  <c r="D28" i="12" s="1"/>
  <c r="C26" i="12"/>
  <c r="D25" i="12" s="1"/>
  <c r="C26" i="68"/>
  <c r="D22" i="68" s="1"/>
  <c r="C23" i="11"/>
  <c r="C26" i="11"/>
  <c r="D22" i="11" s="1"/>
  <c r="C25" i="11"/>
  <c r="M27" i="6"/>
  <c r="I19" i="6"/>
  <c r="C24" i="68"/>
  <c r="C39" i="69"/>
  <c r="C43" i="69" s="1"/>
  <c r="C42" i="69"/>
  <c r="U7" i="21"/>
  <c r="AB7" i="21"/>
  <c r="T48" i="21" s="1"/>
  <c r="G48" i="21" s="1"/>
  <c r="S7" i="21"/>
  <c r="AA7" i="21"/>
  <c r="R48" i="21" s="1"/>
  <c r="J63" i="40"/>
  <c r="I65" i="40"/>
  <c r="K48" i="35"/>
  <c r="L48" i="35" s="1"/>
  <c r="M48" i="35" s="1"/>
  <c r="N48" i="35" s="1"/>
  <c r="O48" i="35" s="1"/>
  <c r="H7" i="35" s="1"/>
  <c r="J7" i="35"/>
  <c r="W7" i="21"/>
  <c r="C14" i="15"/>
  <c r="M21" i="79"/>
  <c r="F35" i="79"/>
  <c r="C14" i="81"/>
  <c r="F35" i="81"/>
  <c r="F35" i="80"/>
  <c r="C14" i="80"/>
  <c r="C14" i="79"/>
  <c r="F35" i="15"/>
  <c r="M21" i="81"/>
  <c r="M21" i="15"/>
  <c r="M21" i="80"/>
  <c r="M21" i="67"/>
  <c r="F35" i="67"/>
  <c r="W11" i="39" l="1"/>
  <c r="AC11" i="39"/>
  <c r="U11" i="39"/>
  <c r="AB11" i="39"/>
  <c r="E2" i="70"/>
  <c r="AA11" i="39"/>
  <c r="S11" i="39"/>
  <c r="J11" i="34"/>
  <c r="F11" i="34"/>
  <c r="H11" i="34"/>
  <c r="C15" i="80"/>
  <c r="C18" i="80"/>
  <c r="C15" i="79"/>
  <c r="C18" i="79"/>
  <c r="C18" i="81"/>
  <c r="C15" i="81"/>
  <c r="Q74" i="80"/>
  <c r="Q61" i="80"/>
  <c r="Q52" i="79"/>
  <c r="F1" i="79"/>
  <c r="Q61" i="81"/>
  <c r="Q74" i="81"/>
  <c r="Q61" i="79"/>
  <c r="Q74" i="79"/>
  <c r="F1" i="81"/>
  <c r="Q52" i="81"/>
  <c r="F1" i="80"/>
  <c r="Q52" i="80"/>
  <c r="J70" i="39"/>
  <c r="K68" i="39"/>
  <c r="F63" i="81"/>
  <c r="C62" i="81" s="1"/>
  <c r="C34" i="81"/>
  <c r="C31" i="81" s="1"/>
  <c r="J20" i="81"/>
  <c r="J20" i="80"/>
  <c r="F63" i="80"/>
  <c r="C62" i="80" s="1"/>
  <c r="C34" i="80"/>
  <c r="C31" i="80" s="1"/>
  <c r="J20" i="79"/>
  <c r="F63" i="79"/>
  <c r="C62" i="79" s="1"/>
  <c r="C34" i="79"/>
  <c r="C31" i="79" s="1"/>
  <c r="Q61" i="15"/>
  <c r="Q74" i="15"/>
  <c r="C25" i="69"/>
  <c r="C22" i="69" s="1"/>
  <c r="C31" i="69" s="1"/>
  <c r="C19" i="67"/>
  <c r="C20" i="67" s="1"/>
  <c r="C26" i="67" s="1"/>
  <c r="C15" i="15"/>
  <c r="C18" i="15"/>
  <c r="J20" i="67"/>
  <c r="J20" i="15"/>
  <c r="C34" i="15"/>
  <c r="F63" i="15"/>
  <c r="C62" i="15" s="1"/>
  <c r="C34" i="67"/>
  <c r="F63" i="67"/>
  <c r="C62" i="67" s="1"/>
  <c r="C35" i="68"/>
  <c r="C37" i="68"/>
  <c r="T16" i="1"/>
  <c r="Q52" i="67"/>
  <c r="F1" i="67"/>
  <c r="C14" i="12"/>
  <c r="C16" i="12" s="1"/>
  <c r="C21" i="12" s="1"/>
  <c r="C22" i="12" s="1"/>
  <c r="C22" i="11"/>
  <c r="C31" i="11" s="1"/>
  <c r="L56" i="15"/>
  <c r="Q52" i="15"/>
  <c r="F1" i="15"/>
  <c r="C36" i="11"/>
  <c r="C37" i="11"/>
  <c r="C34" i="11"/>
  <c r="C41" i="69"/>
  <c r="H19" i="6"/>
  <c r="I27" i="6"/>
  <c r="S19" i="6"/>
  <c r="S27" i="6" s="1"/>
  <c r="C46" i="69"/>
  <c r="C45" i="69" s="1"/>
  <c r="W7" i="35"/>
  <c r="AC7" i="35"/>
  <c r="V38" i="35" s="1"/>
  <c r="I38" i="35" s="1"/>
  <c r="J65" i="40"/>
  <c r="K63" i="40"/>
  <c r="I52" i="21"/>
  <c r="J52" i="21" s="1"/>
  <c r="U7" i="35"/>
  <c r="AB7" i="35"/>
  <c r="T38" i="35" s="1"/>
  <c r="G38" i="35" s="1"/>
  <c r="R49" i="21"/>
  <c r="E48" i="21"/>
  <c r="G52" i="21"/>
  <c r="H52" i="21" s="1"/>
  <c r="G53" i="21"/>
  <c r="H53" i="21" s="1"/>
  <c r="F7" i="35"/>
  <c r="AE9" i="1"/>
  <c r="AE7" i="1"/>
  <c r="AE8" i="1"/>
  <c r="AE10" i="1"/>
  <c r="F41" i="79"/>
  <c r="F41" i="15"/>
  <c r="AB11" i="34" l="1"/>
  <c r="T49" i="34" s="1"/>
  <c r="G49" i="34" s="1"/>
  <c r="U11" i="34"/>
  <c r="AC11" i="34"/>
  <c r="V49" i="34" s="1"/>
  <c r="I49" i="34" s="1"/>
  <c r="W11" i="34"/>
  <c r="AA11" i="34"/>
  <c r="R49" i="34" s="1"/>
  <c r="S11" i="34"/>
  <c r="C19" i="81"/>
  <c r="C20" i="81" s="1"/>
  <c r="C26" i="81" s="1"/>
  <c r="C19" i="79"/>
  <c r="C19" i="80"/>
  <c r="C20" i="80" s="1"/>
  <c r="C26" i="80" s="1"/>
  <c r="C20" i="79"/>
  <c r="C26" i="79" s="1"/>
  <c r="L68" i="39"/>
  <c r="K70" i="39"/>
  <c r="F69" i="79"/>
  <c r="J29" i="79"/>
  <c r="F69" i="15"/>
  <c r="J29" i="15"/>
  <c r="C23" i="67"/>
  <c r="C29" i="67" s="1"/>
  <c r="C33" i="67" s="1"/>
  <c r="C31" i="67" s="1"/>
  <c r="C19" i="15"/>
  <c r="C20" i="15" s="1"/>
  <c r="C26" i="15" s="1"/>
  <c r="C33" i="68"/>
  <c r="C39" i="68" s="1"/>
  <c r="C43" i="68" s="1"/>
  <c r="C38" i="11"/>
  <c r="C35" i="11"/>
  <c r="C49" i="69"/>
  <c r="C51" i="69" s="1"/>
  <c r="C52" i="69" s="1"/>
  <c r="B2" i="69" s="1"/>
  <c r="B3" i="69" s="1"/>
  <c r="H27" i="6"/>
  <c r="R19" i="6"/>
  <c r="S7" i="35"/>
  <c r="AA7" i="35"/>
  <c r="R38" i="35" s="1"/>
  <c r="C49" i="21"/>
  <c r="B2" i="21" s="1"/>
  <c r="B3" i="21" s="1"/>
  <c r="C48" i="21"/>
  <c r="E52" i="21"/>
  <c r="F52" i="21" s="1"/>
  <c r="E53" i="21"/>
  <c r="F53" i="21" s="1"/>
  <c r="G42" i="35"/>
  <c r="H42" i="35" s="1"/>
  <c r="G43" i="35"/>
  <c r="H43" i="35" s="1"/>
  <c r="I53" i="21"/>
  <c r="J53" i="21" s="1"/>
  <c r="K65" i="40"/>
  <c r="L63" i="40"/>
  <c r="I42" i="35"/>
  <c r="J42" i="35" s="1"/>
  <c r="F41" i="80"/>
  <c r="F41" i="81"/>
  <c r="E49" i="34" l="1"/>
  <c r="R50" i="34"/>
  <c r="I53" i="34"/>
  <c r="J53" i="34" s="1"/>
  <c r="I54" i="34"/>
  <c r="J54" i="34" s="1"/>
  <c r="G53" i="34"/>
  <c r="H53" i="34" s="1"/>
  <c r="G54" i="34"/>
  <c r="H54" i="34" s="1"/>
  <c r="J29" i="81"/>
  <c r="F69" i="81"/>
  <c r="J29" i="80"/>
  <c r="F69" i="80"/>
  <c r="C23" i="79"/>
  <c r="C29" i="79" s="1"/>
  <c r="C57" i="79" s="1"/>
  <c r="C23" i="80"/>
  <c r="C29" i="80" s="1"/>
  <c r="C57" i="80" s="1"/>
  <c r="C23" i="81"/>
  <c r="C29" i="81" s="1"/>
  <c r="L70" i="39"/>
  <c r="M68" i="39"/>
  <c r="J19" i="67"/>
  <c r="J17" i="67" s="1"/>
  <c r="Q49" i="67"/>
  <c r="J14" i="67"/>
  <c r="J22" i="67" s="1"/>
  <c r="J59" i="67"/>
  <c r="J60" i="67" s="1"/>
  <c r="C36" i="67"/>
  <c r="C57" i="67"/>
  <c r="C61" i="67" s="1"/>
  <c r="C59" i="67" s="1"/>
  <c r="C13" i="67"/>
  <c r="C75" i="67" s="1"/>
  <c r="C23" i="15"/>
  <c r="C29" i="15" s="1"/>
  <c r="C33" i="15" s="1"/>
  <c r="C31" i="15" s="1"/>
  <c r="C42" i="68"/>
  <c r="C41" i="68" s="1"/>
  <c r="C46" i="68"/>
  <c r="C45" i="68" s="1"/>
  <c r="C33" i="11"/>
  <c r="C42" i="11" s="1"/>
  <c r="R27" i="6"/>
  <c r="R6" i="1"/>
  <c r="R16" i="1" s="1"/>
  <c r="C57" i="69"/>
  <c r="C56" i="69" s="1"/>
  <c r="R39" i="35"/>
  <c r="E38" i="35"/>
  <c r="M63" i="40"/>
  <c r="L65" i="40"/>
  <c r="C36" i="79" l="1"/>
  <c r="C49" i="34"/>
  <c r="C50" i="34"/>
  <c r="B2" i="34" s="1"/>
  <c r="B3" i="34" s="1"/>
  <c r="C6" i="12" s="1"/>
  <c r="E54" i="34"/>
  <c r="F54" i="34" s="1"/>
  <c r="E53" i="34"/>
  <c r="F53" i="34" s="1"/>
  <c r="J19" i="79"/>
  <c r="J17" i="79" s="1"/>
  <c r="J14" i="80"/>
  <c r="J13" i="80" s="1"/>
  <c r="J23" i="80" s="1"/>
  <c r="C13" i="80"/>
  <c r="Q70" i="80" s="1"/>
  <c r="Q49" i="80"/>
  <c r="C36" i="80"/>
  <c r="J19" i="80"/>
  <c r="J17" i="80" s="1"/>
  <c r="J14" i="79"/>
  <c r="J22" i="79" s="1"/>
  <c r="Q49" i="79"/>
  <c r="C13" i="79"/>
  <c r="C75" i="79" s="1"/>
  <c r="C61" i="79"/>
  <c r="C59" i="79" s="1"/>
  <c r="C64" i="79"/>
  <c r="C57" i="81"/>
  <c r="J19" i="81"/>
  <c r="J17" i="81" s="1"/>
  <c r="C13" i="81"/>
  <c r="C36" i="81"/>
  <c r="J14" i="81"/>
  <c r="Q49" i="81"/>
  <c r="J22" i="80"/>
  <c r="C56" i="80"/>
  <c r="C65" i="80" s="1"/>
  <c r="C61" i="80"/>
  <c r="C59" i="80" s="1"/>
  <c r="C64" i="80"/>
  <c r="N68" i="39"/>
  <c r="M70" i="39"/>
  <c r="C37" i="67"/>
  <c r="C30" i="67" s="1"/>
  <c r="C39" i="67" s="1"/>
  <c r="Q69" i="67" s="1"/>
  <c r="Q70" i="67"/>
  <c r="J13" i="67"/>
  <c r="J23" i="67" s="1"/>
  <c r="J16" i="67" s="1"/>
  <c r="J25" i="67" s="1"/>
  <c r="C57" i="15"/>
  <c r="C61" i="15" s="1"/>
  <c r="C59" i="15" s="1"/>
  <c r="C56" i="67"/>
  <c r="C65" i="67" s="1"/>
  <c r="C64" i="67"/>
  <c r="C13" i="15"/>
  <c r="Q70" i="15" s="1"/>
  <c r="J14" i="15"/>
  <c r="J22" i="15" s="1"/>
  <c r="Q48" i="67"/>
  <c r="L46" i="67"/>
  <c r="Q49" i="15"/>
  <c r="J19" i="15"/>
  <c r="J17" i="15" s="1"/>
  <c r="C36" i="15"/>
  <c r="J59" i="15"/>
  <c r="J60" i="15" s="1"/>
  <c r="C37" i="15"/>
  <c r="C49" i="68"/>
  <c r="C51" i="68" s="1"/>
  <c r="C39" i="11"/>
  <c r="C43" i="11" s="1"/>
  <c r="C41" i="11" s="1"/>
  <c r="C39" i="35"/>
  <c r="B2" i="35" s="1"/>
  <c r="B3" i="35" s="1"/>
  <c r="C38" i="35"/>
  <c r="N63" i="40"/>
  <c r="M65" i="40"/>
  <c r="E43" i="35"/>
  <c r="F43" i="35" s="1"/>
  <c r="E42" i="35"/>
  <c r="F42" i="35" s="1"/>
  <c r="I43" i="35"/>
  <c r="J43" i="35" s="1"/>
  <c r="L51" i="67"/>
  <c r="C30" i="15" l="1"/>
  <c r="C39" i="15" s="1"/>
  <c r="C37" i="79"/>
  <c r="C30" i="79" s="1"/>
  <c r="C39" i="79" s="1"/>
  <c r="C37" i="80"/>
  <c r="C30" i="80" s="1"/>
  <c r="C39" i="80" s="1"/>
  <c r="Q69" i="80" s="1"/>
  <c r="Q68" i="80" s="1"/>
  <c r="C56" i="79"/>
  <c r="C65" i="79" s="1"/>
  <c r="C58" i="79" s="1"/>
  <c r="C67" i="79" s="1"/>
  <c r="C68" i="79" s="1"/>
  <c r="C75" i="80"/>
  <c r="C80" i="80" s="1"/>
  <c r="C79" i="80" s="1"/>
  <c r="Q70" i="79"/>
  <c r="J13" i="79"/>
  <c r="J23" i="79" s="1"/>
  <c r="J16" i="79" s="1"/>
  <c r="J25" i="79" s="1"/>
  <c r="C58" i="80"/>
  <c r="C67" i="80" s="1"/>
  <c r="C68" i="80" s="1"/>
  <c r="C71" i="80" s="1"/>
  <c r="J16" i="80"/>
  <c r="J25" i="80" s="1"/>
  <c r="Q69" i="79"/>
  <c r="J13" i="81"/>
  <c r="J23" i="81" s="1"/>
  <c r="J22" i="81"/>
  <c r="C75" i="81"/>
  <c r="C37" i="81"/>
  <c r="C30" i="81" s="1"/>
  <c r="C39" i="81" s="1"/>
  <c r="Q70" i="81"/>
  <c r="C56" i="81"/>
  <c r="C65" i="81" s="1"/>
  <c r="C64" i="81"/>
  <c r="C61" i="81"/>
  <c r="C59" i="81" s="1"/>
  <c r="N70" i="39"/>
  <c r="F7" i="39" s="1"/>
  <c r="O68" i="39"/>
  <c r="O70" i="39" s="1"/>
  <c r="Q68" i="67"/>
  <c r="Q48" i="15"/>
  <c r="Q67" i="67"/>
  <c r="L57" i="67"/>
  <c r="L60" i="67" s="1"/>
  <c r="Q66" i="67" s="1"/>
  <c r="C40" i="67"/>
  <c r="Q56" i="67" s="1"/>
  <c r="C80" i="67"/>
  <c r="C79" i="67" s="1"/>
  <c r="C64" i="15"/>
  <c r="C58" i="67"/>
  <c r="C67" i="67" s="1"/>
  <c r="C68" i="67" s="1"/>
  <c r="C71" i="67" s="1"/>
  <c r="J13" i="15"/>
  <c r="J23" i="15" s="1"/>
  <c r="J16" i="15" s="1"/>
  <c r="J25" i="15" s="1"/>
  <c r="C75" i="15"/>
  <c r="C56" i="15"/>
  <c r="C65" i="15" s="1"/>
  <c r="C58" i="15" s="1"/>
  <c r="C67" i="15" s="1"/>
  <c r="C68" i="15" s="1"/>
  <c r="C71" i="15" s="1"/>
  <c r="L57" i="15"/>
  <c r="L60" i="15" s="1"/>
  <c r="L46" i="15" s="1"/>
  <c r="C40" i="15"/>
  <c r="Q69" i="15"/>
  <c r="Q68" i="15" s="1"/>
  <c r="C46" i="11"/>
  <c r="C45" i="11" s="1"/>
  <c r="C49" i="11" s="1"/>
  <c r="C51" i="11" s="1"/>
  <c r="C52" i="11" s="1"/>
  <c r="B2" i="11" s="1"/>
  <c r="B3" i="11" s="1"/>
  <c r="O63" i="40"/>
  <c r="O65" i="40" s="1"/>
  <c r="N65" i="40"/>
  <c r="L51" i="15"/>
  <c r="L51" i="79"/>
  <c r="L51" i="80"/>
  <c r="L51" i="81"/>
  <c r="C80" i="15" l="1"/>
  <c r="C79" i="15" s="1"/>
  <c r="Q67" i="15"/>
  <c r="C40" i="80"/>
  <c r="B2" i="80" s="1"/>
  <c r="Q67" i="79"/>
  <c r="C80" i="79"/>
  <c r="C79" i="79" s="1"/>
  <c r="C40" i="79"/>
  <c r="C46" i="79" s="1"/>
  <c r="Q67" i="80"/>
  <c r="C58" i="81"/>
  <c r="C67" i="81" s="1"/>
  <c r="C68" i="81" s="1"/>
  <c r="C71" i="81" s="1"/>
  <c r="Q68" i="79"/>
  <c r="J16" i="81"/>
  <c r="J25" i="81" s="1"/>
  <c r="Q67" i="81"/>
  <c r="C40" i="81"/>
  <c r="Q69" i="81"/>
  <c r="Q68" i="81" s="1"/>
  <c r="C71" i="79"/>
  <c r="C80" i="81"/>
  <c r="C79" i="81" s="1"/>
  <c r="C43" i="67"/>
  <c r="H7" i="39"/>
  <c r="AA7" i="39"/>
  <c r="R47" i="39" s="1"/>
  <c r="S7" i="39"/>
  <c r="J7" i="39"/>
  <c r="D2" i="67"/>
  <c r="B3" i="67" s="1"/>
  <c r="Q57" i="67"/>
  <c r="Q47" i="67"/>
  <c r="Q53" i="67" s="1"/>
  <c r="C83" i="67"/>
  <c r="C82" i="67" s="1"/>
  <c r="Q65" i="67"/>
  <c r="Q75" i="67" s="1"/>
  <c r="C45" i="67"/>
  <c r="C46" i="67" s="1"/>
  <c r="C46" i="15"/>
  <c r="Q62" i="67"/>
  <c r="B2" i="15"/>
  <c r="Q65" i="15"/>
  <c r="Q47" i="15"/>
  <c r="Q53" i="15" s="1"/>
  <c r="Q56" i="15"/>
  <c r="C43" i="15"/>
  <c r="C83" i="15"/>
  <c r="C82" i="15" s="1"/>
  <c r="Q57" i="15"/>
  <c r="Q66" i="15"/>
  <c r="Q75" i="15" s="1"/>
  <c r="C56" i="11"/>
  <c r="C57" i="11" s="1"/>
  <c r="J7" i="40"/>
  <c r="F7" i="40"/>
  <c r="H7" i="40"/>
  <c r="AO10" i="1"/>
  <c r="AO8" i="1"/>
  <c r="C46" i="80" l="1"/>
  <c r="B2" i="67"/>
  <c r="Q47" i="80"/>
  <c r="Q53" i="80" s="1"/>
  <c r="Q65" i="80"/>
  <c r="Q75" i="80" s="1"/>
  <c r="C43" i="80"/>
  <c r="Q56" i="80"/>
  <c r="Q62" i="80" s="1"/>
  <c r="C83" i="80"/>
  <c r="C82" i="80" s="1"/>
  <c r="C83" i="79"/>
  <c r="C82" i="79" s="1"/>
  <c r="Q65" i="79"/>
  <c r="Q75" i="79" s="1"/>
  <c r="B2" i="79"/>
  <c r="C43" i="79"/>
  <c r="Q47" i="79"/>
  <c r="Q53" i="79" s="1"/>
  <c r="Q56" i="79"/>
  <c r="Q62" i="79" s="1"/>
  <c r="G8" i="12"/>
  <c r="AE20" i="1"/>
  <c r="B8" i="70"/>
  <c r="E8" i="12"/>
  <c r="B3" i="80"/>
  <c r="E6" i="12" s="1"/>
  <c r="C46" i="81"/>
  <c r="Q47" i="81"/>
  <c r="Q53" i="81" s="1"/>
  <c r="Q65" i="81"/>
  <c r="Q75" i="81" s="1"/>
  <c r="C43" i="81"/>
  <c r="B2" i="81"/>
  <c r="Q56" i="81"/>
  <c r="Q62" i="81" s="1"/>
  <c r="C83" i="81"/>
  <c r="C82" i="81" s="1"/>
  <c r="B3" i="79"/>
  <c r="F6" i="12" s="1"/>
  <c r="AC7" i="39"/>
  <c r="V47" i="39" s="1"/>
  <c r="I47" i="39" s="1"/>
  <c r="W7" i="39"/>
  <c r="E47" i="39"/>
  <c r="AB7" i="39"/>
  <c r="T47" i="39" s="1"/>
  <c r="G47" i="39" s="1"/>
  <c r="U7" i="39"/>
  <c r="B10" i="70"/>
  <c r="B3" i="15"/>
  <c r="G6" i="12" s="1"/>
  <c r="Q62" i="15"/>
  <c r="U7" i="40"/>
  <c r="AB7" i="40"/>
  <c r="T42" i="40" s="1"/>
  <c r="G42" i="40" s="1"/>
  <c r="AA7" i="40"/>
  <c r="R42" i="40" s="1"/>
  <c r="S7" i="40"/>
  <c r="AC7" i="40"/>
  <c r="V42" i="40" s="1"/>
  <c r="I42" i="40" s="1"/>
  <c r="W7" i="40"/>
  <c r="AO9" i="1"/>
  <c r="AO7" i="1"/>
  <c r="B9" i="70" l="1"/>
  <c r="F8" i="12"/>
  <c r="B7" i="70"/>
  <c r="D8" i="12"/>
  <c r="B3" i="81"/>
  <c r="D6" i="12" s="1"/>
  <c r="R48" i="39"/>
  <c r="G51" i="39"/>
  <c r="H51" i="39" s="1"/>
  <c r="G52" i="39"/>
  <c r="H52" i="39" s="1"/>
  <c r="E52" i="39"/>
  <c r="F52" i="39" s="1"/>
  <c r="E51" i="39"/>
  <c r="F51" i="39" s="1"/>
  <c r="I51" i="39"/>
  <c r="J51" i="39" s="1"/>
  <c r="I52" i="39"/>
  <c r="J52" i="39" s="1"/>
  <c r="I46" i="40"/>
  <c r="J46" i="40" s="1"/>
  <c r="R43" i="40"/>
  <c r="E42" i="40"/>
  <c r="G47" i="40"/>
  <c r="H47" i="40" s="1"/>
  <c r="G46" i="40"/>
  <c r="H46" i="40" s="1"/>
  <c r="C4" i="12" l="1"/>
  <c r="M4" i="12" s="1"/>
  <c r="M7" i="12"/>
  <c r="N8" i="12" s="1"/>
  <c r="B2" i="70"/>
  <c r="B3" i="70" s="1"/>
  <c r="C48" i="39"/>
  <c r="C47" i="39"/>
  <c r="C42" i="40"/>
  <c r="C43" i="40"/>
  <c r="E47" i="40"/>
  <c r="F47" i="40" s="1"/>
  <c r="E46" i="40"/>
  <c r="F46" i="40" s="1"/>
  <c r="I47" i="40"/>
  <c r="J47" i="40" s="1"/>
  <c r="C23" i="12" l="1"/>
  <c r="C27" i="12" s="1"/>
  <c r="C25" i="12" s="1"/>
  <c r="C31" i="12"/>
  <c r="C30" i="12"/>
  <c r="C28" i="12" s="1"/>
  <c r="B56" i="39"/>
  <c r="F56" i="39" s="1"/>
  <c r="B64" i="39"/>
  <c r="F64" i="39" s="1"/>
  <c r="B65" i="39"/>
  <c r="F65" i="39" s="1"/>
  <c r="B61" i="39"/>
  <c r="F61" i="39" s="1"/>
  <c r="B60" i="39"/>
  <c r="F60" i="39" s="1"/>
  <c r="B57" i="39"/>
  <c r="F57" i="39" s="1"/>
  <c r="B58" i="39"/>
  <c r="F58" i="39" s="1"/>
  <c r="B63" i="39"/>
  <c r="F63" i="39" s="1"/>
  <c r="B59" i="39"/>
  <c r="F59" i="39" s="1"/>
  <c r="B62" i="39"/>
  <c r="F6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F66" i="39"/>
  <c r="B2" i="39" s="1"/>
  <c r="D20" i="9"/>
  <c r="D19" i="9"/>
  <c r="F34" i="9" l="1"/>
  <c r="C6" i="68"/>
  <c r="D102" i="9"/>
  <c r="D21" i="9"/>
  <c r="D103" i="9"/>
  <c r="C7" i="68"/>
  <c r="C5" i="68" s="1"/>
  <c r="B3" i="39"/>
  <c r="C23" i="68" l="1"/>
  <c r="C20" i="68"/>
  <c r="C25" i="68" l="1"/>
  <c r="C22" i="68" s="1"/>
  <c r="C28" i="68"/>
  <c r="C27" i="68" s="1"/>
  <c r="C31" i="68" l="1"/>
  <c r="C52" i="68" s="1"/>
  <c r="B2" i="68" s="1"/>
  <c r="C19" i="9"/>
  <c r="C57" i="68" l="1"/>
  <c r="C56" i="68" s="1"/>
  <c r="C102" i="9"/>
  <c r="C21" i="9"/>
  <c r="G19" i="9"/>
  <c r="K23" i="9" s="1"/>
  <c r="D22" i="9"/>
  <c r="B3" i="68"/>
  <c r="C20" i="9"/>
  <c r="G21" i="9" l="1"/>
  <c r="F35" i="9"/>
  <c r="C103" i="9"/>
  <c r="G20" i="9"/>
  <c r="C32" i="9" s="1"/>
  <c r="C35" i="9" l="1"/>
  <c r="D35" i="9" s="1"/>
  <c r="H118" i="9"/>
  <c r="F118" i="9" l="1"/>
  <c r="F119" i="9" s="1"/>
  <c r="F5" i="52" s="1"/>
  <c r="B53" i="72" s="1"/>
  <c r="C34" i="9"/>
  <c r="H119" i="9"/>
  <c r="H5" i="52" s="1"/>
  <c r="H4" i="52"/>
  <c r="D14" i="74"/>
  <c r="C104" i="9"/>
  <c r="H101" i="9"/>
  <c r="I118" i="9"/>
  <c r="F4" i="52"/>
  <c r="B51" i="72" s="1"/>
  <c r="D34" i="9"/>
  <c r="G118" i="9" l="1"/>
  <c r="G4" i="52" s="1"/>
  <c r="B52" i="72" s="1"/>
  <c r="D118" i="9"/>
  <c r="D4" i="52" s="1"/>
  <c r="B47" i="72" s="1"/>
  <c r="C105" i="9"/>
  <c r="I4" i="52"/>
  <c r="H102" i="9"/>
  <c r="D7" i="53" s="1"/>
  <c r="B21" i="72" s="1"/>
  <c r="E118" i="9"/>
  <c r="E4" i="52" s="1"/>
  <c r="B48" i="72" s="1"/>
  <c r="H107" i="9"/>
  <c r="D45" i="9"/>
  <c r="D5" i="53"/>
  <c r="M48" i="9"/>
  <c r="B5" i="74"/>
  <c r="F14" i="74"/>
  <c r="E14" i="74"/>
  <c r="D119" i="9" l="1"/>
  <c r="D5" i="52" s="1"/>
  <c r="B49" i="72" s="1"/>
  <c r="D52" i="9"/>
  <c r="C72" i="9"/>
  <c r="D55" i="9"/>
  <c r="M53" i="9" s="1"/>
  <c r="C78" i="9"/>
  <c r="C73" i="9" s="1"/>
  <c r="C85" i="9"/>
  <c r="C93" i="9"/>
  <c r="C86" i="9" s="1"/>
  <c r="D53" i="9"/>
  <c r="C64" i="9"/>
  <c r="C63" i="9" s="1"/>
  <c r="C67" i="9" s="1"/>
  <c r="C5" i="74"/>
  <c r="D5" i="74"/>
  <c r="B20" i="72"/>
  <c r="D6" i="53"/>
  <c r="B22" i="72" s="1"/>
  <c r="D13" i="53"/>
  <c r="H108" i="9"/>
  <c r="D15" i="53" s="1"/>
  <c r="B31" i="72" s="1"/>
  <c r="M49" i="9"/>
  <c r="D122" i="9"/>
  <c r="D59" i="9" l="1"/>
  <c r="M55" i="9" s="1"/>
  <c r="C68" i="9"/>
  <c r="D54" i="9" s="1"/>
  <c r="C79" i="9"/>
  <c r="D8" i="52"/>
  <c r="G14" i="74"/>
  <c r="B6" i="74" s="1"/>
  <c r="D123" i="9"/>
  <c r="D9" i="52" s="1"/>
  <c r="L64" i="9"/>
  <c r="M64" i="9" s="1"/>
  <c r="L65" i="9"/>
  <c r="M65" i="9" s="1"/>
  <c r="L67" i="9"/>
  <c r="M67" i="9" s="1"/>
  <c r="L68" i="9"/>
  <c r="M68" i="9" s="1"/>
  <c r="L66" i="9"/>
  <c r="M66" i="9" s="1"/>
  <c r="L63" i="9"/>
  <c r="M63" i="9" s="1"/>
  <c r="B30" i="72"/>
  <c r="D14" i="53"/>
  <c r="B32" i="72" s="1"/>
  <c r="C95" i="9"/>
  <c r="M69" i="9" l="1"/>
  <c r="N69" i="9" s="1"/>
  <c r="C96" i="9"/>
  <c r="E96" i="9" s="1"/>
  <c r="E97" i="9" s="1"/>
  <c r="D6" i="74"/>
  <c r="C6" i="74"/>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<sst xmlns="http://schemas.openxmlformats.org/spreadsheetml/2006/main" count="10686" uniqueCount="3725">
  <si>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</si>
  <si>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</si>
  <si>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</si>
  <si>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</si>
  <si>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</si>
  <si>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</si>
  <si>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</si>
  <si>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</si>
  <si>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</si>
  <si>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</si>
  <si>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</si>
  <si>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</si>
  <si>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</si>
  <si>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</si>
  <si>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</si>
  <si>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</si>
  <si>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</si>
  <si>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</si>
  <si>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</si>
  <si>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</si>
  <si>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</si>
  <si>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</si>
  <si>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</si>
  <si>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</si>
  <si>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</si>
  <si>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</si>
  <si>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</si>
  <si>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</si>
  <si>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</si>
  <si>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</si>
  <si>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</si>
  <si>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</si>
  <si>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</si>
  <si>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</si>
  <si>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</si>
  <si>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</si>
  <si>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</si>
  <si>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</si>
  <si>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</si>
  <si>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</si>
  <si>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</si>
  <si>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</si>
  <si>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</si>
  <si>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</si>
  <si>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</si>
  <si>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</si>
  <si>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</si>
  <si>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</si>
  <si>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</si>
  <si>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</si>
  <si>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</si>
  <si>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</si>
  <si>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</si>
  <si>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</si>
  <si>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</si>
  <si>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</si>
  <si>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</si>
  <si>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</si>
  <si>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</si>
  <si>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</si>
  <si>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</si>
  <si>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</si>
  <si>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</si>
  <si>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</si>
  <si>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</si>
  <si>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</si>
  <si>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</si>
  <si>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</si>
  <si>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</si>
  <si>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</si>
  <si>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</si>
  <si>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</si>
  <si>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</si>
  <si>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</si>
  <si>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</si>
  <si>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</si>
  <si>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</si>
  <si>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</si>
  <si>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</si>
  <si>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</si>
  <si>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</si>
  <si>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</si>
  <si>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</si>
  <si>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</si>
  <si>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</si>
  <si>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</si>
  <si>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</si>
  <si>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</si>
  <si>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</si>
  <si>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</si>
  <si>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</si>
  <si>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</si>
  <si>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</si>
  <si>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</si>
  <si>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</si>
  <si>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</si>
  <si>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</si>
  <si>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</si>
  <si>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</si>
  <si>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</si>
  <si>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</si>
  <si>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</si>
  <si>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</si>
  <si>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</si>
  <si>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</si>
  <si>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</si>
  <si>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</si>
  <si>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</si>
  <si>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</si>
  <si>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</si>
  <si>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</si>
  <si>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</si>
  <si>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</si>
  <si>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</si>
  <si>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</si>
  <si>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</si>
  <si>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</si>
  <si>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</si>
  <si>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</si>
  <si>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</si>
  <si>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</si>
  <si>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</si>
  <si>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</si>
  <si>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</si>
  <si>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</si>
  <si>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</si>
  <si>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</si>
  <si>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</si>
  <si>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</si>
  <si>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</si>
  <si>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</si>
  <si>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</si>
  <si>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</si>
  <si>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</si>
  <si>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</si>
  <si>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</si>
  <si>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</si>
  <si>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</si>
  <si>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</si>
  <si>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</si>
  <si>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</si>
  <si>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</si>
  <si>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</si>
  <si>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</si>
  <si>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</si>
  <si>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</si>
  <si>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</si>
  <si>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</si>
  <si>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</si>
  <si>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</si>
  <si>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</si>
  <si>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</si>
  <si>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</si>
  <si>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</si>
  <si>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</si>
  <si>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</si>
  <si>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</si>
  <si>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</si>
  <si>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</si>
  <si>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</si>
  <si>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</si>
  <si>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</si>
  <si>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</si>
  <si>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</si>
  <si>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</si>
  <si>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</si>
  <si>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</si>
  <si>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</si>
  <si>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</si>
  <si>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</si>
  <si>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</si>
  <si>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</si>
  <si>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</si>
  <si>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</si>
  <si>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</si>
  <si>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</si>
  <si>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</si>
  <si>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</si>
  <si>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</si>
  <si>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</si>
  <si>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</si>
  <si>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</si>
  <si>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</si>
  <si>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</si>
  <si>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</si>
  <si>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</si>
  <si>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</si>
  <si>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</si>
  <si>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</si>
  <si>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</si>
  <si>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</si>
  <si>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</si>
  <si>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</si>
  <si>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</si>
  <si>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</si>
  <si>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</si>
  <si>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</si>
  <si>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</si>
  <si>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</si>
  <si>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</si>
  <si>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</si>
  <si>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</si>
  <si>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</si>
  <si>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</si>
  <si>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</si>
  <si>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</si>
  <si>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</si>
  <si>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</si>
  <si>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</si>
  <si>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</si>
  <si>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</si>
  <si>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</si>
  <si>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</si>
  <si>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</si>
  <si>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</si>
  <si>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</si>
  <si>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</si>
  <si>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</si>
  <si>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</si>
  <si>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</si>
  <si>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</si>
  <si>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</si>
  <si>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</si>
  <si>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</si>
  <si>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</si>
  <si>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</si>
  <si>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</si>
  <si>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</si>
  <si>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</si>
  <si>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</si>
  <si>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</si>
  <si>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</si>
  <si>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</si>
  <si>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</si>
  <si>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</si>
  <si>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</si>
  <si>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</si>
  <si>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</si>
  <si>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</si>
  <si>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</si>
  <si>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</si>
  <si>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</si>
  <si>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</si>
  <si>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</si>
  <si>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</si>
  <si>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</si>
  <si>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</si>
  <si>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</si>
  <si>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</si>
  <si>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</si>
  <si>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</si>
  <si>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</si>
  <si>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</si>
  <si>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</si>
  <si>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</si>
  <si>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</si>
  <si>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</si>
  <si>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</si>
  <si>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</si>
  <si>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</si>
  <si>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</si>
  <si>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</si>
  <si>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</si>
  <si>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</si>
  <si>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</si>
  <si>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</si>
  <si>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</si>
  <si>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</si>
  <si>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</si>
  <si>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</si>
  <si>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</si>
  <si>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</si>
  <si>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</si>
  <si>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</si>
  <si>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</si>
  <si>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</si>
  <si>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</si>
  <si>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</si>
  <si>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</si>
  <si>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</si>
  <si>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</si>
  <si>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</si>
  <si>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</si>
  <si>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</si>
  <si>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</si>
  <si>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</si>
  <si>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</si>
  <si>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</si>
  <si>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</si>
  <si>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</si>
  <si>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</si>
  <si>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</si>
  <si>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</si>
  <si>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</si>
  <si>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</si>
  <si>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</si>
  <si>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</si>
  <si>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</si>
  <si>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</si>
  <si>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</si>
  <si>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</si>
  <si>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</si>
  <si>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</si>
  <si>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</si>
  <si>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</si>
  <si>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</si>
  <si>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</si>
  <si>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</si>
  <si>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</si>
  <si>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</si>
  <si>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</si>
  <si>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</si>
  <si>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</si>
  <si>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</si>
  <si>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</si>
  <si>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</si>
  <si>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</si>
  <si>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</si>
  <si>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</si>
  <si>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</si>
  <si>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</si>
  <si>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</si>
  <si>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</si>
  <si>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</si>
  <si>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</si>
  <si>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</si>
  <si>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</si>
  <si>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</si>
  <si>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</si>
  <si>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</si>
  <si>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</si>
  <si>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</si>
  <si>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</si>
  <si>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</si>
  <si>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</si>
  <si>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</si>
  <si>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</si>
  <si>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</si>
  <si>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</si>
  <si>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</si>
  <si>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</si>
  <si>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</si>
  <si>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</si>
  <si>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</si>
  <si>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</si>
  <si>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</si>
  <si>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</si>
  <si>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</si>
  <si>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</si>
  <si>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</si>
  <si>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</si>
  <si>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</si>
  <si>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</si>
  <si>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</si>
  <si>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</si>
  <si>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</si>
  <si>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</si>
  <si>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</si>
  <si>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</si>
  <si>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</si>
  <si>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</si>
  <si>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</si>
  <si>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</si>
  <si>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</si>
  <si>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</si>
  <si>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</si>
  <si>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</si>
  <si>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</si>
  <si>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</si>
  <si>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</si>
  <si>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</si>
  <si>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</si>
  <si>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</si>
  <si>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</si>
  <si>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</si>
  <si>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</si>
  <si>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</si>
  <si>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</si>
  <si>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</si>
  <si>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</si>
  <si>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</si>
  <si>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</si>
  <si>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</si>
  <si>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</si>
  <si>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</si>
  <si>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</si>
  <si>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</si>
  <si>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</si>
  <si>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</si>
  <si>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</si>
  <si>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</si>
  <si>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</si>
  <si>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</si>
  <si>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</si>
  <si>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</si>
  <si>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</si>
  <si>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</si>
  <si>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</si>
  <si>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</si>
  <si>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</si>
  <si>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</si>
  <si>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</si>
  <si>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</si>
  <si>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</si>
  <si>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</si>
  <si>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</si>
  <si>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</si>
  <si>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</si>
  <si>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</si>
  <si>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</si>
  <si>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</si>
  <si>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</si>
  <si>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</si>
  <si>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</si>
  <si>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</si>
  <si>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</si>
  <si>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</si>
  <si>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</si>
  <si>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</si>
  <si>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</si>
  <si>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</si>
  <si>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</si>
  <si>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</si>
  <si>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</si>
  <si>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</si>
  <si>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</si>
  <si>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</si>
  <si>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</si>
  <si>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</si>
  <si>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</si>
  <si>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</si>
  <si>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</si>
  <si>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</si>
  <si>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</si>
  <si>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</si>
  <si>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</si>
  <si>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</si>
  <si>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</si>
  <si>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</si>
  <si>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</si>
  <si>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</si>
  <si>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</si>
  <si>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</si>
  <si>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</si>
  <si>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</si>
  <si>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</si>
  <si>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</si>
  <si>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</si>
  <si>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</si>
  <si>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</si>
  <si>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</si>
  <si>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</si>
  <si>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</si>
  <si>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</si>
  <si>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</si>
  <si>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</si>
  <si>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</si>
  <si>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</si>
  <si>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</si>
  <si>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</si>
  <si>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</si>
  <si>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</si>
  <si>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</si>
  <si>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</si>
  <si>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</si>
  <si>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</si>
  <si>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</si>
  <si>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</si>
  <si>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</si>
  <si>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</si>
  <si>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</si>
  <si>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</si>
  <si>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</si>
  <si>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</si>
  <si>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</si>
  <si>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</si>
  <si>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</si>
  <si>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</si>
  <si>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</si>
  <si>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</si>
  <si>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</si>
  <si>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</si>
  <si>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</si>
  <si>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</si>
  <si>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</si>
  <si>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</si>
  <si>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</si>
  <si>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</si>
  <si>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</si>
  <si>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</si>
  <si>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</si>
  <si>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</si>
  <si>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</si>
  <si>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</si>
  <si>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</si>
  <si>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</si>
  <si>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</si>
  <si>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</si>
  <si>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</si>
  <si>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</si>
  <si>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</si>
  <si>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</si>
  <si>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</si>
  <si>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</si>
  <si>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</si>
  <si>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</si>
  <si>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</si>
  <si>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</si>
  <si>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</si>
  <si>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</si>
  <si>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</si>
  <si>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</si>
  <si>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</si>
  <si>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</si>
  <si>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</si>
  <si>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</si>
  <si>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</si>
  <si>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</si>
  <si>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</si>
  <si>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</si>
  <si>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</si>
  <si>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</si>
  <si>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</si>
  <si>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</si>
  <si>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</si>
  <si>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</si>
  <si>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</si>
  <si>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</si>
  <si>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</si>
  <si>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</si>
  <si>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</si>
  <si>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</si>
  <si>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</si>
  <si>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</si>
  <si>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</si>
  <si>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</si>
  <si>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</si>
  <si>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</si>
  <si>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</si>
  <si>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</si>
  <si>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</si>
  <si>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</si>
  <si>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</si>
  <si>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</si>
  <si>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</si>
  <si>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</si>
  <si>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</si>
  <si>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</si>
  <si>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</si>
  <si>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</si>
  <si>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</si>
  <si>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</si>
  <si>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</si>
  <si>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</si>
  <si>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</si>
  <si>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</si>
  <si>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</si>
  <si>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</si>
  <si>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</si>
  <si>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</si>
  <si>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</si>
  <si>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</si>
  <si>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</si>
  <si>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</si>
  <si>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</si>
  <si>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</si>
  <si>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</si>
  <si>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</si>
  <si>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</si>
  <si>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</si>
  <si>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</si>
  <si>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</si>
  <si>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</si>
  <si>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</si>
  <si>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</si>
  <si>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</si>
  <si>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</si>
  <si>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</si>
  <si>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</si>
  <si>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</si>
  <si>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</si>
  <si>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</si>
  <si>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</si>
  <si>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</si>
  <si>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</si>
  <si>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</si>
  <si>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</si>
  <si>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</si>
  <si>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</si>
  <si>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</si>
  <si>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</si>
  <si>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</si>
  <si>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</si>
  <si>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</si>
  <si>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</si>
  <si>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</si>
  <si>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</si>
  <si>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</si>
  <si>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</si>
  <si>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</si>
  <si>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</si>
  <si>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</si>
  <si>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</si>
  <si>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</si>
  <si>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</si>
  <si>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</si>
  <si>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</si>
  <si>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</si>
  <si>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</si>
  <si>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</si>
  <si>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</si>
  <si>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</si>
  <si>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</si>
  <si>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</si>
  <si>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</si>
  <si>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</si>
  <si>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</si>
  <si>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</si>
  <si>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</si>
  <si>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</si>
  <si>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</si>
  <si>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</si>
  <si>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</si>
  <si>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</si>
  <si>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</si>
  <si>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</si>
  <si>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</si>
  <si>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</si>
  <si>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</si>
  <si>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</si>
  <si>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</si>
  <si>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</si>
  <si>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</si>
  <si>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</si>
  <si>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</si>
  <si>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</si>
  <si>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</si>
  <si>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</si>
  <si>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</si>
  <si>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</si>
  <si>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</si>
  <si>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</si>
  <si>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</si>
  <si>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</si>
  <si>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</si>
  <si>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</si>
  <si>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</si>
  <si>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</si>
  <si>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</si>
  <si>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</si>
  <si>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</si>
  <si>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</si>
  <si>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</si>
  <si>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</si>
  <si>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</si>
  <si>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</si>
  <si>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</si>
  <si>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</si>
  <si>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</si>
  <si>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</si>
  <si>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</si>
  <si>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</si>
  <si>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</si>
  <si>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</si>
  <si>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</si>
  <si>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</si>
  <si>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</si>
  <si>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</si>
  <si>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</si>
  <si>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</si>
  <si>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</si>
  <si>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</si>
  <si>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</si>
  <si>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</si>
  <si>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</si>
  <si>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</si>
  <si>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</si>
  <si>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</si>
  <si>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</si>
  <si>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</si>
  <si>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</si>
  <si>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</si>
  <si>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</si>
  <si>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</si>
  <si>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</si>
  <si>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</si>
  <si>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</si>
  <si>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</si>
  <si>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</si>
  <si>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</si>
  <si>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</si>
  <si>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</si>
  <si>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</si>
  <si>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</si>
  <si>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</si>
  <si>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</si>
  <si>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</si>
  <si>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</si>
  <si>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</si>
  <si>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</si>
  <si>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</si>
  <si>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</si>
  <si>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</si>
  <si>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</si>
  <si>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</si>
  <si>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</si>
  <si>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</si>
  <si>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</si>
  <si>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</si>
  <si>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</si>
  <si>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</si>
  <si>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</si>
  <si>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</si>
  <si>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</si>
  <si>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</si>
  <si>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</si>
  <si>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</si>
  <si>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</si>
  <si>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</si>
  <si>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</si>
  <si>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</si>
  <si>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</si>
  <si>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</si>
  <si>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</si>
  <si>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</si>
  <si>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</si>
  <si>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</si>
  <si>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</si>
  <si>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</si>
  <si>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</si>
  <si>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</si>
  <si>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</si>
  <si>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</si>
  <si>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</si>
  <si>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</si>
  <si>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</si>
  <si>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</si>
  <si>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</si>
  <si>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</si>
  <si>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</si>
  <si>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</si>
  <si>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</si>
  <si>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</si>
  <si>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</si>
  <si>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</si>
  <si>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</si>
  <si>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</si>
  <si>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</si>
  <si>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</si>
  <si>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</si>
  <si>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</si>
  <si>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</si>
  <si>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</si>
  <si>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</si>
  <si>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</si>
  <si>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</si>
  <si>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</si>
  <si>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</si>
  <si>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</si>
  <si>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</si>
  <si>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</si>
  <si>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</si>
  <si>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</si>
  <si>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</si>
  <si>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</si>
  <si>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</si>
  <si>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</si>
  <si>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</si>
  <si>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</si>
  <si>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</si>
  <si>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</si>
  <si>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</si>
  <si>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</si>
  <si>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</si>
  <si>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</si>
  <si>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</si>
  <si>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</si>
  <si>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</si>
  <si>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</si>
  <si>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</si>
  <si>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</si>
  <si>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</si>
  <si>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</si>
  <si>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</si>
  <si>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</si>
  <si>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</si>
  <si>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</si>
  <si>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</si>
  <si>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</si>
  <si>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</si>
  <si>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</si>
  <si>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</si>
  <si>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</si>
  <si>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</si>
  <si>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</si>
  <si>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</si>
  <si>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</si>
  <si>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</si>
  <si>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</si>
  <si>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</si>
  <si>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</si>
  <si>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</si>
  <si>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</si>
  <si>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</si>
  <si>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</si>
  <si>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</si>
  <si>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</si>
  <si>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</si>
  <si>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</si>
  <si>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</si>
  <si>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</si>
  <si>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</si>
  <si>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</si>
  <si>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</si>
  <si>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</si>
  <si>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</si>
  <si>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</si>
  <si>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</si>
  <si>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</si>
  <si>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</si>
  <si>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</si>
  <si>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</si>
  <si>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</si>
  <si>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</si>
  <si>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</si>
  <si>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</si>
  <si>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</si>
  <si>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</si>
  <si>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</si>
  <si>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</si>
  <si>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</si>
  <si>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</si>
  <si>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</si>
  <si>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</si>
  <si>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</si>
  <si>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</si>
  <si>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</si>
  <si>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</si>
  <si>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</si>
  <si>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</si>
  <si>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</si>
  <si>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</si>
  <si>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</si>
  <si>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</si>
  <si>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</si>
  <si>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</si>
  <si>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</si>
  <si>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</si>
  <si>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</si>
  <si>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</si>
  <si>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</si>
  <si>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</si>
  <si>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</si>
  <si>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</si>
  <si>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</si>
  <si>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</si>
  <si>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</si>
  <si>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</si>
  <si>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</si>
  <si>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</si>
  <si>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</si>
  <si>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</si>
  <si>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</si>
  <si>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</si>
  <si>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</si>
  <si>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</si>
  <si>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</si>
  <si>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</si>
  <si>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</si>
  <si>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</si>
  <si>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</si>
  <si>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</si>
  <si>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</si>
  <si>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</si>
  <si>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</si>
  <si>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</si>
  <si>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</si>
  <si>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</si>
  <si>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</si>
  <si>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</si>
  <si>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</si>
  <si>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</si>
  <si>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</si>
  <si>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</si>
  <si>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</si>
  <si>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</si>
  <si>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</si>
  <si>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</si>
  <si>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</si>
  <si>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</si>
  <si>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</si>
  <si>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</si>
  <si>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</si>
  <si>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</si>
  <si>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</si>
  <si>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</si>
  <si>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</si>
  <si>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</si>
  <si>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</si>
  <si>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</si>
  <si>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</si>
  <si>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</si>
  <si>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</si>
  <si>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</si>
  <si>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</si>
  <si>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</si>
  <si>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</si>
  <si>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</si>
  <si>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</si>
  <si>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</si>
  <si>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</si>
  <si>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</si>
  <si>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</si>
  <si>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</si>
  <si>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</si>
  <si>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</si>
  <si>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</si>
  <si>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</si>
  <si>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</si>
  <si>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</si>
  <si>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</si>
  <si>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</si>
  <si>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</si>
  <si>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</si>
  <si>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</si>
  <si>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</si>
  <si>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</si>
  <si>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</si>
  <si>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</si>
  <si>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</si>
  <si>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</si>
  <si>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</si>
  <si>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</si>
  <si>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</si>
  <si>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</si>
  <si>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</si>
  <si>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</si>
  <si>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</si>
  <si>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</si>
  <si>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</si>
  <si>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</si>
  <si>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</si>
  <si>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</si>
  <si>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</si>
  <si>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</si>
  <si>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</si>
  <si>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</si>
  <si>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</si>
  <si>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</si>
  <si>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</si>
  <si>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</si>
  <si>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</si>
  <si>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</si>
  <si>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</si>
  <si>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</si>
  <si>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</si>
  <si>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</si>
  <si>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</si>
  <si>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</si>
  <si>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</si>
  <si>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</si>
  <si>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</si>
  <si>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</si>
  <si>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</si>
  <si>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</si>
  <si>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</si>
  <si>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</si>
  <si>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</si>
  <si>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</si>
  <si>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</si>
  <si>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</si>
  <si>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</si>
  <si>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</si>
  <si>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</si>
  <si>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</si>
  <si>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</si>
  <si>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</si>
  <si>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</si>
  <si>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</si>
  <si>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</si>
  <si>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</si>
  <si>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</si>
  <si>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</si>
  <si>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</si>
  <si>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</si>
  <si>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</si>
  <si>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</si>
  <si>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</si>
  <si>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</si>
  <si>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</si>
  <si>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</si>
  <si>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</si>
  <si>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</si>
  <si>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</si>
  <si>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</si>
  <si>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</si>
  <si>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</si>
  <si>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</si>
  <si>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</si>
  <si>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</si>
  <si>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</si>
  <si>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</si>
  <si>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</si>
  <si>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</si>
  <si>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</si>
  <si>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</si>
  <si>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</si>
  <si>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</si>
  <si>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</si>
  <si>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</si>
  <si>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</si>
  <si>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</si>
  <si>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</si>
  <si>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</si>
  <si>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</si>
  <si>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</si>
  <si>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</si>
  <si>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</si>
  <si>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</si>
  <si>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</si>
  <si>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</si>
  <si>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</si>
  <si>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</si>
  <si>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</si>
  <si>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</si>
  <si>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</si>
  <si>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</si>
  <si>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</si>
  <si>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</si>
  <si>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</si>
  <si>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</si>
  <si>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</si>
  <si>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</si>
  <si>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</si>
  <si>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</si>
  <si>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</si>
  <si>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</si>
  <si>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</si>
  <si>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</si>
  <si>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</si>
  <si>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</si>
  <si>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</si>
  <si>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</si>
  <si>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</si>
  <si>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</si>
  <si>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</si>
  <si>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</si>
  <si>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</si>
  <si>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</si>
  <si>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</si>
  <si>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</si>
  <si>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</si>
  <si>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</si>
  <si>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</si>
  <si>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</si>
  <si>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</si>
  <si>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</si>
  <si>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</si>
  <si>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</si>
  <si>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</si>
  <si>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</si>
  <si>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</si>
  <si>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</si>
  <si>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</si>
  <si>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</si>
  <si>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</si>
  <si>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</si>
  <si>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</si>
  <si>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</si>
  <si>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</si>
  <si>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</si>
  <si>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</si>
  <si>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</si>
  <si>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</si>
  <si>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</si>
  <si>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</si>
  <si>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</si>
  <si>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</si>
  <si>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</si>
  <si>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</si>
  <si>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</si>
  <si>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</si>
  <si>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</si>
  <si>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</si>
  <si>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</si>
  <si>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</si>
  <si>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</si>
  <si>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</si>
  <si>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</si>
  <si>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</si>
  <si>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</si>
  <si>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</si>
  <si>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</si>
  <si>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</si>
  <si>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</si>
  <si>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</si>
  <si>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</si>
  <si>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</si>
  <si>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</si>
  <si>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</si>
  <si>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</si>
  <si>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</si>
  <si>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</si>
  <si>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</si>
  <si>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</si>
  <si>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</si>
  <si>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</si>
  <si>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</si>
  <si>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</si>
  <si>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</si>
  <si>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</si>
  <si>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</si>
  <si>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</si>
  <si>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</si>
  <si>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</si>
  <si>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</si>
  <si>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</si>
  <si>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</si>
  <si>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</si>
  <si>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</si>
  <si>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</si>
  <si>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</si>
  <si>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</si>
  <si>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</si>
  <si>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</si>
  <si>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</si>
  <si>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</si>
  <si>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</si>
  <si>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</si>
  <si>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</si>
  <si>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</si>
  <si>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</si>
  <si>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</si>
  <si>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</si>
  <si>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</si>
  <si>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</si>
  <si>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</si>
  <si>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</si>
  <si>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</si>
  <si>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</si>
  <si>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</si>
  <si>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</si>
  <si>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</si>
  <si>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</si>
  <si>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</si>
  <si>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</si>
  <si>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</si>
  <si>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</si>
  <si>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</si>
  <si>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</si>
  <si>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</si>
  <si>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</si>
  <si>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</si>
  <si>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</si>
  <si>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</si>
  <si>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</si>
  <si>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</si>
  <si>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</si>
  <si>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</si>
  <si>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</si>
  <si>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</si>
  <si>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</si>
  <si>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</si>
  <si>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</si>
  <si>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</si>
  <si>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</si>
  <si>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</si>
  <si>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</si>
  <si>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</si>
  <si>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</si>
  <si>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</si>
  <si>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</si>
  <si>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</si>
  <si>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</si>
  <si>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</si>
  <si>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</si>
  <si>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</si>
  <si>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</si>
  <si>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</si>
  <si>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</si>
  <si>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</si>
  <si>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</si>
  <si>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</si>
  <si>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</si>
  <si>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</si>
  <si>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</si>
  <si>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</si>
  <si>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</si>
  <si>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</si>
  <si>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</si>
  <si>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</si>
  <si>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</si>
  <si>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</si>
  <si>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</si>
  <si>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</si>
  <si>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</si>
  <si>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</si>
  <si>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</si>
  <si>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</si>
  <si>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</si>
  <si>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</si>
  <si>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</si>
  <si>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</si>
  <si>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</si>
  <si>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</si>
  <si>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</si>
  <si>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</si>
  <si>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</si>
  <si>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</si>
  <si>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</si>
  <si>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</si>
  <si>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</si>
  <si>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</si>
  <si>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</si>
  <si>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</si>
  <si>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</si>
  <si>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</si>
  <si>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</si>
  <si>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</si>
  <si>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</si>
  <si>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</si>
  <si>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</si>
  <si>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</si>
  <si>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</si>
  <si>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</si>
  <si>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</si>
  <si>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</si>
  <si>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</si>
  <si>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</si>
  <si>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</si>
  <si>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</si>
  <si>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</si>
  <si>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</si>
  <si>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</si>
  <si>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</si>
  <si>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</si>
  <si>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</si>
  <si>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</si>
  <si>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</si>
  <si>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</si>
  <si>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</si>
  <si>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</si>
  <si>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</si>
  <si>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</si>
  <si>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</si>
  <si>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</si>
  <si>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</si>
  <si>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</si>
  <si>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</si>
  <si>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</si>
  <si>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</si>
  <si>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</si>
  <si>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</si>
  <si>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</si>
  <si>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</si>
  <si>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</si>
  <si>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</si>
  <si>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</si>
  <si>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</si>
  <si>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</si>
  <si>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</si>
  <si>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</si>
  <si>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</si>
  <si>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</si>
  <si>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</si>
  <si>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</si>
  <si>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</si>
  <si>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</si>
  <si>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</si>
  <si>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</si>
  <si>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</si>
  <si>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</si>
  <si>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</si>
  <si>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</si>
  <si>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</si>
  <si>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</si>
  <si>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</si>
  <si>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</si>
  <si>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</si>
  <si>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</si>
  <si>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</si>
  <si>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</si>
  <si>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</si>
  <si>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</si>
  <si>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</si>
  <si>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</si>
  <si>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</si>
  <si>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</si>
  <si>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</si>
  <si>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</si>
  <si>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</si>
  <si>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</si>
  <si>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</si>
  <si>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</si>
  <si>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</si>
  <si>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</si>
  <si>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</si>
  <si>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</si>
  <si>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</si>
  <si>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</si>
  <si>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</si>
  <si>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</si>
  <si>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</si>
  <si>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</si>
  <si>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</si>
  <si>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</si>
  <si>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</si>
  <si>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</si>
  <si>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</si>
  <si>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</si>
  <si>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</si>
  <si>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</si>
  <si>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</si>
  <si>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</si>
  <si>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</si>
  <si>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</si>
  <si>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</si>
  <si>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</si>
  <si>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</si>
  <si>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</si>
  <si>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</si>
  <si>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</si>
  <si>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</si>
  <si>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</si>
  <si>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</si>
  <si>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</si>
  <si>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</si>
  <si>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</si>
  <si>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</si>
  <si>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</si>
  <si>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</si>
  <si>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</si>
  <si>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</si>
  <si>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</si>
  <si>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</si>
  <si>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</si>
  <si>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</si>
  <si>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</si>
  <si>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</si>
  <si>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</si>
  <si>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</si>
  <si>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</si>
  <si>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</si>
  <si>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</si>
  <si>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</si>
  <si>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</si>
  <si>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</si>
  <si>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</si>
  <si>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</si>
  <si>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</si>
  <si>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</si>
  <si>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</si>
  <si>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</si>
  <si>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</si>
  <si>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</si>
  <si>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</si>
  <si>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</si>
  <si>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</si>
  <si>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</si>
  <si>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</si>
  <si>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</si>
  <si>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</si>
  <si>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</si>
  <si>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</si>
  <si>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</si>
  <si>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</si>
  <si>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</si>
  <si>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</si>
  <si>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</si>
  <si>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</si>
  <si>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</si>
  <si>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</si>
  <si>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</si>
  <si>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</si>
  <si>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</si>
  <si>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</si>
  <si>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</si>
  <si>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</si>
  <si>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</si>
  <si>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</si>
  <si>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</si>
  <si>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</si>
  <si>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</si>
  <si>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</si>
  <si>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</si>
  <si>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</si>
  <si>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</si>
  <si>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</si>
  <si>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</si>
  <si>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</si>
  <si>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</si>
  <si>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</si>
  <si>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</si>
  <si>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</si>
  <si>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</si>
  <si>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</si>
  <si>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</si>
  <si>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</si>
  <si>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</si>
  <si>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</si>
  <si>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</si>
  <si>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</si>
  <si>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</si>
  <si>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</si>
  <si>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</si>
  <si>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</si>
  <si>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</si>
  <si>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</si>
  <si>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</si>
  <si>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</si>
  <si>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</si>
  <si>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</si>
  <si>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</si>
  <si>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</si>
  <si>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</si>
  <si>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</si>
  <si>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</si>
  <si>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</si>
  <si>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</si>
  <si>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</si>
  <si>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</si>
  <si>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</si>
  <si>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</si>
  <si>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</si>
  <si>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</si>
  <si>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</si>
  <si>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</si>
  <si>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</si>
  <si>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</si>
  <si>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</si>
  <si>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</si>
  <si>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</si>
  <si>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</si>
  <si>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</si>
  <si>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</si>
  <si>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</si>
  <si>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</si>
  <si>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</si>
  <si>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</si>
  <si>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</si>
  <si>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</si>
  <si>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</si>
  <si>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</si>
  <si>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</si>
  <si>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</si>
  <si>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</si>
  <si>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</si>
  <si>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</si>
  <si>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</si>
  <si>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</si>
  <si>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</si>
  <si>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</si>
  <si>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</si>
  <si>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</si>
  <si>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</si>
  <si>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</si>
  <si>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</si>
  <si>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</si>
  <si>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</si>
  <si>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</si>
  <si>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</si>
  <si>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</si>
  <si>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</si>
  <si>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</si>
  <si>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</si>
  <si>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</si>
  <si>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</si>
  <si>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</si>
  <si>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</si>
  <si>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</si>
  <si>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</si>
  <si>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</si>
  <si>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</si>
  <si>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</si>
  <si>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</si>
  <si>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</si>
  <si>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</si>
  <si>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</si>
  <si>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</si>
  <si>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</si>
  <si>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</si>
  <si>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</si>
  <si>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</si>
  <si>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</si>
  <si>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</si>
  <si>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</si>
  <si>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</si>
  <si>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</si>
  <si>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</si>
  <si>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</si>
  <si>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</si>
  <si>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</si>
  <si>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</si>
  <si>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</si>
  <si>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</si>
  <si>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</si>
  <si>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</si>
  <si>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</si>
  <si>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</si>
  <si>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</si>
  <si>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</si>
  <si>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</si>
  <si>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</si>
  <si>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</si>
  <si>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</si>
  <si>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</si>
  <si>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</si>
  <si>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</si>
  <si>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</si>
  <si>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</si>
  <si>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</si>
  <si>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</si>
  <si>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</si>
  <si>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</si>
  <si>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</si>
  <si>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</si>
  <si>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</si>
  <si>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</si>
  <si>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</si>
  <si>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</si>
  <si>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</si>
  <si>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</si>
  <si>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</si>
  <si>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</si>
  <si>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</si>
  <si>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</si>
  <si>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</si>
  <si>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</si>
  <si>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</si>
  <si>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</si>
  <si>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</si>
  <si>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</si>
  <si>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</si>
  <si>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</si>
  <si>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</si>
  <si>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</si>
  <si>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</si>
  <si>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</si>
  <si>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</si>
  <si>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</si>
  <si>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</si>
  <si>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</si>
  <si>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</si>
  <si>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</si>
  <si>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</si>
  <si>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</si>
  <si>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</si>
  <si>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</si>
  <si>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</si>
  <si>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</si>
  <si>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</si>
  <si>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</si>
  <si>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</si>
  <si>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</si>
  <si>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</si>
  <si>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</si>
  <si>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</si>
  <si>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</si>
  <si>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</si>
  <si>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</si>
  <si>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</si>
  <si>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</si>
  <si>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</si>
  <si>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</si>
  <si>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</si>
  <si>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</si>
  <si>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</si>
  <si>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</si>
  <si>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</si>
  <si>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</si>
  <si>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</si>
  <si>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</si>
  <si>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</si>
  <si>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</si>
  <si>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</si>
  <si>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</si>
  <si>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</si>
  <si>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</si>
  <si>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</si>
  <si>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</si>
  <si>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</si>
  <si>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</si>
  <si>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</si>
  <si>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</si>
  <si>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</si>
  <si>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</si>
  <si>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</si>
  <si>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</si>
  <si>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</si>
  <si>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</si>
  <si>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</si>
  <si>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</si>
  <si>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</si>
  <si>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</si>
  <si>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</si>
  <si>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</si>
  <si>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</si>
  <si>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</si>
  <si>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</si>
  <si>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</si>
  <si>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</si>
  <si>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</si>
  <si>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</si>
  <si>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</si>
  <si>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</si>
  <si>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</si>
  <si>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</si>
  <si>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</si>
  <si>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</si>
  <si>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</si>
  <si>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</si>
  <si>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</si>
  <si>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</si>
  <si>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</si>
  <si>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</si>
  <si>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</si>
  <si>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</si>
  <si>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</si>
  <si>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</si>
  <si>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</si>
  <si>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</si>
  <si>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</si>
  <si>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</si>
  <si>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</si>
  <si>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</si>
  <si>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</si>
  <si>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</si>
  <si>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</si>
  <si>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</si>
  <si>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</si>
  <si>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</si>
  <si>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</si>
  <si>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</si>
  <si>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</si>
  <si>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</si>
  <si>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</si>
  <si>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</si>
  <si>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</si>
  <si>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</si>
  <si>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</si>
  <si>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</si>
  <si>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</si>
  <si>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</si>
  <si>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</si>
  <si>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</si>
  <si>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</si>
  <si>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</si>
  <si>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</si>
  <si>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</si>
  <si>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</si>
  <si>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</si>
  <si>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</si>
  <si>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</si>
  <si>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</si>
  <si>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</si>
  <si>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</si>
  <si>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</si>
  <si>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</si>
  <si>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</si>
  <si>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</si>
  <si>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</si>
  <si>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</si>
  <si>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</si>
  <si>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</si>
  <si>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</si>
  <si>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</si>
  <si>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</si>
  <si>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</si>
  <si>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</si>
  <si>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</si>
  <si>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</si>
  <si>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</si>
  <si>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</si>
  <si>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</si>
  <si>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</si>
  <si>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</si>
  <si>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</si>
  <si>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</si>
  <si>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</si>
  <si>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</si>
  <si>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</si>
  <si>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</si>
  <si>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</si>
  <si>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</si>
  <si>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</si>
  <si>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</si>
  <si>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</si>
  <si>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</si>
  <si>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</si>
  <si>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</si>
  <si>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</si>
  <si>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</si>
  <si>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</si>
  <si>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</si>
  <si>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</si>
  <si>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</si>
  <si>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</si>
  <si>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</si>
  <si>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</si>
  <si>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</si>
  <si>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</si>
  <si>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</si>
  <si>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</si>
  <si>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</si>
  <si>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</si>
  <si>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</si>
  <si>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</si>
  <si>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</si>
  <si>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</si>
  <si>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</si>
  <si>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</si>
  <si>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</si>
  <si>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</si>
  <si>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</si>
  <si>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</si>
  <si>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</si>
  <si>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</si>
  <si>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</si>
  <si>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</si>
  <si>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</si>
  <si>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</si>
  <si>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</si>
  <si>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</si>
  <si>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</si>
  <si>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</si>
  <si>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</si>
  <si>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</si>
  <si>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</si>
  <si>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</si>
  <si>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</si>
  <si>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</si>
  <si>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</si>
  <si>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</si>
  <si>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</si>
  <si>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</si>
  <si>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</si>
  <si>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</si>
  <si>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</si>
  <si>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</si>
  <si>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</si>
  <si>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</si>
  <si>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</si>
  <si>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</si>
  <si>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</si>
  <si>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</si>
  <si>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</si>
  <si>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</si>
  <si>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</si>
  <si>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</si>
  <si>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</si>
  <si>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</si>
  <si>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</si>
  <si>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</si>
  <si>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</si>
  <si>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</si>
  <si>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</si>
  <si>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</si>
  <si>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</si>
  <si>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</si>
  <si>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</si>
  <si>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</si>
  <si>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</si>
  <si>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</si>
  <si>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</si>
  <si>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</si>
  <si>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</si>
  <si>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</si>
  <si>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</si>
  <si>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</si>
  <si>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</si>
  <si>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</si>
  <si>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</si>
  <si>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</si>
  <si>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</si>
  <si>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</si>
  <si>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</si>
  <si>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</si>
  <si>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</si>
  <si>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</si>
  <si>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</si>
  <si>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</si>
  <si>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</si>
  <si>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</si>
  <si>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</si>
  <si>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</si>
  <si>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</si>
  <si>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</si>
  <si>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</si>
  <si>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</si>
  <si>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</si>
  <si>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</si>
  <si>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</si>
  <si>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</si>
  <si>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</si>
  <si>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</si>
  <si>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</si>
  <si>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</si>
  <si>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</si>
  <si>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</si>
  <si>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</si>
  <si>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</si>
  <si>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</si>
  <si>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</si>
  <si>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</si>
  <si>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</si>
  <si>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</si>
  <si>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</si>
  <si>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</si>
  <si>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</si>
  <si>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</si>
  <si>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</si>
  <si>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</si>
  <si>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</si>
  <si>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</si>
  <si>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</si>
  <si>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</si>
  <si>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</si>
  <si>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</si>
  <si>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</si>
  <si>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</si>
  <si>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</si>
  <si>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</si>
  <si>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</si>
  <si>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</si>
  <si>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</si>
  <si>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</si>
  <si>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</si>
  <si>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</si>
  <si>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</si>
  <si>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</si>
  <si>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</si>
  <si>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</si>
  <si>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</si>
  <si>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</si>
  <si>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</si>
  <si>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</si>
  <si>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</si>
  <si>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</si>
  <si>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</si>
  <si>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</si>
  <si>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</si>
  <si>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</si>
  <si>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</si>
  <si>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</si>
  <si>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</si>
  <si>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</si>
  <si>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</si>
  <si>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</si>
  <si>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</si>
  <si>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</si>
  <si>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</si>
  <si>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</si>
  <si>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</si>
  <si>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</si>
  <si>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</si>
  <si>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</si>
  <si>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</si>
  <si>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</si>
  <si>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</si>
  <si>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</si>
  <si>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</si>
  <si>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</si>
  <si>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</si>
  <si>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</si>
  <si>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</si>
  <si>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</si>
  <si>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</si>
  <si>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</si>
  <si>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</si>
  <si>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</si>
  <si>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</si>
  <si>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</si>
  <si>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</si>
  <si>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</si>
  <si>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</si>
  <si>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</si>
  <si>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</si>
  <si>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</si>
  <si>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</si>
  <si>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</si>
  <si>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</si>
  <si>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</si>
  <si>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</si>
  <si>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</si>
  <si>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</si>
  <si>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</si>
  <si>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</si>
  <si>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</si>
  <si>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</si>
  <si>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</si>
  <si>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</si>
  <si>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</si>
  <si>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</si>
  <si>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</si>
  <si>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</si>
  <si>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</si>
  <si>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</si>
  <si>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</si>
  <si>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</si>
  <si>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</si>
  <si>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</si>
  <si>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</si>
  <si>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</si>
  <si>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</si>
  <si>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</si>
  <si>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</si>
  <si>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</si>
  <si>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</si>
  <si>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</si>
  <si>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</si>
  <si>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</si>
  <si>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</si>
  <si>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</si>
  <si>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</si>
  <si>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</si>
  <si>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</si>
  <si>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</si>
  <si>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</si>
  <si>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</si>
  <si>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</si>
  <si>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</si>
  <si>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</si>
  <si>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</si>
  <si>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</si>
  <si>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</si>
  <si>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</si>
  <si>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</si>
  <si>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</si>
  <si>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</si>
  <si>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</si>
  <si>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</si>
  <si>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</si>
  <si>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</si>
  <si>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</si>
  <si>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</si>
  <si>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</si>
  <si>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</si>
  <si>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</si>
  <si>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</si>
  <si>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</si>
  <si>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</si>
  <si>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</si>
  <si>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</si>
  <si>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</si>
  <si>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</si>
  <si>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</si>
  <si>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</si>
  <si>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</si>
  <si>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</si>
  <si>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</si>
  <si>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</si>
  <si>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</si>
  <si>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</si>
  <si>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</si>
  <si>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</si>
  <si>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</si>
  <si>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</si>
  <si>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</si>
  <si>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</si>
  <si>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</si>
  <si>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</si>
  <si>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</si>
  <si>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</si>
  <si>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</si>
  <si>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</si>
  <si>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</si>
  <si>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</si>
  <si>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</si>
  <si>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</si>
  <si>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</si>
  <si>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</si>
  <si>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</si>
  <si>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</si>
  <si>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</si>
  <si>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</si>
  <si>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</si>
  <si>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</si>
  <si>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</si>
  <si>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</si>
  <si>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</si>
  <si>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</si>
  <si>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</si>
  <si>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</si>
  <si>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</si>
  <si>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</si>
  <si>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</si>
  <si>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</si>
  <si>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</si>
  <si>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</si>
  <si>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</si>
  <si>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</si>
  <si>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</si>
  <si>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</si>
  <si>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</si>
  <si>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</si>
  <si>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</si>
  <si>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</si>
  <si>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</si>
  <si>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</si>
  <si>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</si>
  <si>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</si>
  <si>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</si>
  <si>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</si>
  <si>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</si>
  <si>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</si>
  <si>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</si>
  <si>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</si>
  <si>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</si>
  <si>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</si>
  <si>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</si>
  <si>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</si>
  <si>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</si>
  <si>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</si>
  <si>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</si>
  <si>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</si>
  <si>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</si>
  <si>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</si>
  <si>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</si>
  <si>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</si>
  <si>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</si>
  <si>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</si>
  <si>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</si>
  <si>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</si>
  <si>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</si>
  <si>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</si>
  <si>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</si>
  <si>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</si>
  <si>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</si>
  <si>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</si>
  <si>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</si>
  <si>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</si>
  <si>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</si>
  <si>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</si>
  <si>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</si>
  <si>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</si>
  <si>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</si>
  <si>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</si>
  <si>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</si>
  <si>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</si>
  <si>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</si>
  <si>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</si>
  <si>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</si>
  <si>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</si>
  <si>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</si>
  <si>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</si>
  <si>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</si>
  <si>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</si>
  <si>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</si>
  <si>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</si>
  <si>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</si>
  <si>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</si>
  <si>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</si>
  <si>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</si>
  <si>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</si>
  <si>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</si>
  <si>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</si>
  <si>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</si>
  <si>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</si>
  <si>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</si>
  <si>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</si>
  <si>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</si>
  <si>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</si>
  <si>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</si>
  <si>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</si>
  <si>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</si>
  <si>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</si>
  <si>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</si>
  <si>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</si>
  <si>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</si>
  <si>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</si>
  <si>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</si>
  <si>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</si>
  <si>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</si>
  <si>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</si>
  <si>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</si>
  <si>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</si>
  <si>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</si>
  <si>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</si>
  <si>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</si>
  <si>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</si>
  <si>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</si>
  <si>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</si>
  <si>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</si>
  <si>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</si>
  <si>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</si>
  <si>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</si>
  <si>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</si>
  <si>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</si>
  <si>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</si>
  <si>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</si>
  <si>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</si>
  <si>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</si>
  <si>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</si>
  <si>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</si>
  <si>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</si>
  <si>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</si>
  <si>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</si>
  <si>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</si>
  <si>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</si>
  <si>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</si>
  <si>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</si>
  <si>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</si>
  <si>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</si>
  <si>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</si>
  <si>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</si>
  <si>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</si>
  <si>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</si>
  <si>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</si>
  <si>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</si>
  <si>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</si>
  <si>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</si>
  <si>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</si>
  <si>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</si>
  <si>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</si>
  <si>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</si>
  <si>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</si>
  <si>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</si>
  <si>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</si>
  <si>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</si>
  <si>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</si>
  <si>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</si>
  <si>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</si>
  <si>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</si>
  <si>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</si>
  <si>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</si>
  <si>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</si>
  <si>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</si>
  <si>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</si>
  <si>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</si>
  <si>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</si>
  <si>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</si>
  <si>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</si>
  <si>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</si>
  <si>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</si>
  <si>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</si>
  <si>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</si>
  <si>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</si>
  <si>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</si>
  <si>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</si>
  <si>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</si>
  <si>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</si>
  <si>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</si>
  <si>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</si>
  <si>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</si>
  <si>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</si>
  <si>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</si>
  <si>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</si>
  <si>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</si>
  <si>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</si>
  <si>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</si>
  <si>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</si>
  <si>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</si>
  <si>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</si>
  <si>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</si>
  <si>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</si>
  <si>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</si>
  <si>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</si>
  <si>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</si>
  <si>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</si>
  <si>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</si>
  <si>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</si>
  <si>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</si>
  <si>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</si>
  <si>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</si>
  <si>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</si>
  <si>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</si>
  <si>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</si>
  <si>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</si>
  <si>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</si>
  <si>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</si>
  <si>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</si>
  <si>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</si>
  <si>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</si>
  <si>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</si>
  <si>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</si>
  <si>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</si>
  <si>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</si>
  <si>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</si>
  <si>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</si>
  <si>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</si>
  <si>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</si>
  <si>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</si>
  <si>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</si>
  <si>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</si>
  <si>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</si>
  <si>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</si>
  <si>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</si>
  <si>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</si>
  <si>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</si>
  <si>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</si>
  <si>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</si>
  <si>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</si>
  <si>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</si>
  <si>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</si>
  <si>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</si>
  <si>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</si>
  <si>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</si>
  <si>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</si>
  <si>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</si>
  <si>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</si>
  <si>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</si>
  <si>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</si>
  <si>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</si>
  <si>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</si>
  <si>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</si>
  <si>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</si>
  <si>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</si>
  <si>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</si>
  <si>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</si>
  <si>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</si>
  <si>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</si>
  <si>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</si>
  <si>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</si>
  <si>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</si>
  <si>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</si>
  <si>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</si>
  <si>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</si>
  <si>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</si>
  <si>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</si>
  <si>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</si>
  <si>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</si>
  <si>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</si>
  <si>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</si>
  <si>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</si>
  <si>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</si>
  <si>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</si>
  <si>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</si>
  <si>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</si>
  <si>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</si>
  <si>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</si>
  <si>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</si>
  <si>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</si>
  <si>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</si>
  <si>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</si>
  <si>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</si>
  <si>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</si>
  <si>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</si>
  <si>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</si>
  <si>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</si>
  <si>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</si>
  <si>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</si>
  <si>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</si>
  <si>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</si>
  <si>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</si>
  <si>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</si>
  <si>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</si>
  <si>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</si>
  <si>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</si>
  <si>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</si>
  <si>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</si>
  <si>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</si>
  <si>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</si>
  <si>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</si>
  <si>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</si>
  <si>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</si>
  <si>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</si>
  <si>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</si>
  <si>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</si>
  <si>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</si>
  <si>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</si>
  <si>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</si>
  <si>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</si>
  <si>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</si>
  <si>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</si>
  <si>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</si>
  <si>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</si>
  <si>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</si>
  <si>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</si>
  <si>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</si>
  <si>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</si>
  <si>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</si>
  <si>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</si>
  <si>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</si>
  <si>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</si>
  <si>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</si>
  <si>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</si>
  <si>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</si>
  <si>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</si>
  <si>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</si>
  <si>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</si>
  <si>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</si>
  <si>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</si>
  <si>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</si>
  <si>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</si>
  <si>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</si>
  <si>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</si>
  <si>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</si>
  <si>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</si>
  <si>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</si>
  <si>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</si>
  <si>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</si>
  <si>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</si>
  <si>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</si>
  <si>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</si>
  <si>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</si>
  <si>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</si>
  <si>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</si>
  <si>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</si>
  <si>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</si>
  <si>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</si>
  <si>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</si>
  <si>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</si>
  <si>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</si>
  <si>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</si>
  <si>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</si>
  <si>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</si>
  <si>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</si>
  <si>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</si>
  <si>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</si>
  <si>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</si>
  <si>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</si>
  <si>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</si>
  <si>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</si>
  <si>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</si>
  <si>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</si>
  <si>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</si>
  <si>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</si>
  <si>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</si>
  <si>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</si>
  <si>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</si>
  <si>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</si>
  <si>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</si>
  <si>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</si>
  <si>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</si>
  <si>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</si>
  <si>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</si>
  <si>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</si>
  <si>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</si>
  <si>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</si>
  <si>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</si>
  <si>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</si>
  <si>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</si>
  <si>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</si>
  <si>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</si>
  <si>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</si>
  <si>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</si>
  <si>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</si>
  <si>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</si>
  <si>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</si>
  <si>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</si>
  <si>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</si>
  <si>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</si>
  <si>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</si>
  <si>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</si>
  <si>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</si>
  <si>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</si>
  <si>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</si>
  <si>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</si>
  <si>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</si>
  <si>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</si>
  <si>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</si>
  <si>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</si>
  <si>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</si>
  <si>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</si>
  <si>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</si>
  <si>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</si>
  <si>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</si>
  <si>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</si>
  <si>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</si>
  <si>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</si>
  <si>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</si>
  <si>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</si>
  <si>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</si>
  <si>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</si>
  <si>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</si>
  <si>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</si>
  <si>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</si>
  <si>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</si>
  <si>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</si>
  <si>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</si>
  <si>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</si>
  <si>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</si>
  <si>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</si>
  <si>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</si>
  <si>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</si>
  <si>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</si>
  <si>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</si>
  <si>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</si>
  <si>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</si>
  <si>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</si>
  <si>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</si>
  <si>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</si>
  <si>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</si>
  <si>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</si>
  <si>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</si>
  <si>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</si>
  <si>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</si>
  <si>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</si>
  <si>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</si>
  <si>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</si>
  <si>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</si>
  <si>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</si>
  <si>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</si>
  <si>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</si>
  <si>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</si>
  <si>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</si>
  <si>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</si>
  <si>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</si>
  <si>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</si>
  <si>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</si>
  <si>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</si>
  <si>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</si>
  <si>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</si>
  <si>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</si>
  <si>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</si>
  <si>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</si>
  <si>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</si>
  <si>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</si>
  <si>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</si>
  <si>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</si>
  <si>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</si>
  <si>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</si>
  <si>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</si>
  <si>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</si>
  <si>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</si>
  <si>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</si>
  <si>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</si>
  <si>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</si>
  <si>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</si>
  <si>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</si>
  <si>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</si>
  <si>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</si>
  <si>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</si>
  <si>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</si>
  <si>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</si>
  <si>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</si>
  <si>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</si>
  <si>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</si>
  <si>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</si>
  <si>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</si>
  <si>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</si>
  <si>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</si>
  <si>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</si>
  <si>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</si>
  <si>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</si>
  <si>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</si>
  <si>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</si>
  <si>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</si>
  <si>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</si>
  <si>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</si>
  <si>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</si>
  <si>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</si>
  <si>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</si>
  <si>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</si>
  <si>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</si>
  <si>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</si>
  <si>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</si>
  <si>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</si>
  <si>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</si>
  <si>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</si>
  <si>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</si>
  <si>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</si>
  <si>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</si>
  <si>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</si>
  <si>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</si>
  <si>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</si>
  <si>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</si>
  <si>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</si>
  <si>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</si>
  <si>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</si>
  <si>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</si>
  <si>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</si>
  <si>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</si>
  <si>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</si>
  <si>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</si>
  <si>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</si>
  <si>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</si>
  <si>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</si>
  <si>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</si>
  <si>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</si>
  <si>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</si>
  <si>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</si>
  <si>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</si>
  <si>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</si>
  <si>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</si>
  <si>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</si>
  <si>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</si>
  <si>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</si>
  <si>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</si>
  <si>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</si>
  <si>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</si>
  <si>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</si>
  <si>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</si>
  <si>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</si>
  <si>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</si>
  <si>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</si>
  <si>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</si>
  <si>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</si>
  <si>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</si>
  <si>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</si>
  <si>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</si>
  <si>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</si>
  <si>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</si>
  <si>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</si>
  <si>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</si>
  <si>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</si>
  <si>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</si>
  <si>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</si>
  <si>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</si>
  <si>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</si>
  <si>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</si>
  <si>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</si>
  <si>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</si>
  <si>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</si>
  <si>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</si>
  <si>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</si>
  <si>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</si>
  <si>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</si>
  <si>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</si>
  <si>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</si>
  <si>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</si>
  <si>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</si>
  <si>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</si>
  <si>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</si>
  <si>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</si>
  <si>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</si>
  <si>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</si>
  <si>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</si>
  <si>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</si>
  <si>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</si>
  <si>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</si>
  <si>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</si>
  <si>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</si>
  <si>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</si>
  <si>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</si>
  <si>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</si>
  <si>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</si>
  <si>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</si>
  <si>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</si>
  <si>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</si>
  <si>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</si>
  <si>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</si>
  <si>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</si>
  <si>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</si>
  <si>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</si>
  <si>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</si>
  <si>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</si>
  <si>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</si>
  <si>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</si>
  <si>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</si>
  <si>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</si>
  <si>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</si>
  <si>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</si>
  <si>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</si>
  <si>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</si>
  <si>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</si>
  <si>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</si>
  <si>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</si>
  <si>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</si>
  <si>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</si>
  <si>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</si>
  <si>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</si>
  <si>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</si>
  <si>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</si>
  <si>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</si>
  <si>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</si>
  <si>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</si>
  <si>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</si>
  <si>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</si>
  <si>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</si>
  <si>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</si>
  <si>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</si>
  <si>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</si>
  <si>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</si>
  <si>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</si>
  <si>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</si>
  <si>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</si>
  <si>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</si>
  <si>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</si>
  <si>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</si>
  <si>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</si>
  <si>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</si>
  <si>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</si>
  <si>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</si>
  <si>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</si>
  <si>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</si>
  <si>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</si>
  <si>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</si>
  <si>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</si>
  <si>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</si>
  <si>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</si>
  <si>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</si>
  <si>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</si>
  <si>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</si>
  <si>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</si>
  <si>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</si>
  <si>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</si>
  <si>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</si>
  <si>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</si>
  <si>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</si>
  <si>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</si>
  <si>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</si>
  <si>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</si>
  <si>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</si>
  <si>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</si>
  <si>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</si>
  <si>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</si>
  <si>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</si>
  <si>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</si>
  <si>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</si>
  <si>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</si>
  <si>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</si>
  <si>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</si>
  <si>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</si>
  <si>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</si>
  <si>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</si>
  <si>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</si>
  <si>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</si>
  <si>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</si>
  <si>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</si>
  <si>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</si>
  <si>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</si>
  <si>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</si>
  <si>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</si>
  <si>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</si>
  <si>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</si>
  <si>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</si>
  <si>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</si>
  <si>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</si>
  <si>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</si>
  <si>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</si>
  <si>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</si>
  <si>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</si>
  <si>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</si>
  <si>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</si>
  <si>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</si>
  <si>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</si>
  <si>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</si>
  <si>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</si>
  <si>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</si>
  <si>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</si>
  <si>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</si>
  <si>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</si>
  <si>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</si>
  <si>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</si>
  <si>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</si>
  <si>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</si>
  <si>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</si>
  <si>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</si>
  <si>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</si>
  <si>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</si>
  <si>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</si>
  <si>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</si>
  <si>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</si>
  <si>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</si>
  <si>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</si>
  <si>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</si>
  <si>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</si>
  <si>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</si>
  <si>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</si>
  <si>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</si>
  <si>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</si>
  <si>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</si>
  <si>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</si>
  <si>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</si>
  <si>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</si>
  <si>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</si>
  <si>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</si>
  <si>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</si>
  <si>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</si>
  <si>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</si>
  <si>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</si>
  <si>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</si>
  <si>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</si>
  <si>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</si>
  <si>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</si>
  <si>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</si>
  <si>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</si>
  <si>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</si>
  <si>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</si>
  <si>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</si>
  <si>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</si>
  <si>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</si>
  <si>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</si>
  <si>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</si>
  <si>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</si>
  <si>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</si>
  <si>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</si>
  <si>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</si>
  <si>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</si>
  <si>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</si>
  <si>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</si>
  <si>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</si>
  <si>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</si>
  <si>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</si>
  <si>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</si>
  <si>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</si>
  <si>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</si>
  <si>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</si>
  <si>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</si>
  <si>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</si>
  <si>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</si>
  <si>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</si>
  <si>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</si>
  <si>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</si>
  <si>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</si>
  <si>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</si>
  <si>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</si>
  <si>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</si>
  <si>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</si>
  <si>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</si>
  <si>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</si>
  <si>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</si>
  <si>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</si>
  <si>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</si>
  <si>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</si>
  <si>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</si>
  <si>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</si>
  <si>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</si>
  <si>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</si>
  <si>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</si>
  <si>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</si>
  <si>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</si>
  <si>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</si>
  <si>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</si>
  <si>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</si>
  <si>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</si>
  <si>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</si>
  <si>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</si>
  <si>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</si>
  <si>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</si>
  <si>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</si>
  <si>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</si>
  <si>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</si>
  <si>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</si>
  <si>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</si>
  <si>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</si>
  <si>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</si>
  <si>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</si>
  <si>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</si>
  <si>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</si>
  <si>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</si>
  <si>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</si>
  <si>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</si>
  <si>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</si>
  <si>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</si>
  <si>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</si>
  <si>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</si>
  <si>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</si>
  <si>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</si>
  <si>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</si>
  <si>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</si>
  <si>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</si>
  <si>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</si>
  <si>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</si>
  <si>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</si>
  <si>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</si>
  <si>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</si>
  <si>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</si>
  <si>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</si>
  <si>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</si>
  <si>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</si>
  <si>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</si>
  <si>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</si>
  <si>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</si>
  <si>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</si>
  <si>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</si>
  <si>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</si>
  <si>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</si>
  <si>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</si>
  <si>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</si>
  <si>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</si>
  <si>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</si>
  <si>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</si>
  <si>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</si>
  <si>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</si>
  <si>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</si>
  <si>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</si>
  <si>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</si>
  <si>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</si>
  <si>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</si>
  <si>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</si>
  <si>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</si>
  <si>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</si>
  <si>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</si>
  <si>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</si>
  <si>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</si>
  <si>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</si>
  <si>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</si>
  <si>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</si>
  <si>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</si>
  <si>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</si>
  <si>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</si>
  <si>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</si>
  <si>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</si>
  <si>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</si>
  <si>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</si>
  <si>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</si>
  <si>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</si>
  <si>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</si>
  <si>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</si>
  <si>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</si>
  <si>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</si>
  <si>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</si>
  <si>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</si>
  <si>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</si>
  <si>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</si>
  <si>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</si>
  <si>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</si>
  <si>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</si>
  <si>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</si>
  <si>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</si>
  <si>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</si>
  <si>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</si>
  <si>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</si>
  <si>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</si>
  <si>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</si>
  <si>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</si>
  <si>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</si>
  <si>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</si>
  <si>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</si>
  <si>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</si>
  <si>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</si>
  <si>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</si>
  <si>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</si>
  <si>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</si>
  <si>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</si>
  <si>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</si>
  <si>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</si>
  <si>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</si>
  <si>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</si>
  <si>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</si>
  <si>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</si>
  <si>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</si>
  <si>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</si>
  <si>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</si>
  <si>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</si>
  <si>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</si>
  <si>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</si>
  <si>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</si>
  <si>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</si>
  <si>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</si>
  <si>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</si>
  <si>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</si>
  <si>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</si>
  <si>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</si>
  <si>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</si>
  <si>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</si>
  <si>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</si>
  <si>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</si>
  <si>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</si>
  <si>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</si>
  <si>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</si>
  <si>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</si>
  <si>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</si>
  <si>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</si>
  <si>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</si>
  <si>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</si>
  <si>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</si>
  <si>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</si>
  <si>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</si>
  <si>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</si>
  <si>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</si>
  <si>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</si>
  <si>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</si>
  <si>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</si>
  <si>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</si>
  <si>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</si>
  <si>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</si>
  <si>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</si>
  <si>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</si>
  <si>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</si>
  <si>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</si>
  <si>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</si>
  <si>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</si>
  <si>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</si>
  <si>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</si>
  <si>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</si>
  <si>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</si>
  <si>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</si>
  <si>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</si>
  <si>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</si>
  <si>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</si>
  <si>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</si>
  <si>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</si>
  <si>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</si>
  <si>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</si>
  <si>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</si>
  <si>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</si>
  <si>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</si>
  <si>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</si>
  <si>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</si>
  <si>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</si>
  <si>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</si>
  <si>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</si>
  <si>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</si>
  <si>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</si>
  <si>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</si>
  <si>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</si>
  <si>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</si>
  <si>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</si>
  <si>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</si>
  <si>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</si>
  <si>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</si>
  <si>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</si>
  <si>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</si>
  <si>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</si>
  <si>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</si>
  <si>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</si>
  <si>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</si>
  <si>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</si>
  <si>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</si>
  <si>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</si>
  <si>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</si>
  <si>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</si>
  <si>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</si>
  <si>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</si>
  <si>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</si>
  <si>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</si>
  <si>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</si>
  <si>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</si>
  <si>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</si>
  <si>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</si>
  <si>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</si>
  <si>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</si>
  <si>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</si>
  <si>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</si>
  <si>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</si>
  <si>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</si>
  <si>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</si>
  <si>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</si>
  <si>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</si>
  <si>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</si>
  <si>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</si>
  <si>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</si>
  <si>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</si>
  <si>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</si>
  <si>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</si>
  <si>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</si>
  <si>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</si>
  <si>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</si>
  <si>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</si>
  <si>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</si>
  <si>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</si>
  <si>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</si>
  <si>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</si>
  <si>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</si>
  <si>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</si>
  <si>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</si>
  <si>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</si>
  <si>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</si>
  <si>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</si>
  <si>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</si>
  <si>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</si>
  <si>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</si>
  <si>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</si>
  <si>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</si>
  <si>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</si>
  <si>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</si>
  <si>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</si>
  <si>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</si>
  <si>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</si>
  <si>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</si>
  <si>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</si>
  <si>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</si>
  <si>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</si>
  <si>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</si>
  <si>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</si>
  <si>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</si>
  <si>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</si>
  <si>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</si>
  <si>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</si>
  <si>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</si>
  <si>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</si>
  <si>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</si>
  <si>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</si>
  <si>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</si>
  <si>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</si>
  <si>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</si>
  <si>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</si>
  <si>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</si>
  <si>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</si>
  <si>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</si>
  <si>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</si>
  <si>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</si>
  <si>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</si>
  <si>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</si>
  <si>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</si>
  <si>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</si>
  <si>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</si>
  <si>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</si>
  <si>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</si>
  <si>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</si>
  <si>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</si>
  <si>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</si>
  <si>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</si>
  <si>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</si>
  <si>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</si>
  <si>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</si>
  <si>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</si>
  <si>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</si>
  <si>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</si>
  <si>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</si>
  <si>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</si>
  <si>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</si>
  <si>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</si>
  <si>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</si>
  <si>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</si>
  <si>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</si>
  <si>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</si>
  <si>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</si>
  <si>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</si>
  <si>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</si>
  <si>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</si>
  <si>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</si>
  <si>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</si>
  <si>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</si>
  <si>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</si>
  <si>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</si>
  <si>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</si>
  <si>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</si>
  <si>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</si>
  <si>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</si>
  <si>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</si>
  <si>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</si>
  <si>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</si>
  <si>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</si>
  <si>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</si>
  <si>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</si>
  <si>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</si>
  <si>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</si>
  <si>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</si>
  <si>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</si>
  <si>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</si>
  <si>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</si>
  <si>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</si>
  <si>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</si>
  <si>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</si>
  <si>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</si>
  <si>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</si>
  <si>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</si>
  <si>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</si>
  <si>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</si>
  <si>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</si>
  <si>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</si>
  <si>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</si>
  <si>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</si>
  <si>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</si>
  <si>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</si>
  <si>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</si>
  <si>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</si>
  <si>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</si>
  <si>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</si>
  <si>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</si>
  <si>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</si>
  <si>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</si>
  <si>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</si>
  <si>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</si>
  <si>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</si>
  <si>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</si>
  <si>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</si>
  <si>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</si>
  <si>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</si>
  <si>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</si>
  <si>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</si>
  <si>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</si>
  <si>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</si>
  <si>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</si>
  <si>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</si>
  <si>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</si>
  <si>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</si>
  <si>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是</t>
  </si>
  <si>
    <r>
      <rPr>
        <sz val="10"/>
        <color indexed="8"/>
        <rFont val="宋体"/>
        <family val="3"/>
        <charset val="134"/>
      </rPr>
      <t>办公</t>
    </r>
    <r>
      <rPr>
        <sz val="10"/>
        <color indexed="8"/>
        <rFont val="Arial"/>
        <family val="2"/>
      </rPr>
      <t>A</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</si>
  <si>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B</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</si>
  <si>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C</t>
    </r>
    <r>
      <rPr>
        <sz val="10"/>
        <color indexed="8"/>
        <rFont val="宋体"/>
        <family val="3"/>
        <charset val="134"/>
      </rPr>
      <t>座</t>
    </r>
    <phoneticPr fontId="3" type="noConversion"/>
  </si>
  <si>
    <t>商业裙房</t>
    <phoneticPr fontId="3" type="noConversion"/>
  </si>
  <si>
    <t>地库</t>
    <phoneticPr fontId="3" type="noConversion"/>
  </si>
  <si>
    <t>酒店D座</t>
    <phoneticPr fontId="3" type="noConversion"/>
  </si>
  <si>
    <t>地上</t>
  </si>
  <si>
    <t>办公楼</t>
  </si>
  <si>
    <r>
      <t>21</t>
    </r>
    <r>
      <rPr>
        <sz val="10"/>
        <color indexed="8"/>
        <rFont val="宋体"/>
        <family val="3"/>
        <charset val="134"/>
      </rPr>
      <t>层</t>
    </r>
    <phoneticPr fontId="3" type="noConversion"/>
  </si>
  <si>
    <r>
      <t>5</t>
    </r>
    <r>
      <rPr>
        <sz val="10"/>
        <color indexed="8"/>
        <rFont val="宋体"/>
        <family val="3"/>
        <charset val="134"/>
      </rPr>
      <t>层</t>
    </r>
    <phoneticPr fontId="3" type="noConversion"/>
  </si>
  <si>
    <r>
      <t>20</t>
    </r>
    <r>
      <rPr>
        <sz val="10"/>
        <color indexed="8"/>
        <rFont val="宋体"/>
        <family val="3"/>
        <charset val="134"/>
      </rPr>
      <t>层</t>
    </r>
    <phoneticPr fontId="3" type="noConversion"/>
  </si>
  <si>
    <t>自持</t>
    <phoneticPr fontId="3" type="noConversion"/>
  </si>
  <si>
    <t>还建商业</t>
  </si>
  <si>
    <t>还建商业</t>
    <phoneticPr fontId="16" type="noConversion"/>
  </si>
  <si>
    <t>地下</t>
  </si>
  <si>
    <t>车库</t>
  </si>
  <si>
    <t>否</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</si>
  <si>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</si>
  <si>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</si>
  <si>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</si>
  <si>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</si>
  <si>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</si>
  <si>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</si>
  <si>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</si>
  <si>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</si>
  <si>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</si>
  <si>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</si>
  <si>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</si>
  <si>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</si>
  <si>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</si>
  <si>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</si>
  <si>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</si>
  <si>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</si>
  <si>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</si>
  <si>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</si>
  <si>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</si>
  <si>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</si>
  <si>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</si>
  <si>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</si>
  <si>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</si>
  <si>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</si>
  <si>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</si>
  <si>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</si>
  <si>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</si>
  <si>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</si>
  <si>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</si>
  <si>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</si>
  <si>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</si>
  <si>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</si>
  <si>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</si>
  <si>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</si>
  <si>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</si>
  <si>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</si>
  <si>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</si>
  <si>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</si>
  <si>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</si>
  <si>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</si>
  <si>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</si>
  <si>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</si>
  <si>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</si>
  <si>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</si>
  <si>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</si>
  <si>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</si>
  <si>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</si>
  <si>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北京城市副中心FZX-0902-0229、0230地块</t>
  </si>
  <si>
    <t>商业/办公用地</t>
  </si>
  <si>
    <t>通州区</t>
  </si>
  <si>
    <t>潞城</t>
  </si>
  <si>
    <t>北至FZX-0902-0028规划科研用地,南至明徳街,西起FZX-0902-0027规划绿地,东至前北营路</t>
  </si>
  <si>
    <t>京土整储挂(通)[2021]032号</t>
  </si>
  <si>
    <t>≤3.1</t>
  </si>
  <si>
    <t>挂牌</t>
  </si>
  <si>
    <t>B2商务用地</t>
  </si>
  <si>
    <t>45米</t>
  </si>
  <si>
    <t>未开工</t>
  </si>
  <si>
    <t>2021-04-14</t>
  </si>
  <si>
    <t>2021-05-06</t>
  </si>
  <si>
    <t>2021-05-19</t>
  </si>
  <si>
    <t>已成交</t>
  </si>
  <si>
    <t>北京城市副中心投资建设集团有限公司</t>
  </si>
  <si>
    <t>商业40年*办公50年</t>
  </si>
  <si>
    <t>4星</t>
  </si>
  <si>
    <t>北京城市副中心12组团西北部</t>
  </si>
  <si>
    <t>梨园</t>
  </si>
  <si>
    <t>京土整储挂(通)[2021]001号</t>
  </si>
  <si>
    <t>≤2.15</t>
  </si>
  <si>
    <t>F3其他类多功能用地</t>
  </si>
  <si>
    <t>24米</t>
  </si>
  <si>
    <t>2021-01-05</t>
  </si>
  <si>
    <t>2021-01-25</t>
  </si>
  <si>
    <t>2021-02-07</t>
  </si>
  <si>
    <t>北京公联鼎成交通枢纽建设发展有限公司</t>
  </si>
  <si>
    <t>北京市首都公路发展集团有限公司</t>
  </si>
  <si>
    <t>北京市怀柔区怀北镇雁柏山庄北侧地块B1商业用地</t>
  </si>
  <si>
    <t>怀柔区</t>
  </si>
  <si>
    <t>怀北、怀柔</t>
  </si>
  <si>
    <t>怀柔区怀北镇</t>
  </si>
  <si>
    <t>京土整储挂(怀)[2020]057号</t>
  </si>
  <si>
    <t>≤0.45</t>
  </si>
  <si>
    <t>B1商业用地</t>
  </si>
  <si>
    <t>14米</t>
  </si>
  <si>
    <t>2020-12-25</t>
  </si>
  <si>
    <t>2021-01-14</t>
  </si>
  <si>
    <t>2021-01-28</t>
  </si>
  <si>
    <t>北京雁柏山庄有限责任公司</t>
  </si>
  <si>
    <t>商业40年、办公50年</t>
  </si>
  <si>
    <t>2星</t>
  </si>
  <si>
    <t>北京市房山区长阳镇06、07街区棚户区改造土地开发七片区项目FS10-0107-0005地块F3其他类多功能用地</t>
  </si>
  <si>
    <t>房山区</t>
  </si>
  <si>
    <t>长阳</t>
  </si>
  <si>
    <t>房山区长阳镇</t>
  </si>
  <si>
    <t>京土整储挂(房)[2020]046号</t>
  </si>
  <si>
    <t>≤3</t>
  </si>
  <si>
    <t>≤40%</t>
  </si>
  <si>
    <t>≤60米</t>
  </si>
  <si>
    <t>2020-11-12</t>
  </si>
  <si>
    <t>2020-12-14</t>
  </si>
  <si>
    <t>2020-12-28</t>
  </si>
  <si>
    <t>北京北投新城开发建设有限公司、北京城市副中心投资基金合伙企业(有限合伙)</t>
  </si>
  <si>
    <t>北京市石景山区中关村科技园石景山园北Ⅱ区西井地块土地一级开发项目1606-034地块B1商业用地</t>
  </si>
  <si>
    <t>石景山区</t>
  </si>
  <si>
    <t>苹果园、八角、金顶街</t>
  </si>
  <si>
    <t>石景山区苹果园地区</t>
  </si>
  <si>
    <t>京土整储挂(石)[2020]045号</t>
  </si>
  <si>
    <t>≤4.0</t>
  </si>
  <si>
    <t>≤45米</t>
  </si>
  <si>
    <t>2020-11-10</t>
  </si>
  <si>
    <t>2020-11-30</t>
  </si>
  <si>
    <t>中关村发展集团股份有限公司、北京石景山产业发展有限公司联合体</t>
  </si>
  <si>
    <t>中关村发展集团股份有限公司</t>
  </si>
  <si>
    <t>5星</t>
  </si>
  <si>
    <t>北京市延庆区张山营镇西大庄科村YQ06-0400-0016地块F3其他类多功能用地</t>
  </si>
  <si>
    <t>延庆区</t>
  </si>
  <si>
    <t>张山营</t>
  </si>
  <si>
    <t>延庆区张山营镇西大庄科村</t>
  </si>
  <si>
    <t>京土整储招(延)[2020]047号</t>
  </si>
  <si>
    <t>≤1.01</t>
  </si>
  <si>
    <t>招标</t>
  </si>
  <si>
    <t>≤70%</t>
  </si>
  <si>
    <t>≤24米</t>
  </si>
  <si>
    <t>2020-12-04</t>
  </si>
  <si>
    <t>2020-12-07</t>
  </si>
  <si>
    <t>北京北控智开实业发展有限公司</t>
  </si>
  <si>
    <t>北京北控置业有限责任公司</t>
  </si>
  <si>
    <t>1星</t>
  </si>
  <si>
    <t>北京市海淀区西八里庄0711-652、640、641地块B4综合性商业金融服务业用地</t>
  </si>
  <si>
    <t>海淀区</t>
  </si>
  <si>
    <t>定慧寺</t>
  </si>
  <si>
    <t>海淀区玲珑巷地区</t>
  </si>
  <si>
    <t>京土整储挂(海)[2020]042号</t>
  </si>
  <si>
    <t>0711一652≤4.5,0711一640≤1.7,0711一641≤1.3</t>
  </si>
  <si>
    <t>B4综合性商业金融服务业用地</t>
  </si>
  <si>
    <t>0711一652≤60,0711一640≤18,0711一641≤9</t>
  </si>
  <si>
    <t>2020-10-29</t>
  </si>
  <si>
    <t>2020-11-18</t>
  </si>
  <si>
    <t>2020-12-02</t>
  </si>
  <si>
    <t>中国电建地产集团有限公司</t>
  </si>
  <si>
    <t>北京市怀柔科学城核心区及周边土地一级开发项目HR00-0211-6002、6009、6010、6011、6019地块(城市客厅A)F3其他类多功能用地</t>
  </si>
  <si>
    <t>怀柔区雁栖镇、怀北镇</t>
  </si>
  <si>
    <t>京土整储挂(怀)[2020]039号</t>
  </si>
  <si>
    <t>≤1.9</t>
  </si>
  <si>
    <t>开工中</t>
  </si>
  <si>
    <t>2020-09-30</t>
  </si>
  <si>
    <t>2020-10-20</t>
  </si>
  <si>
    <t>2020-11-03</t>
  </si>
  <si>
    <t>北京怀柔科学城城开一部开发建设有限公司</t>
  </si>
  <si>
    <t>北京怀柔科学城建设发展有限公司</t>
  </si>
  <si>
    <t>北京市怀柔区怀北镇雁柏山庄南侧地块B1商业用地</t>
  </si>
  <si>
    <t>雁栖</t>
  </si>
  <si>
    <t>京土整储挂(怀)[2020]038号</t>
  </si>
  <si>
    <t>≤0.16</t>
  </si>
  <si>
    <t>≤9米</t>
  </si>
  <si>
    <t>2020-09-02</t>
  </si>
  <si>
    <t>2020-09-22</t>
  </si>
  <si>
    <t>2020-10-12</t>
  </si>
  <si>
    <t>北京市怀柔区怀北镇栖湖组团F3其他类多功能用地</t>
  </si>
  <si>
    <t>京土整储挂(怀)[2020]037号</t>
  </si>
  <si>
    <t>≤0.68</t>
  </si>
  <si>
    <t>≤17.95米</t>
  </si>
  <si>
    <t>北京栖湖饭店有限责任公司</t>
  </si>
  <si>
    <t>北京经济技术开发区路东区G4F-4、G6F-1、G6F-5、G7F-1、G7F-2、G7F-3地块F3其他类多功能用地国有建设用地</t>
  </si>
  <si>
    <t>大兴区</t>
  </si>
  <si>
    <t>台湖</t>
  </si>
  <si>
    <t>北京经济技术开发区路东区G4F-4、G6F-1、G6F-5、G7F-1、G7F-2、G7F-3地块</t>
  </si>
  <si>
    <t>京土整储挂(开)[2020]029号</t>
  </si>
  <si>
    <t>g4f-4≤3,g6f-1、g6f-5、g7f-1、g7f-2≤2.5,g7f-3≤1.96</t>
  </si>
  <si>
    <t>≥40%</t>
  </si>
  <si>
    <t>≤60米,其中G4F-4≤80米(西北角≤100米)</t>
  </si>
  <si>
    <t>2020-06-30</t>
  </si>
  <si>
    <t>2020-07-20</t>
  </si>
  <si>
    <t>2020-08-03</t>
  </si>
  <si>
    <t>北京通明湖信息城发展有限公司</t>
  </si>
  <si>
    <t>北京亦庄国际投资发展有限公司</t>
  </si>
  <si>
    <t>3星</t>
  </si>
  <si>
    <t>北京市朝阳区望京花家地西里三组团配套综合楼1006-605地块B4商业金融用地</t>
  </si>
  <si>
    <t>朝阳区</t>
  </si>
  <si>
    <t>望京、酒仙桥</t>
  </si>
  <si>
    <t>朝阳区望京花家地</t>
  </si>
  <si>
    <t>京土整储挂(朝)[2020]004号</t>
  </si>
  <si>
    <t>B4商业金融用地</t>
  </si>
  <si>
    <t>≤50%</t>
  </si>
  <si>
    <t>2020-02-28</t>
  </si>
  <si>
    <t>2020-03-19</t>
  </si>
  <si>
    <t>2020-04-02</t>
  </si>
  <si>
    <t>北京金隅嘉业房地产开发有限公司</t>
  </si>
  <si>
    <t>北京金隅集团股份有限公司</t>
  </si>
  <si>
    <t>北京市昌平区朱辛庄新区(二期)土地一级开发项目ZXZ-010地块F3其他类多功能用地</t>
  </si>
  <si>
    <t>昌平区</t>
  </si>
  <si>
    <t>回龙观</t>
  </si>
  <si>
    <t>昌平区朱辛庄</t>
  </si>
  <si>
    <t>京土整储挂(昌)[2020]005号</t>
  </si>
  <si>
    <t>北京裕聪置业有限公司</t>
  </si>
  <si>
    <t>北京市石景山区古城南街东侧(首钢园区东南区)1612-769、775等地块B4综合性商业金融服务业用地</t>
  </si>
  <si>
    <t>石景山区古城南街东侧(首钢园区东南区)</t>
  </si>
  <si>
    <t>京土整储挂(石)[2019]037号</t>
  </si>
  <si>
    <t>1612-775≤4,1612-769≤5</t>
  </si>
  <si>
    <t>≤80米</t>
  </si>
  <si>
    <t>2019-11-08</t>
  </si>
  <si>
    <t>2019-11-28</t>
  </si>
  <si>
    <t>2019-12-12</t>
  </si>
  <si>
    <t>北京璟鑫达房地产开发有限公司</t>
  </si>
  <si>
    <t>首钢集团有限公司</t>
  </si>
  <si>
    <t>北京市石景山区古城南街东侧(首钢园区东南区)1612-778、779、783、784、786等地块B4综合性商业金融服务业用地、F3其他类多功能用地</t>
  </si>
  <si>
    <t>京土整储挂(石)[2019]038号</t>
  </si>
  <si>
    <t>1612-778≤3.5,779≤4,783、786≤1.1,784≤1.5</t>
  </si>
  <si>
    <t>B4综合性商业金融服务业用地、F3其他类多功能用地</t>
  </si>
  <si>
    <t>1612-778≤45米,1612-779≤80米,F3≤18米</t>
  </si>
  <si>
    <t>北京市海淀区学院路北端A、B、C、J地块B4综合性商业金融服务业用地、B23研发设计用地</t>
  </si>
  <si>
    <t>学清路</t>
  </si>
  <si>
    <t>海淀区学院路北端</t>
  </si>
  <si>
    <t>京土整储招(海)[2019]034号</t>
  </si>
  <si>
    <t>≤4.04</t>
  </si>
  <si>
    <t>B4综合性商业金融服务业用地、B23研发设计用地</t>
  </si>
  <si>
    <t>2019-11-01</t>
  </si>
  <si>
    <t>2019-11-29</t>
  </si>
  <si>
    <t>2019-12-02</t>
  </si>
  <si>
    <t>紫光集团有限公司、紫光股份有限公司、紫光国芯微电子股份有限公司、北京紫光科技服务集团有限公司联合体</t>
  </si>
  <si>
    <t>紫光集团有限公司</t>
  </si>
  <si>
    <t>北京市通州区潞城镇FZX-0901-0162地块F3其他类多功能用地</t>
  </si>
  <si>
    <t>通州区潞城镇</t>
  </si>
  <si>
    <t>京土整储挂(通)[2019]029号</t>
  </si>
  <si>
    <t>≤2.5</t>
  </si>
  <si>
    <t>≤45%</t>
  </si>
  <si>
    <t>≤36米(局部40)</t>
  </si>
  <si>
    <t>2019-08-30</t>
  </si>
  <si>
    <t>2019-09-29</t>
  </si>
  <si>
    <t>2019-10-17</t>
  </si>
  <si>
    <t>北京润置商业运营管理有限公司、北京首都开发股份有限公司联合体</t>
  </si>
  <si>
    <t>华润置地有限公司,北京首都开发股份有限公司</t>
  </si>
  <si>
    <t>商业40年办公50年</t>
  </si>
  <si>
    <t>北京经济技术开发区河西区X78C2地块B4综合性商业金融服务业用地</t>
  </si>
  <si>
    <t>瀛海</t>
  </si>
  <si>
    <t>北京经济技术开发区河西区X78C2地块</t>
  </si>
  <si>
    <t>京土整储挂(开)[2019]019号</t>
  </si>
  <si>
    <t>≤2</t>
  </si>
  <si>
    <t>≤36米</t>
  </si>
  <si>
    <t>2019-07-26</t>
  </si>
  <si>
    <t>2019-08-15</t>
  </si>
  <si>
    <t>2019-08-29</t>
  </si>
  <si>
    <t>北京尚恒锦瑞商业运营管理有限公司</t>
  </si>
  <si>
    <t>龙湖集团控股有限公司</t>
  </si>
  <si>
    <t>办公50年、商业40年</t>
  </si>
  <si>
    <t>北京市海淀区西三旗1811-L04地块B4综合性商业金融服务业用地</t>
  </si>
  <si>
    <t>西三旗</t>
  </si>
  <si>
    <t>海淀区西三旗</t>
  </si>
  <si>
    <t>京土整储挂(海)[2019]015号</t>
  </si>
  <si>
    <t>≤2.8</t>
  </si>
  <si>
    <t>2019-05-31</t>
  </si>
  <si>
    <t>2019-06-20</t>
  </si>
  <si>
    <t>2019-07-04</t>
  </si>
  <si>
    <t>北京润置商业运营管理有限公司</t>
  </si>
  <si>
    <t>华润置地有限公司</t>
  </si>
  <si>
    <t>北京市海淀区&amp;quot海淀北部地区整体开发&amp;quot西北旺镇HD00-0402-0102地块(永丰产业基地)B1商业用地</t>
  </si>
  <si>
    <t>温泉</t>
  </si>
  <si>
    <t>海淀区西北旺镇</t>
  </si>
  <si>
    <t>京土整储挂(海)[2019]005号</t>
  </si>
  <si>
    <t/>
  </si>
  <si>
    <t>2019-04-24</t>
  </si>
  <si>
    <t>2019-05-14</t>
  </si>
  <si>
    <t>2019-05-28</t>
  </si>
  <si>
    <t>北京实创科技园开发建设股份有限公司</t>
  </si>
  <si>
    <t>北京经济技术开发区南海子郊野公园B片区B-04/*B-06/B-11地块F3其他类多功能用地</t>
  </si>
  <si>
    <t>旧宫</t>
  </si>
  <si>
    <t>南海子郊野公园B片区B-04/*B-06/B-11地块</t>
  </si>
  <si>
    <t>京土整储挂(开)[2019]006号</t>
  </si>
  <si>
    <t>b-04、b-06≤1.5,b-11≤2</t>
  </si>
  <si>
    <t>北京国苑体育文化投资有限责任公司</t>
  </si>
  <si>
    <t>北京市昌平区沙河镇七里渠南北村土地一级开发项目QLQ-004地块B4综合性商业金融服务业用地</t>
  </si>
  <si>
    <t>昌平区沙河镇七里渠南北村</t>
  </si>
  <si>
    <t>京土整储挂(昌)[2018]040号</t>
  </si>
  <si>
    <t>≤45</t>
  </si>
  <si>
    <t>含租赁用地</t>
  </si>
  <si>
    <t>2018-10-23</t>
  </si>
  <si>
    <t>2018-11-12</t>
  </si>
  <si>
    <t>2018-11-26</t>
  </si>
  <si>
    <t>时代好未来教育科技(北京)有限公司</t>
  </si>
  <si>
    <t>欣欣相融教育科技（北京）有限公司</t>
  </si>
  <si>
    <t>北京市延庆区延庆新城03街区会展中心东侧地块土地一级开发项目(二期)YQ00-0003-0024地块B4综合性商业金融服务业用地</t>
  </si>
  <si>
    <t>延庆</t>
  </si>
  <si>
    <t>延庆区延庆新城03街区</t>
  </si>
  <si>
    <t>京土整储招(延)[2018]041号</t>
  </si>
  <si>
    <t>≤60%</t>
  </si>
  <si>
    <t>≤30</t>
  </si>
  <si>
    <t>2018-11-15</t>
  </si>
  <si>
    <t>大连万达商业管理集团股份有限公司</t>
  </si>
  <si>
    <t>大连万达集团股份有限公司</t>
  </si>
  <si>
    <t>北京市朝阳区奥林匹克公园中心区B23等地块B4综合性商业金融服务业用地、F3其他类多功能用地</t>
  </si>
  <si>
    <t>奥运场馆周边</t>
  </si>
  <si>
    <t>朝阳区奥林匹克公园中心区</t>
  </si>
  <si>
    <t>京土整储挂(朝)[2018]026号</t>
  </si>
  <si>
    <t>详见挂牌文件</t>
  </si>
  <si>
    <t>已完工</t>
  </si>
  <si>
    <t>2018-09-30</t>
  </si>
  <si>
    <t>2018-10-22</t>
  </si>
  <si>
    <t>2018-11-05</t>
  </si>
  <si>
    <t>北京北辰实业集团有限责任公司</t>
  </si>
  <si>
    <t>北京北辰实业股份有限公司</t>
  </si>
  <si>
    <t>北京市丰台区丽泽金融商务区南区F-22、F-23地块F3其他类多功能用地</t>
  </si>
  <si>
    <t>丰台区</t>
  </si>
  <si>
    <t>菜户营、西罗园</t>
  </si>
  <si>
    <t>丰台区卢沟桥乡</t>
  </si>
  <si>
    <t>京土整储招(丰)[2018]014号</t>
  </si>
  <si>
    <t>≤150</t>
  </si>
  <si>
    <t>2018-05-31</t>
  </si>
  <si>
    <t>2018-07-06</t>
  </si>
  <si>
    <t>中证机构间报价系统股份有限公司、中国银河证券股份有限公司联合体</t>
  </si>
  <si>
    <t>中证机构间报价系统股份有限公司</t>
  </si>
  <si>
    <t>北京市房山区长沟镇中心区FS12-0100-6022、6023等地块(北京基金小镇核心区一期)F3其他类多功能用地</t>
  </si>
  <si>
    <t>大石窝、长沟</t>
  </si>
  <si>
    <t>房山区长沟镇中心区北部</t>
  </si>
  <si>
    <t>京土整储招(房)[2018]011号</t>
  </si>
  <si>
    <t>2018-05-24</t>
  </si>
  <si>
    <t>2018-06-15</t>
  </si>
  <si>
    <t>2018-06-19</t>
  </si>
  <si>
    <t>北京基金小镇控股有限公司、北京基金小镇圣泉投资中心(有限合伙)联合体</t>
  </si>
  <si>
    <t>北京基金小镇圣泉投资中心（有限合伙）,泰富德投资集团有限公司</t>
  </si>
  <si>
    <t>北京经济技术开发区路东区E16街区E16C-3、E16C-5、E16S-1地块</t>
  </si>
  <si>
    <t>京土整储挂(开)[2018]007号</t>
  </si>
  <si>
    <t>B4综合性商业金融服务业用地、S41公用停车场用地</t>
  </si>
  <si>
    <t>2018-05-11</t>
  </si>
  <si>
    <t>2018-06-14</t>
  </si>
  <si>
    <t>北京智方润科房地产开发有限公司</t>
  </si>
  <si>
    <t>北京京东世纪贸易有限公司</t>
  </si>
  <si>
    <t>北京市延庆区张山营镇水峪村A-01等地块B14旅馆用地、U21排水设施用地</t>
  </si>
  <si>
    <t>延庆区张山营镇水峪村</t>
  </si>
  <si>
    <t>京土整储招(延)[2018]*003号</t>
  </si>
  <si>
    <t>B14旅馆用地、U21排水设施用地</t>
  </si>
  <si>
    <t>2018-02-07</t>
  </si>
  <si>
    <t>2018-03-01</t>
  </si>
  <si>
    <t>北京辉煌益境房地产开发有限公司</t>
  </si>
  <si>
    <t>北京辉煌逸达实业集团有限公司</t>
  </si>
  <si>
    <t>北京市门头沟区永定镇MC00-0018-0060、0061地块B4综合性商业金融服务业用地</t>
  </si>
  <si>
    <t>门头沟区</t>
  </si>
  <si>
    <t>永定</t>
  </si>
  <si>
    <t>门头沟区永定镇</t>
  </si>
  <si>
    <t>京土整储挂(门)[2018]002号</t>
  </si>
  <si>
    <t>≤35%</t>
  </si>
  <si>
    <t>0060≤45;0061≤60</t>
  </si>
  <si>
    <t>2018-01-18</t>
  </si>
  <si>
    <t>2018-02-09</t>
  </si>
  <si>
    <t>2018-02-28</t>
  </si>
  <si>
    <t>金融街融辰(北京)置业有限公司、北京市京西置地有限责任公司联合体</t>
  </si>
  <si>
    <t>金融街控股股份有限公司</t>
  </si>
  <si>
    <t>北京市石景山区中关村科技园区石景山园北I区1605-636地块B23研发设计用地</t>
  </si>
  <si>
    <t>石景山区中关村科技园区石景山园北I区</t>
  </si>
  <si>
    <t>京土整储挂(石)[2017]098号</t>
  </si>
  <si>
    <t>B23研发设计用地</t>
  </si>
  <si>
    <t>≤30%</t>
  </si>
  <si>
    <t>≤18</t>
  </si>
  <si>
    <t>2017-11-30</t>
  </si>
  <si>
    <t>2017-12-25</t>
  </si>
  <si>
    <t>2018-01-09</t>
  </si>
  <si>
    <t>北京保险产业园投资控股有限责任公司、北京保汇置业发展有限公司联合体</t>
  </si>
  <si>
    <t>北京市石景山区国有资产经营公司</t>
  </si>
  <si>
    <t>办公50年</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</si>
  <si>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</si>
  <si>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</si>
  <si>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</si>
  <si>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</si>
  <si>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</si>
  <si>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北京市平谷区金海湖镇韩庄村PG06-0100-6001、6002、6004、C-008、C-012地块B1商业用地</t>
  </si>
  <si>
    <t>平谷区</t>
  </si>
  <si>
    <t>金海湖</t>
  </si>
  <si>
    <t>平谷区金海湖镇韩庄村</t>
  </si>
  <si>
    <t>京土整储招(平)[2017]104号</t>
  </si>
  <si>
    <t>2017-12-14</t>
  </si>
  <si>
    <t>2018-01-05</t>
  </si>
  <si>
    <t>2018-01-08</t>
  </si>
  <si>
    <t>北京瑞元丰吉置业有限公司</t>
  </si>
  <si>
    <t>首创置业股份有限公司</t>
  </si>
  <si>
    <t>北京市海淀区西八里庄0711-653地块B4综合性商业金融服务业用地</t>
  </si>
  <si>
    <t>京土整储挂(海)[2017]087号</t>
  </si>
  <si>
    <t>2017-10-13</t>
  </si>
  <si>
    <t>2017-11-02</t>
  </si>
  <si>
    <t>2017-11-16</t>
  </si>
  <si>
    <t>中国电子科技集团公司</t>
  </si>
  <si>
    <t>北京市石景山区鲁谷路1614-631地块(银河商务区L地块)B4综合性商业金融服务业用地</t>
  </si>
  <si>
    <t>鲁谷、八宝山</t>
  </si>
  <si>
    <t>石景山区鲁谷地区</t>
  </si>
  <si>
    <t>京土整储挂(石)[2017]084号</t>
  </si>
  <si>
    <t>≤80</t>
  </si>
  <si>
    <t>2017-10-11</t>
  </si>
  <si>
    <t>2017-10-31</t>
  </si>
  <si>
    <t>2017-11-14</t>
  </si>
  <si>
    <t>天安人寿保险股份有限公司、北京保险产业园投资控股有限责任公司联合体</t>
  </si>
  <si>
    <t>北京市丰台区丽泽金融商务区南区D-02地块B4综合性商业金融服务业用地</t>
  </si>
  <si>
    <t>京土整储挂(丰)[2017]085号</t>
  </si>
  <si>
    <t>≤180</t>
  </si>
  <si>
    <t>华夏人寿保险股份有限公司北京分公司</t>
  </si>
  <si>
    <t>华夏人寿保险股份有限公司</t>
  </si>
  <si>
    <t>北京市门头沟区龙泉镇MC00-0010-6004地块B2商务用地</t>
  </si>
  <si>
    <t>龙泉</t>
  </si>
  <si>
    <t>门头沟区龙泉镇</t>
  </si>
  <si>
    <t>京土整储挂(门)[2017]062号</t>
  </si>
  <si>
    <t>2017-08-04</t>
  </si>
  <si>
    <t>2017-08-24</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</si>
  <si>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</si>
  <si>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</si>
  <si>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</si>
  <si>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</si>
  <si>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</si>
  <si>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</si>
  <si>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</si>
  <si>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</si>
  <si>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</si>
  <si>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丰台区丽泽金融商务区南区D-07、D-08地块</t>
  </si>
  <si>
    <t>京土整储挂(丰)[2017]035号</t>
  </si>
  <si>
    <t>2017-04-14</t>
  </si>
  <si>
    <t>2017-05-04</t>
  </si>
  <si>
    <t>2017-05-18</t>
  </si>
  <si>
    <t>北京润置商业运营管理有限公司、北京首都开发股份有限公司、北京宸茂置业有限公司、北京金唐天润传媒发展有限公司联合体</t>
  </si>
  <si>
    <t>华润置地有限公司,中国金茂控股集团有限公司,北京首都开发股份有限公司</t>
  </si>
  <si>
    <t>通州区马驹桥镇YZ00-0606-0014地块</t>
  </si>
  <si>
    <t>马驹桥</t>
  </si>
  <si>
    <t>北京通州物流基地内</t>
  </si>
  <si>
    <t>京土整储挂(通)[2017]033号</t>
  </si>
  <si>
    <t>2017-04-06</t>
  </si>
  <si>
    <t>2017-04-27</t>
  </si>
  <si>
    <t>2017-05-12</t>
  </si>
  <si>
    <t>北京北建通成国际物流有限公司</t>
  </si>
  <si>
    <t>顺义区高丽营镇02-08-01、02-08-02地块</t>
  </si>
  <si>
    <t>顺义区</t>
  </si>
  <si>
    <t>高丽营</t>
  </si>
  <si>
    <t>顺义区高丽营镇西北部</t>
  </si>
  <si>
    <t>京土整储挂(顺)[2017]032号</t>
  </si>
  <si>
    <t>2017-03-29</t>
  </si>
  <si>
    <t>2017-04-20</t>
  </si>
  <si>
    <t>2017-05-05</t>
  </si>
  <si>
    <t>北京首都开发股份有限公司、北京富力通达房地产开发有限公司联合体</t>
  </si>
  <si>
    <t>广州富力地产股份有限公司,北京首都开发股份有限公司</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</si>
  <si>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</si>
  <si>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</si>
  <si>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</si>
  <si>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</si>
  <si>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北京市房山新城建设工程有限责任公司、北京碧水京良水务有限公司、北京高能长阳环境修复有限公司、北京泰岳阳光科技有限公司、北京钧诚企业管理有限公司、北京云子企业管理有限公司联合体</t>
  </si>
  <si>
    <t>朝阳区金盏乡楼梓庄村1113-602地块</t>
  </si>
  <si>
    <t>东坝</t>
  </si>
  <si>
    <t>东至规划金盏服务区东二路西红线,南至规划金盏服务区六街北红线,西至规划东高路东红线,北至规划楼梓庄大街南红线</t>
  </si>
  <si>
    <t>京土整储挂(朝)[2017]016号</t>
  </si>
  <si>
    <t>40%</t>
  </si>
  <si>
    <t>60米</t>
  </si>
  <si>
    <t>2017-03-10</t>
  </si>
  <si>
    <t>2017-03-30</t>
  </si>
  <si>
    <t>京土整储挂(平)[2017]016号</t>
  </si>
  <si>
    <t>天津金地华府置业有限公司</t>
  </si>
  <si>
    <t>金地(集团)股份有限公司</t>
  </si>
  <si>
    <t>朝阳区孙河乡西甸村2902-71地块</t>
  </si>
  <si>
    <t>黄港</t>
  </si>
  <si>
    <t>东至规划2902-73地块,*西至规划孙河组团六号路,南至规划孙河组团十号路,北至规划孙河组团九号路</t>
  </si>
  <si>
    <t>京土整储招(朝)[2017]019号</t>
  </si>
  <si>
    <t>2017-03-16</t>
  </si>
  <si>
    <t>2017-04-07</t>
  </si>
  <si>
    <t>2017-04-11</t>
  </si>
  <si>
    <t>北京亚通房地产开发有限责任公司、北京城建兴华地产有限公司联合体</t>
  </si>
  <si>
    <t>北京城建投资发展股份有限公司</t>
  </si>
  <si>
    <t>大兴开发区北区1号地DX00-0301-0145地块</t>
  </si>
  <si>
    <t>观音寺街道</t>
  </si>
  <si>
    <t>大兴区黄村镇</t>
  </si>
  <si>
    <t>京土整储挂(兴)[2017]013号</t>
  </si>
  <si>
    <t>2017-03-02</t>
  </si>
  <si>
    <t>2017-03-22</t>
  </si>
  <si>
    <t>北京亚通房地产开发有限责任公司</t>
  </si>
  <si>
    <t>石榴置业集团股份有限公司</t>
  </si>
  <si>
    <t>大兴区北臧村生物医药基地DX00-0502-0008地块</t>
  </si>
  <si>
    <t>天宫院街道</t>
  </si>
  <si>
    <t>大兴区北臧村生物医药基地</t>
  </si>
  <si>
    <t>京土整储挂(兴)[2017]008号</t>
  </si>
  <si>
    <t>2017-02-24</t>
  </si>
  <si>
    <t>北京硕日新宇投资有限公司</t>
  </si>
  <si>
    <t>东亚新华地产</t>
  </si>
  <si>
    <t>朝阳区金盏乡楼梓庄村1113-603地块</t>
  </si>
  <si>
    <t>朝阳区金盏乡楼梓庄村</t>
  </si>
  <si>
    <t>京土整储挂(朝)[2017]006号</t>
  </si>
  <si>
    <t>北京润置商业运营管理有限公司、招商局地产(北京)有限公司、北京环渤海正奇企业管理中心(有限合伙)联合体</t>
  </si>
  <si>
    <t>华润置地有限公司,招商局蛇口工业区控股股份有限公司</t>
  </si>
  <si>
    <t>朝阳区金盏乡楼梓庄村1113-604地块</t>
  </si>
  <si>
    <t>京土整储挂(朝)[2017]007号</t>
  </si>
  <si>
    <t>北京广茂置业有限公司</t>
  </si>
  <si>
    <t>中国金茂控股集团有限公司</t>
  </si>
  <si>
    <t>大兴开发区北区1号地DX00-0301-0144地块</t>
  </si>
  <si>
    <t>京土整储挂(兴)[2016]027号</t>
  </si>
  <si>
    <t>2016-11-16</t>
  </si>
  <si>
    <t>2016-12-06</t>
  </si>
  <si>
    <t>2016-12-20</t>
  </si>
  <si>
    <t>北京筑兴房地产开发有限公司</t>
  </si>
  <si>
    <t>中国中建地产有限公司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</si>
  <si>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</si>
  <si>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</si>
  <si>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</si>
  <si>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</si>
  <si>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</si>
  <si>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</si>
  <si>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</si>
  <si>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t>石景山区实兴大街(中关村科技园区石景山园北I区)1605-637、641地块</t>
  </si>
  <si>
    <t>京土整储挂(石)[2016]024号</t>
  </si>
  <si>
    <t>商业办公</t>
  </si>
  <si>
    <t>商业办公</t>
    <phoneticPr fontId="31" type="noConversion"/>
  </si>
  <si>
    <t>一般</t>
  </si>
  <si>
    <t>较好</t>
  </si>
  <si>
    <t>未包含在土地购买价格中</t>
  </si>
  <si>
    <t>全部缴纳</t>
  </si>
  <si>
    <t>已包含在土地取得成本中</t>
  </si>
  <si>
    <t>售价</t>
  </si>
  <si>
    <t>星光视界中心</t>
    <phoneticPr fontId="3" type="noConversion"/>
  </si>
  <si>
    <t>文化都汇</t>
    <phoneticPr fontId="3" type="noConversion"/>
  </si>
  <si>
    <t>天恒世界集</t>
    <phoneticPr fontId="3" type="noConversion"/>
  </si>
  <si>
    <t>已全部缴纳</t>
  </si>
  <si>
    <t>成本法</t>
  </si>
  <si>
    <t>假设开发法</t>
  </si>
  <si>
    <t>利息：取LPR加浮动点数</t>
  </si>
  <si>
    <t>出让金</t>
    <phoneticPr fontId="3" type="noConversion"/>
  </si>
  <si>
    <t>开发补偿费</t>
    <phoneticPr fontId="3" type="noConversion"/>
  </si>
  <si>
    <t>自持商业</t>
  </si>
  <si>
    <t>可售商业</t>
  </si>
  <si>
    <t>地下车库</t>
    <phoneticPr fontId="7" type="noConversion"/>
  </si>
  <si>
    <t>自持商业</t>
    <phoneticPr fontId="16" type="noConversion"/>
  </si>
  <si>
    <t>自持酒店</t>
  </si>
  <si>
    <t>自持酒店</t>
    <phoneticPr fontId="16" type="noConversion"/>
  </si>
  <si>
    <t>可售商业</t>
    <phoneticPr fontId="16" type="noConversion"/>
  </si>
  <si>
    <t>自持酒店</t>
    <phoneticPr fontId="7" type="noConversion"/>
  </si>
  <si>
    <t>自持商业</t>
    <phoneticPr fontId="7" type="noConversion"/>
  </si>
  <si>
    <t>可售商业</t>
    <phoneticPr fontId="7" type="noConversion"/>
  </si>
  <si>
    <t>可售办公</t>
  </si>
  <si>
    <t>可售办公</t>
    <phoneticPr fontId="7" type="noConversion"/>
  </si>
  <si>
    <t>大兴区兴华大街</t>
    <phoneticPr fontId="3"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</si>
  <si>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</si>
  <si>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</si>
  <si>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</si>
  <si>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</si>
  <si>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</si>
  <si>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</si>
  <si>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</si>
  <si>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</si>
  <si>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较适宜</t>
  </si>
  <si>
    <t>较适宜</t>
    <phoneticPr fontId="31" type="noConversion"/>
  </si>
  <si>
    <t>较不适宜</t>
  </si>
  <si>
    <t>较不适宜</t>
    <phoneticPr fontId="31" type="noConversion"/>
  </si>
  <si>
    <t>不适宜</t>
    <phoneticPr fontId="31" type="noConversion"/>
  </si>
  <si>
    <t>高速路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</si>
  <si>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</si>
  <si>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</si>
  <si>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</si>
  <si>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</si>
  <si>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</si>
  <si>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</si>
  <si>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</si>
  <si>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</si>
  <si>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</si>
  <si>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</si>
  <si>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</si>
  <si>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</si>
  <si>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</si>
  <si>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t>十级</t>
    <phoneticPr fontId="31" type="noConversion"/>
  </si>
  <si>
    <t>十一级</t>
    <phoneticPr fontId="31" type="noConversion"/>
  </si>
  <si>
    <t>Ⅶ-兴1</t>
  </si>
  <si>
    <t>兴华大街</t>
    <phoneticPr fontId="31" type="noConversion"/>
  </si>
  <si>
    <t>自持比例</t>
    <phoneticPr fontId="31" type="noConversion"/>
  </si>
  <si>
    <t>0-10%</t>
    <phoneticPr fontId="31" type="noConversion"/>
  </si>
  <si>
    <t>丽泽路</t>
    <phoneticPr fontId="31" type="noConversion"/>
  </si>
  <si>
    <t>六通</t>
  </si>
  <si>
    <t>三通</t>
  </si>
  <si>
    <t>北清路辅路</t>
    <phoneticPr fontId="31" type="noConversion"/>
  </si>
  <si>
    <t>代建比例</t>
    <phoneticPr fontId="31" type="noConversion"/>
  </si>
  <si>
    <t>学清路</t>
    <phoneticPr fontId="31" type="noConversion"/>
  </si>
  <si>
    <t>10-20%</t>
    <phoneticPr fontId="31" type="noConversion"/>
  </si>
  <si>
    <t>0-10%</t>
    <phoneticPr fontId="31" type="noConversion"/>
  </si>
  <si>
    <t>10-20%</t>
    <phoneticPr fontId="31" type="noConversion"/>
  </si>
  <si>
    <t>20-30%</t>
    <phoneticPr fontId="31" type="noConversion"/>
  </si>
  <si>
    <t>30-40%</t>
    <phoneticPr fontId="31" type="noConversion"/>
  </si>
  <si>
    <t>40-50%</t>
    <phoneticPr fontId="31" type="noConversion"/>
  </si>
  <si>
    <t>50-60%</t>
    <phoneticPr fontId="31" type="noConversion"/>
  </si>
  <si>
    <t>60-70%</t>
    <phoneticPr fontId="31" type="noConversion"/>
  </si>
  <si>
    <t>70-80%</t>
    <phoneticPr fontId="31" type="noConversion"/>
  </si>
  <si>
    <t>80-90%</t>
    <phoneticPr fontId="31" type="noConversion"/>
  </si>
  <si>
    <t>90-100%</t>
    <phoneticPr fontId="31" type="noConversion"/>
  </si>
  <si>
    <t>50-60%</t>
    <phoneticPr fontId="31" type="noConversion"/>
  </si>
  <si>
    <t>90-100%</t>
    <phoneticPr fontId="31" type="noConversion"/>
  </si>
  <si>
    <t>双面临街</t>
  </si>
  <si>
    <t>单面临街</t>
  </si>
  <si>
    <t>多面临街</t>
  </si>
  <si>
    <t>七通</t>
  </si>
  <si>
    <t>郑燚</t>
  </si>
  <si>
    <t>在建</t>
  </si>
  <si>
    <t>通路</t>
  </si>
  <si>
    <t>通电</t>
  </si>
  <si>
    <t>通讯</t>
  </si>
  <si>
    <t>通上水</t>
  </si>
  <si>
    <t>通下水</t>
  </si>
  <si>
    <t>燃气</t>
  </si>
  <si>
    <t>商业项目</t>
  </si>
  <si>
    <t>无</t>
  </si>
  <si>
    <t>收益法-车库</t>
  </si>
  <si>
    <t>收益法-车库</t>
    <phoneticPr fontId="16" type="noConversion"/>
  </si>
  <si>
    <t>收益法-自持酒店</t>
  </si>
  <si>
    <t>收益法-自持酒店</t>
    <phoneticPr fontId="16" type="noConversion"/>
  </si>
  <si>
    <t>收益法-自持商业</t>
  </si>
  <si>
    <t>收益法-自持商业</t>
    <phoneticPr fontId="16" type="noConversion"/>
  </si>
  <si>
    <t>收益法-可售商业</t>
  </si>
  <si>
    <t>收益法-可售商业</t>
    <phoneticPr fontId="16" type="noConversion"/>
  </si>
  <si>
    <t>总价</t>
  </si>
  <si>
    <t>在建（套用方法）</t>
  </si>
  <si>
    <t>自定义</t>
  </si>
  <si>
    <t>按租金收入计税</t>
  </si>
  <si>
    <t>钢混</t>
  </si>
  <si>
    <t>非生产用房</t>
  </si>
  <si>
    <t>押一</t>
  </si>
  <si>
    <t>40-50（含）</t>
  </si>
  <si>
    <t>办公</t>
    <phoneticPr fontId="32" type="noConversion"/>
  </si>
  <si>
    <t>兴华大街</t>
    <phoneticPr fontId="32" type="noConversion"/>
  </si>
  <si>
    <t>高层</t>
  </si>
  <si>
    <t>高层</t>
    <phoneticPr fontId="32" type="noConversion"/>
  </si>
  <si>
    <t>钢混</t>
    <phoneticPr fontId="32" type="noConversion"/>
  </si>
  <si>
    <t>精装</t>
  </si>
  <si>
    <t>精装</t>
    <phoneticPr fontId="32" type="noConversion"/>
  </si>
  <si>
    <t>普装</t>
    <phoneticPr fontId="32" type="noConversion"/>
  </si>
  <si>
    <t>简装</t>
    <phoneticPr fontId="32" type="noConversion"/>
  </si>
  <si>
    <t>毛坯</t>
  </si>
  <si>
    <t>毛坯</t>
    <phoneticPr fontId="32" type="noConversion"/>
  </si>
  <si>
    <t>五通</t>
  </si>
  <si>
    <r>
      <t>1</t>
    </r>
    <r>
      <rPr>
        <sz val="10"/>
        <color indexed="8"/>
        <rFont val="宋体"/>
        <family val="3"/>
        <charset val="134"/>
      </rPr>
      <t>层商业租金</t>
    </r>
    <phoneticPr fontId="3" type="noConversion"/>
  </si>
  <si>
    <t>可售商业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</si>
  <si>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层、地下</t>
    </r>
    <r>
      <rPr>
        <sz val="10"/>
        <color indexed="8"/>
        <rFont val="Arial"/>
        <family val="2"/>
      </rPr>
      <t>1-2</t>
    </r>
    <r>
      <rPr>
        <sz val="10"/>
        <color indexed="8"/>
        <rFont val="宋体"/>
        <family val="3"/>
        <charset val="134"/>
      </rPr>
      <t>层</t>
    </r>
    <phoneticPr fontId="3" type="noConversion"/>
  </si>
  <si>
    <t>自持商业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</si>
  <si>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t>
    </r>
    <phoneticPr fontId="3" type="noConversion"/>
  </si>
  <si>
    <t>自持酒店（按公寓出租）</t>
    <phoneticPr fontId="3" type="noConversion"/>
  </si>
  <si>
    <t>周边住宅租金</t>
    <phoneticPr fontId="3" type="noConversion"/>
  </si>
  <si>
    <t>售价</t>
    <phoneticPr fontId="3" type="noConversion"/>
  </si>
  <si>
    <r>
      <t>3</t>
    </r>
    <r>
      <rPr>
        <sz val="10"/>
        <color indexed="8"/>
        <rFont val="宋体"/>
        <family val="3"/>
        <charset val="134"/>
      </rPr>
      <t>万</t>
    </r>
    <phoneticPr fontId="3" type="noConversion"/>
  </si>
  <si>
    <r>
      <t>3</t>
    </r>
    <r>
      <rPr>
        <sz val="10"/>
        <color indexed="8"/>
        <rFont val="宋体"/>
        <family val="3"/>
        <charset val="134"/>
      </rPr>
      <t>至</t>
    </r>
    <r>
      <rPr>
        <sz val="10"/>
        <color indexed="8"/>
        <rFont val="Arial"/>
        <family val="2"/>
      </rPr>
      <t>4</t>
    </r>
    <phoneticPr fontId="3" type="noConversion"/>
  </si>
  <si>
    <t>周边办公租金</t>
    <phoneticPr fontId="3" type="noConversion"/>
  </si>
  <si>
    <r>
      <t>4-6</t>
    </r>
    <r>
      <rPr>
        <sz val="10"/>
        <color indexed="8"/>
        <rFont val="宋体"/>
        <family val="3"/>
        <charset val="134"/>
      </rPr>
      <t>万</t>
    </r>
    <phoneticPr fontId="3" type="noConversion"/>
  </si>
  <si>
    <t>正常</t>
  </si>
  <si>
    <t>金苑路</t>
    <phoneticPr fontId="32" type="noConversion"/>
  </si>
  <si>
    <t>合计</t>
    <phoneticPr fontId="3" type="noConversion"/>
  </si>
  <si>
    <t>广平大街</t>
    <phoneticPr fontId="32" type="noConversion"/>
  </si>
  <si>
    <t>拿地单价</t>
    <phoneticPr fontId="3" type="noConversion"/>
  </si>
  <si>
    <t>崔锴</t>
  </si>
  <si>
    <t>商务金融用地（办公类）</t>
  </si>
  <si>
    <t>与级别开发程度一致</t>
  </si>
  <si>
    <t>按公示增长率计算</t>
  </si>
  <si>
    <t>容积率修正</t>
  </si>
  <si>
    <t>五等判定</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</si>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</sst>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111" fillId="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1" xfId="0" applyFont="1" applyBorder="1" applyAlignment="1" applyProtection="1">
      <alignment horizontal="center" vertical="center" wrapText="1"/>
      <protection locked="0"/>
    </xf>
    <xf numFmtId="177" fontId="134" fillId="0" borderId="1" xfId="1" applyNumberFormat="1"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97" fillId="0" borderId="54" xfId="0" applyNumberFormat="1" applyFont="1" applyFill="1" applyBorder="1" applyAlignment="1" applyProtection="1">
      <alignment horizontal="center" vertical="center" wrapText="1"/>
      <protection locked="0"/>
    </xf>
    <xf numFmtId="0" fontId="46" fillId="6"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79" fillId="0" borderId="0" xfId="0" applyFont="1" applyAlignment="1" applyProtection="1">
      <alignment vertical="center"/>
      <protection locked="0"/>
    </xf>
    <xf numFmtId="49" fontId="49" fillId="13" borderId="0" xfId="0" applyNumberFormat="1" applyFont="1" applyFill="1" applyAlignment="1" applyProtection="1">
      <alignment horizontal="right" vertical="center"/>
      <protection locked="0"/>
    </xf>
    <xf numFmtId="0" fontId="97" fillId="0" borderId="37" xfId="0" applyNumberFormat="1" applyFont="1" applyFill="1" applyBorder="1" applyAlignment="1" applyProtection="1">
      <alignment horizontal="center" vertical="center" wrapText="1"/>
      <protection locked="0"/>
    </xf>
    <xf numFmtId="181" fontId="103" fillId="8" borderId="1" xfId="0" applyNumberFormat="1" applyFont="1" applyFill="1" applyBorder="1" applyAlignment="1" applyProtection="1">
      <alignment horizontal="center" vertical="center"/>
      <protection locked="0"/>
    </xf>
    <xf numFmtId="0" fontId="46" fillId="8" borderId="24" xfId="0" applyFont="1" applyFill="1" applyBorder="1" applyAlignment="1" applyProtection="1">
      <alignment horizontal="center" vertical="center"/>
      <protection locked="0"/>
    </xf>
    <xf numFmtId="176" fontId="55" fillId="0" borderId="1" xfId="0" applyNumberFormat="1" applyFont="1" applyFill="1" applyBorder="1" applyAlignment="1" applyProtection="1">
      <alignment vertical="center" wrapText="1"/>
      <protection locked="0"/>
    </xf>
    <xf numFmtId="176" fontId="55" fillId="0" borderId="2"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left"/>
    </xf>
    <xf numFmtId="18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8028572"/>
        </a:xfrm>
        <a:prstGeom prst="rect">
          <a:avLst/>
        </a:prstGeom>
      </xdr:spPr>
    </xdr:pic>
    <xdr:clientData/>
  </xdr:twoCellAnchor>
  <xdr:twoCellAnchor editAs="oneCell">
    <xdr:from>
      <xdr:col>10</xdr:col>
      <xdr:colOff>0</xdr:colOff>
      <xdr:row>0</xdr:row>
      <xdr:rowOff>0</xdr:rowOff>
    </xdr:from>
    <xdr:to>
      <xdr:col>21</xdr:col>
      <xdr:colOff>665724</xdr:colOff>
      <xdr:row>44</xdr:row>
      <xdr:rowOff>46677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8209524" cy="7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49" customWidth="1"/>
    <col min="2" max="2" width="81" style="1366" customWidth="1"/>
    <col min="3" max="16384" width="9" style="1364"/>
  </cols>
  <sheetData>
    <row r="1" spans="1:2" s="1352" customFormat="1" ht="16.2" thickBot="1">
      <c r="A1" s="1351" t="s">
        <v>1186</v>
      </c>
      <c r="B1" s="1350" t="s">
        <v>1265</v>
      </c>
    </row>
    <row r="2" spans="1:2" s="1355" customFormat="1" ht="16.2"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6.2" thickBot="1">
      <c r="A5" s="1359" t="s">
        <v>1190</v>
      </c>
      <c r="B5" s="1360" t="str">
        <f>'预评函-封皮'!B49</f>
        <v>康正预评字号</v>
      </c>
    </row>
    <row r="6" spans="1:2" s="1355" customFormat="1" ht="16.2"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估价对象为北京市房地产，为所有。根据《国有土地使用证》[]，估价对象（分摊）出让国有建设用地使用权面积为27615.81平方米，建筑面积为183777.08平方米。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估价对象为北京市房地产,属开发建设的商业项目，该项目尚在开发建设中。根据《国有土地使用证》[]，估价对象（分摊）出让国有建设用地使用权面积为27615.81平方米，规划建筑面积为183777.08平方米。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2021年7月20日（评估专业人员实地查勘之日）</v>
      </c>
    </row>
    <row r="13" spans="1:2" s="1358" customFormat="1">
      <c r="A13" s="1356" t="s">
        <v>1194</v>
      </c>
      <c r="B13" s="1357"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6.2" thickBot="1">
      <c r="A18" s="1359" t="s">
        <v>1199</v>
      </c>
      <c r="B18" s="1360" t="str">
        <f>'预评函-1'!A24</f>
        <v>本次评估采用的主估价方法为成本法和假设开发法。</v>
      </c>
    </row>
    <row r="19" spans="1:2" s="1355" customFormat="1" ht="16.2"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315122</v>
      </c>
    </row>
    <row r="21" spans="1:2" s="1358" customFormat="1">
      <c r="A21" s="1356" t="s">
        <v>1202</v>
      </c>
      <c r="B21" s="1357">
        <f ca="1">'预评函-2'!D7</f>
        <v>17147</v>
      </c>
    </row>
    <row r="22" spans="1:2" s="1358" customFormat="1">
      <c r="A22" s="1356" t="s">
        <v>1203</v>
      </c>
      <c r="B22" s="1357" t="str">
        <f ca="1">'预评函-2'!D6</f>
        <v>叁拾壹亿伍仟壹佰贰拾贰万元整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315122</v>
      </c>
    </row>
    <row r="31" spans="1:2" s="1358" customFormat="1">
      <c r="A31" s="1356" t="s">
        <v>1241</v>
      </c>
      <c r="B31" s="1357">
        <f ca="1">'预评函-2'!D15</f>
        <v>17147</v>
      </c>
    </row>
    <row r="32" spans="1:2" s="1358" customFormat="1">
      <c r="A32" s="1356" t="s">
        <v>1208</v>
      </c>
      <c r="B32" s="1357" t="str">
        <f ca="1">'预评函-2'!D14</f>
        <v>叁拾壹亿伍仟壹佰贰拾贰万元整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ht="31.2">
      <c r="A42" s="1356" t="s">
        <v>1255</v>
      </c>
      <c r="B42" s="1357" t="str">
        <f>'预评函-3'!B2</f>
        <v>建筑面积</v>
      </c>
    </row>
    <row r="43" spans="1:2" s="1358" customFormat="1">
      <c r="A43" s="1356" t="s">
        <v>1256</v>
      </c>
      <c r="B43" s="1357">
        <f>'预评函-3'!B4</f>
        <v>183777.08000000002</v>
      </c>
    </row>
    <row r="44" spans="1:2" s="1358" customFormat="1" ht="31.2">
      <c r="A44" s="1356" t="s">
        <v>1240</v>
      </c>
      <c r="B44" s="1357" t="str">
        <f>'预评函-3'!C2</f>
        <v>(分摊)土地面积</v>
      </c>
    </row>
    <row r="45" spans="1:2" s="1358" customFormat="1">
      <c r="A45" s="1356" t="s">
        <v>1212</v>
      </c>
      <c r="B45" s="1357">
        <f>'预评函-3'!C4</f>
        <v>27615.81</v>
      </c>
    </row>
    <row r="46" spans="1:2" s="1358" customFormat="1">
      <c r="A46" s="1356" t="s">
        <v>1238</v>
      </c>
      <c r="B46" s="1357" t="str">
        <f>'预评函-3'!D2</f>
        <v>出让国有建设用地使用权价值</v>
      </c>
    </row>
    <row r="47" spans="1:2" s="1358" customFormat="1">
      <c r="A47" s="1356" t="s">
        <v>1213</v>
      </c>
      <c r="B47" s="1357">
        <f>'预评函-3'!D4</f>
        <v>255232</v>
      </c>
    </row>
    <row r="48" spans="1:2" s="1358" customFormat="1">
      <c r="A48" s="1356" t="s">
        <v>1214</v>
      </c>
      <c r="B48" s="1357">
        <f>'预评函-3'!E4</f>
        <v>13888</v>
      </c>
    </row>
    <row r="49" spans="1:2" s="1358" customFormat="1">
      <c r="A49" s="1356" t="s">
        <v>1215</v>
      </c>
      <c r="B49" s="1357" t="str">
        <f>'预评函-3'!D5</f>
        <v>贰拾伍亿伍仟贰佰叁拾贰万元整</v>
      </c>
    </row>
    <row r="50" spans="1:2" s="1358" customFormat="1">
      <c r="A50" s="1356" t="s">
        <v>1239</v>
      </c>
      <c r="B50" s="1357" t="str">
        <f>'预评函-3'!F2</f>
        <v>在建建筑物价值</v>
      </c>
    </row>
    <row r="51" spans="1:2" s="1358" customFormat="1">
      <c r="A51" s="1356" t="s">
        <v>1216</v>
      </c>
      <c r="B51" s="1357">
        <f ca="1">'预评函-3'!F4</f>
        <v>59890</v>
      </c>
    </row>
    <row r="52" spans="1:2" s="1358" customFormat="1">
      <c r="A52" s="1356" t="s">
        <v>1217</v>
      </c>
      <c r="B52" s="1357">
        <f ca="1">'预评函-3'!G4</f>
        <v>3259</v>
      </c>
    </row>
    <row r="53" spans="1:2" s="1358" customFormat="1">
      <c r="A53" s="1356" t="s">
        <v>1245</v>
      </c>
      <c r="B53" s="1357" t="str">
        <f ca="1">'预评函-3'!F5</f>
        <v>伍亿玖仟捌佰玖拾万元整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6.2" thickBot="1">
      <c r="A57" s="1359" t="s">
        <v>1264</v>
      </c>
      <c r="B57" s="1360" t="str">
        <f>'预评函-3'!A6</f>
        <v>估价师知悉的法定优先受偿款</v>
      </c>
    </row>
    <row r="58" spans="1:2" s="1355" customFormat="1" ht="16.2"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6.2" thickBot="1">
      <c r="A69" s="1359" t="s">
        <v>1226</v>
      </c>
      <c r="B69" s="1361">
        <f>'预评函-4'!C31</f>
        <v>42551</v>
      </c>
    </row>
    <row r="70" spans="1:2" ht="16.2"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6.2" thickBot="1">
      <c r="A73" s="1359" t="s">
        <v>1230</v>
      </c>
      <c r="B73" s="1360">
        <f ca="1">'预评函-4'!B5</f>
        <v>1120070131</v>
      </c>
    </row>
    <row r="74" spans="1:2" ht="16.2"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4.4"/>
  <cols>
    <col min="1" max="1" width="13.44140625" style="1734" customWidth="1"/>
    <col min="2" max="2" width="23.21875" style="1685" customWidth="1"/>
    <col min="3" max="3" width="13" style="1729" customWidth="1"/>
    <col min="4" max="4" width="5.77734375" style="1726" customWidth="1"/>
    <col min="5" max="5" width="7.109375" style="1726" customWidth="1"/>
    <col min="6" max="6" width="10.6640625" style="1726" customWidth="1"/>
    <col min="7" max="7" width="7.44140625" style="1726" customWidth="1"/>
    <col min="8" max="8" width="9" style="1729" customWidth="1"/>
    <col min="9" max="9" width="11.6640625" style="1729" customWidth="1"/>
    <col min="10" max="10" width="9" style="1729" customWidth="1"/>
    <col min="11" max="19" width="9" style="1726" customWidth="1"/>
    <col min="20" max="23" width="9" style="1729" customWidth="1"/>
    <col min="24" max="24" width="21.109375" style="1685" customWidth="1"/>
    <col min="25" max="16384" width="9" style="1685"/>
  </cols>
  <sheetData>
    <row r="1" spans="1:23" s="1723" customFormat="1" ht="28.8">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7" t="s">
        <v>3674</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3031</v>
      </c>
      <c r="C17" s="1725"/>
    </row>
    <row r="18" spans="1:3">
      <c r="A18" s="1724" t="s">
        <v>1731</v>
      </c>
      <c r="B18" s="1727" t="s">
        <v>3676</v>
      </c>
      <c r="C18" s="1725"/>
    </row>
    <row r="19" spans="1:3">
      <c r="A19" s="1724" t="s">
        <v>1732</v>
      </c>
      <c r="B19" s="1727" t="s">
        <v>3678</v>
      </c>
      <c r="C19" s="1725"/>
    </row>
    <row r="20" spans="1:3">
      <c r="A20" s="1724" t="s">
        <v>1733</v>
      </c>
      <c r="B20" s="1727" t="s">
        <v>3680</v>
      </c>
      <c r="C20" s="1725"/>
    </row>
    <row r="21" spans="1:3">
      <c r="A21" s="1724" t="s">
        <v>1734</v>
      </c>
      <c r="B21" s="1724" t="s">
        <v>757</v>
      </c>
      <c r="C21" s="1725"/>
    </row>
    <row r="22" spans="1:3">
      <c r="A22" s="1724" t="s">
        <v>1735</v>
      </c>
      <c r="B22" s="1724" t="s">
        <v>757</v>
      </c>
      <c r="C22" s="1725"/>
    </row>
    <row r="23" spans="1:3">
      <c r="A23" s="1724" t="s">
        <v>1736</v>
      </c>
      <c r="B23" s="1724" t="s">
        <v>757</v>
      </c>
      <c r="C23" s="1725"/>
    </row>
    <row r="24" spans="1:3">
      <c r="A24" s="1724" t="s">
        <v>1737</v>
      </c>
      <c r="B24" s="1724" t="s">
        <v>757</v>
      </c>
      <c r="C24" s="1725"/>
    </row>
    <row r="25" spans="1:3">
      <c r="A25" s="1724" t="s">
        <v>1738</v>
      </c>
      <c r="B25" s="1724" t="s">
        <v>757</v>
      </c>
      <c r="C25" s="1725"/>
    </row>
    <row r="26" spans="1:3">
      <c r="A26" s="1724" t="s">
        <v>1739</v>
      </c>
      <c r="B26" s="1724" t="s">
        <v>757</v>
      </c>
      <c r="C26" s="1725"/>
    </row>
    <row r="27" spans="1:3">
      <c r="A27" s="1724" t="s">
        <v>3075</v>
      </c>
      <c r="B27" s="1724" t="s">
        <v>757</v>
      </c>
      <c r="C27" s="1725"/>
    </row>
    <row r="28" spans="1:3">
      <c r="A28" s="1724" t="s">
        <v>3597</v>
      </c>
      <c r="B28" s="1724" t="s">
        <v>757</v>
      </c>
      <c r="C28" s="1725"/>
    </row>
    <row r="29" spans="1:3">
      <c r="A29" s="1724" t="s">
        <v>3599</v>
      </c>
      <c r="B29" s="1724" t="s">
        <v>757</v>
      </c>
      <c r="C29" s="1725"/>
    </row>
    <row r="30" spans="1:3">
      <c r="A30" s="1724" t="s">
        <v>3600</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36"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2" t="s">
        <v>832</v>
      </c>
      <c r="C54" s="1729" t="s">
        <v>1248</v>
      </c>
    </row>
    <row r="55" spans="1:4">
      <c r="A55" s="3136"/>
      <c r="B55" s="1732" t="s">
        <v>833</v>
      </c>
      <c r="C55" s="1729" t="s">
        <v>1249</v>
      </c>
    </row>
    <row r="56" spans="1:4">
      <c r="A56" s="3136"/>
      <c r="B56" s="1732" t="s">
        <v>834</v>
      </c>
      <c r="C56" s="1729" t="s">
        <v>1253</v>
      </c>
    </row>
    <row r="57" spans="1:4">
      <c r="A57" s="3136"/>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C38" sqref="C38"/>
    </sheetView>
  </sheetViews>
  <sheetFormatPr defaultColWidth="10" defaultRowHeight="13.2"/>
  <cols>
    <col min="1" max="1" width="16.88671875" style="1923" customWidth="1"/>
    <col min="2" max="2" width="10" style="1923" customWidth="1"/>
    <col min="3" max="3" width="11.44140625" style="1923" customWidth="1"/>
    <col min="4" max="4" width="10" style="1923" customWidth="1"/>
    <col min="5" max="5" width="12.6640625" style="1923" customWidth="1"/>
    <col min="6" max="6" width="10" style="1923" customWidth="1"/>
    <col min="7" max="7" width="10.77734375" style="1923" customWidth="1"/>
    <col min="8" max="8" width="10" style="1923" customWidth="1"/>
    <col min="9" max="9" width="11.10937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8" thickBot="1">
      <c r="A1" s="2582" t="s">
        <v>2906</v>
      </c>
      <c r="B1" s="3145" t="str">
        <f>IF(B10="北京市","北京市",C10)&amp;F10&amp;IF(结果表!G1="在建","出让国有建设用地使用权及在建建筑物",IF(结果表!G1="土地","出让国有建设用地使用权",))&amp;B9&amp;"预评估"</f>
        <v>北京市房地产抵押价值预评估</v>
      </c>
      <c r="C1" s="3146"/>
      <c r="D1" s="3146"/>
      <c r="E1" s="3146"/>
      <c r="F1" s="3146"/>
      <c r="G1" s="3146"/>
      <c r="H1" s="3146"/>
      <c r="I1" s="3147"/>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2907</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2908</v>
      </c>
      <c r="B3" s="2589">
        <v>44397</v>
      </c>
      <c r="C3" s="2590" t="s">
        <v>2909</v>
      </c>
      <c r="D3" s="2589">
        <f>B3</f>
        <v>44397</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8" thickBot="1">
      <c r="A4" s="1244" t="s">
        <v>2910</v>
      </c>
      <c r="B4" s="2591" t="s">
        <v>3718</v>
      </c>
      <c r="C4" s="2592">
        <f ca="1">SUMIF(注册房地产估价师,B4,估价师及机构信息!B3:B24)</f>
        <v>1120100036</v>
      </c>
      <c r="D4" s="2591" t="s">
        <v>3663</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8" thickTop="1">
      <c r="A5" s="2595" t="s">
        <v>2911</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2912</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2913</v>
      </c>
      <c r="B7" s="2603"/>
      <c r="C7" s="2601"/>
      <c r="D7" s="2602"/>
      <c r="E7" s="2881"/>
      <c r="F7" s="2883"/>
      <c r="G7" s="2883"/>
      <c r="H7" s="2883"/>
      <c r="I7" s="2883"/>
      <c r="J7" s="2657"/>
      <c r="K7" s="2834"/>
      <c r="L7" s="2831"/>
      <c r="M7" s="2831"/>
      <c r="N7" s="2657"/>
      <c r="O7" s="2668"/>
      <c r="P7" s="2657"/>
      <c r="Q7" s="2657"/>
      <c r="R7" s="2657"/>
    </row>
    <row r="8" spans="1:28">
      <c r="A8" s="2604" t="s">
        <v>2914</v>
      </c>
      <c r="B8" s="2605" t="s">
        <v>3056</v>
      </c>
      <c r="C8" s="2606"/>
      <c r="D8" s="3148" t="s">
        <v>2915</v>
      </c>
      <c r="E8" s="2607" t="s">
        <v>3057</v>
      </c>
      <c r="F8" s="2608"/>
      <c r="G8" s="2882"/>
      <c r="H8" s="2882"/>
      <c r="I8" s="2882"/>
      <c r="J8" s="2657"/>
      <c r="K8" s="2832"/>
      <c r="L8" s="2831"/>
      <c r="M8" s="2831"/>
      <c r="N8" s="2657"/>
      <c r="O8" s="2668"/>
      <c r="P8" s="2657"/>
      <c r="Q8" s="2657"/>
      <c r="R8" s="2657"/>
    </row>
    <row r="9" spans="1:28" ht="13.8" thickBot="1">
      <c r="A9" s="2609" t="s">
        <v>2916</v>
      </c>
      <c r="B9" s="2610" t="s">
        <v>3057</v>
      </c>
      <c r="C9" s="2611"/>
      <c r="D9" s="3149"/>
      <c r="E9" s="2610"/>
      <c r="F9" s="2612"/>
      <c r="G9" s="2884"/>
      <c r="H9" s="2884"/>
      <c r="I9" s="2884"/>
      <c r="J9" s="2657"/>
      <c r="K9" s="2834"/>
      <c r="L9" s="2831"/>
      <c r="M9" s="2831"/>
      <c r="N9" s="2657"/>
      <c r="O9" s="2668"/>
      <c r="P9" s="2657"/>
      <c r="Q9" s="2657"/>
      <c r="R9" s="2657"/>
    </row>
    <row r="10" spans="1:28" ht="13.8" thickTop="1">
      <c r="A10" s="2613" t="s">
        <v>2917</v>
      </c>
      <c r="B10" s="2614" t="s">
        <v>3058</v>
      </c>
      <c r="C10" s="2615"/>
      <c r="D10" s="2598"/>
      <c r="E10" s="2616" t="s">
        <v>2918</v>
      </c>
      <c r="F10" s="2885"/>
      <c r="G10" s="2886"/>
      <c r="H10" s="2887"/>
      <c r="I10" s="2888"/>
      <c r="J10" s="2657"/>
      <c r="K10" s="2834"/>
      <c r="L10" s="2831"/>
      <c r="M10" s="2831"/>
      <c r="N10" s="2657"/>
      <c r="O10" s="2668"/>
      <c r="P10" s="2657"/>
      <c r="Q10" s="2657"/>
      <c r="R10" s="2657"/>
    </row>
    <row r="11" spans="1:28">
      <c r="A11" s="2617" t="s">
        <v>2919</v>
      </c>
      <c r="B11" s="2618" t="s">
        <v>3059</v>
      </c>
      <c r="C11" s="2619"/>
      <c r="D11" s="2620"/>
      <c r="E11" s="2586"/>
      <c r="F11" s="2586"/>
      <c r="G11" s="2586"/>
      <c r="H11" s="2586"/>
      <c r="I11" s="2586"/>
      <c r="J11" s="2657"/>
      <c r="K11" s="2834"/>
      <c r="L11" s="2831"/>
      <c r="M11" s="2831"/>
      <c r="N11" s="2657"/>
      <c r="O11" s="2668"/>
      <c r="P11" s="2657"/>
      <c r="Q11" s="2657"/>
      <c r="R11" s="2657"/>
    </row>
    <row r="12" spans="1:28">
      <c r="A12" s="2621" t="s">
        <v>2920</v>
      </c>
      <c r="B12" s="2618" t="s">
        <v>3060</v>
      </c>
      <c r="C12" s="329" t="s">
        <v>2921</v>
      </c>
      <c r="D12" s="2622" t="s">
        <v>2922</v>
      </c>
      <c r="E12" s="2622" t="s">
        <v>2923</v>
      </c>
      <c r="F12" s="2622" t="s">
        <v>2924</v>
      </c>
      <c r="G12" s="2622" t="s">
        <v>2925</v>
      </c>
      <c r="H12" s="2622" t="s">
        <v>2926</v>
      </c>
      <c r="I12" s="2622" t="s">
        <v>2927</v>
      </c>
      <c r="J12" s="2657"/>
      <c r="K12" s="2834"/>
      <c r="L12" s="2831"/>
      <c r="M12" s="2831"/>
      <c r="N12" s="2657"/>
      <c r="O12" s="2668"/>
      <c r="P12" s="2657"/>
      <c r="Q12" s="2657"/>
      <c r="R12" s="2657"/>
    </row>
    <row r="13" spans="1:28">
      <c r="A13" s="1235"/>
      <c r="B13" s="2623"/>
      <c r="C13" s="2624" t="s">
        <v>2928</v>
      </c>
      <c r="D13" s="959"/>
      <c r="E13" s="959">
        <v>57127</v>
      </c>
      <c r="F13" s="959">
        <v>60779</v>
      </c>
      <c r="G13" s="959">
        <v>60779</v>
      </c>
      <c r="H13" s="959"/>
      <c r="I13" s="959"/>
      <c r="J13" s="2657"/>
      <c r="K13" s="2834"/>
      <c r="L13" s="2831"/>
      <c r="M13" s="2831"/>
      <c r="N13" s="2657"/>
      <c r="O13" s="2668"/>
      <c r="P13" s="2657"/>
      <c r="Q13" s="2657"/>
      <c r="R13" s="2657"/>
    </row>
    <row r="14" spans="1:28">
      <c r="A14" s="1235"/>
      <c r="B14" s="2623"/>
      <c r="C14" s="2624" t="s">
        <v>2929</v>
      </c>
      <c r="D14" s="2625"/>
      <c r="E14" s="2625">
        <v>40</v>
      </c>
      <c r="F14" s="2625">
        <v>50</v>
      </c>
      <c r="G14" s="2625">
        <v>50</v>
      </c>
      <c r="H14" s="2625"/>
      <c r="I14" s="2625"/>
      <c r="J14" s="2657"/>
      <c r="K14" s="2835"/>
      <c r="L14" s="2831"/>
      <c r="M14" s="2831"/>
      <c r="N14" s="2657"/>
      <c r="O14" s="2668"/>
      <c r="P14" s="2657"/>
      <c r="Q14" s="2657"/>
      <c r="R14" s="2657"/>
    </row>
    <row r="15" spans="1:28">
      <c r="A15" s="326"/>
      <c r="B15" s="2626"/>
      <c r="C15" s="2627" t="s">
        <v>2930</v>
      </c>
      <c r="D15" s="2628" t="str">
        <f>IF(B12="出让",IF(D13="","",ROUNDDOWN(MIN((D13-$D$3)/365,D14),2)),D14)</f>
        <v/>
      </c>
      <c r="E15" s="2628">
        <f>IF(B12="出让",IF(E13="","",ROUNDDOWN(MIN((E13-$D$3)/365,E14),2)),E14)</f>
        <v>34.869999999999997</v>
      </c>
      <c r="F15" s="2628">
        <f>IF(B12="出让",IF(F13="","",ROUNDDOWN(MIN((F13-$D$3)/365,F14),2)),F14)</f>
        <v>44.88</v>
      </c>
      <c r="G15" s="2628">
        <f>IF(B12="出让",IF(G13="","",ROUNDDOWN(MIN((G13-$D$3)/365,G14),2)),G14)</f>
        <v>44.88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2931</v>
      </c>
      <c r="B16" s="3155"/>
      <c r="C16" s="3156"/>
      <c r="D16" s="3157"/>
      <c r="E16" s="2631" t="s">
        <v>2932</v>
      </c>
      <c r="F16" s="3158"/>
      <c r="G16" s="3159"/>
      <c r="H16" s="3159"/>
      <c r="I16" s="3160"/>
      <c r="J16" s="2657"/>
      <c r="K16" s="2836"/>
      <c r="L16" s="2669"/>
      <c r="M16" s="2669"/>
      <c r="N16" s="2727"/>
      <c r="O16" s="2669"/>
      <c r="P16" s="2727"/>
      <c r="Q16" s="2657"/>
      <c r="R16" s="2657"/>
    </row>
    <row r="17" spans="1:28">
      <c r="A17" s="319" t="s">
        <v>2933</v>
      </c>
      <c r="B17" s="308" t="s">
        <v>2934</v>
      </c>
      <c r="C17" s="11">
        <f>'数据-汇总表'!E3</f>
        <v>183777.08000000002</v>
      </c>
      <c r="D17" s="2537" t="s">
        <v>2935</v>
      </c>
      <c r="E17" s="3161" t="s">
        <v>2936</v>
      </c>
      <c r="F17" s="3162"/>
      <c r="G17" s="3162"/>
      <c r="H17" s="3162"/>
      <c r="I17" s="3163"/>
      <c r="J17" s="2657"/>
      <c r="K17" s="2837"/>
      <c r="L17" s="2669"/>
      <c r="M17" s="2669"/>
      <c r="N17" s="2727"/>
      <c r="O17" s="2669"/>
      <c r="P17" s="2727"/>
      <c r="Q17" s="2657"/>
      <c r="R17" s="2657"/>
      <c r="S17" s="2657"/>
      <c r="T17" s="2657"/>
      <c r="U17" s="2657"/>
      <c r="V17" s="2657"/>
    </row>
    <row r="18" spans="1:28" ht="24.6" thickBot="1">
      <c r="A18" s="2632" t="s">
        <v>2937</v>
      </c>
      <c r="B18" s="1244" t="s">
        <v>2938</v>
      </c>
      <c r="C18" s="2633">
        <f>'数据-汇总表'!D3</f>
        <v>27615.81</v>
      </c>
      <c r="D18" s="1246" t="s">
        <v>2939</v>
      </c>
      <c r="E18" s="3164" t="s">
        <v>2940</v>
      </c>
      <c r="F18" s="3165"/>
      <c r="G18" s="3165"/>
      <c r="H18" s="3165"/>
      <c r="I18" s="3166"/>
      <c r="J18" s="2657"/>
      <c r="K18" s="2837"/>
      <c r="L18" s="2669"/>
      <c r="M18" s="2669"/>
      <c r="N18" s="2727"/>
      <c r="O18" s="2669"/>
      <c r="P18" s="2727"/>
      <c r="Q18" s="2657"/>
      <c r="R18" s="2657"/>
      <c r="S18" s="2657"/>
      <c r="T18" s="2657"/>
      <c r="U18" s="2657"/>
      <c r="V18" s="2657"/>
    </row>
    <row r="19" spans="1:28" ht="37.200000000000003" thickTop="1" thickBot="1">
      <c r="A19" s="333" t="s">
        <v>1740</v>
      </c>
      <c r="B19" s="313" t="s">
        <v>2941</v>
      </c>
      <c r="C19" s="1741"/>
      <c r="D19" s="1742" t="s">
        <v>2942</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2943</v>
      </c>
      <c r="B20" s="3151" t="s">
        <v>2944</v>
      </c>
      <c r="C20" s="3152"/>
      <c r="D20" s="3153" t="s">
        <v>2945</v>
      </c>
      <c r="E20" s="3154"/>
      <c r="F20" s="2866" t="s">
        <v>1741</v>
      </c>
      <c r="G20" s="2883"/>
      <c r="H20" s="2883"/>
      <c r="I20" s="2883"/>
      <c r="J20" s="2657"/>
      <c r="K20" s="3150" t="s">
        <v>2946</v>
      </c>
      <c r="L20" s="693"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36.6" thickBot="1">
      <c r="A21" s="2851"/>
      <c r="B21" s="2852" t="s">
        <v>2947</v>
      </c>
      <c r="C21" s="2853"/>
      <c r="D21" s="1746" t="s">
        <v>2948</v>
      </c>
      <c r="E21" s="2854"/>
      <c r="F21" s="2867"/>
      <c r="G21" s="2883"/>
      <c r="H21" s="2883"/>
      <c r="I21" s="2883"/>
      <c r="J21" s="2657"/>
      <c r="K21" s="315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36.6" thickBot="1">
      <c r="A22" s="2851"/>
      <c r="B22" s="2855" t="s">
        <v>2949</v>
      </c>
      <c r="C22" s="2853"/>
      <c r="D22" s="2882"/>
      <c r="E22" s="2882"/>
      <c r="F22" s="2882"/>
      <c r="G22" s="2883"/>
      <c r="H22" s="2883"/>
      <c r="I22" s="2883"/>
      <c r="J22" s="2657"/>
      <c r="K22" s="315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2950</v>
      </c>
      <c r="B23" s="2720" t="s">
        <v>2951</v>
      </c>
      <c r="C23" s="2857"/>
      <c r="D23" s="2858" t="s">
        <v>2951</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1742</v>
      </c>
      <c r="C24" s="2860"/>
      <c r="D24" s="2856" t="s">
        <v>1742</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1743</v>
      </c>
      <c r="C25" s="2860"/>
      <c r="D25" s="2856" t="s">
        <v>1743</v>
      </c>
      <c r="E25" s="2861"/>
      <c r="F25" s="2882"/>
      <c r="G25" s="2883"/>
      <c r="H25" s="2883"/>
      <c r="I25" s="2883"/>
      <c r="J25" s="2657"/>
      <c r="K25" s="2834"/>
      <c r="L25" s="2831"/>
      <c r="M25" s="2831"/>
      <c r="N25" s="2727"/>
      <c r="O25" s="2669"/>
      <c r="P25" s="2727"/>
      <c r="Q25" s="2657"/>
      <c r="R25" s="2657"/>
      <c r="S25" s="2657"/>
      <c r="T25" s="2657"/>
      <c r="U25" s="2657"/>
      <c r="V25" s="2657"/>
    </row>
    <row r="26" spans="1:28" ht="13.8" thickBot="1">
      <c r="A26" s="2862"/>
      <c r="B26" s="2863" t="s">
        <v>1744</v>
      </c>
      <c r="C26" s="2864"/>
      <c r="D26" s="2862" t="s">
        <v>1744</v>
      </c>
      <c r="E26" s="2865"/>
      <c r="F26" s="2884"/>
      <c r="G26" s="2884"/>
      <c r="H26" s="2884"/>
      <c r="I26" s="2884"/>
      <c r="J26" s="2657"/>
      <c r="K26" s="2834"/>
      <c r="L26" s="2831"/>
      <c r="M26" s="2831"/>
      <c r="N26" s="2727"/>
      <c r="O26" s="2669"/>
      <c r="P26" s="2727"/>
      <c r="Q26" s="2657"/>
      <c r="R26" s="2657"/>
      <c r="S26" s="2657"/>
      <c r="T26" s="2657"/>
      <c r="U26" s="2657"/>
      <c r="V26" s="2657"/>
    </row>
    <row r="27" spans="1:28" ht="13.8" thickTop="1">
      <c r="A27" s="3138" t="s">
        <v>2952</v>
      </c>
      <c r="B27" s="326" t="s">
        <v>2953</v>
      </c>
      <c r="C27" s="2634" t="s">
        <v>3671</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38"/>
      <c r="B28" s="308" t="s">
        <v>2954</v>
      </c>
      <c r="C28" s="2636" t="s">
        <v>3672</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38"/>
      <c r="B29" s="308" t="s">
        <v>2955</v>
      </c>
      <c r="C29" s="2638" t="s">
        <v>3078</v>
      </c>
      <c r="D29" s="2639"/>
      <c r="E29" s="2883"/>
      <c r="F29" s="2883"/>
      <c r="G29" s="2883"/>
      <c r="H29" s="2883"/>
      <c r="I29" s="2883"/>
      <c r="J29" s="2657"/>
      <c r="K29" s="2834"/>
      <c r="L29" s="2831"/>
      <c r="M29" s="2831"/>
      <c r="N29" s="2657"/>
      <c r="O29" s="2668"/>
      <c r="P29" s="2657"/>
      <c r="Q29" s="2657"/>
      <c r="R29" s="2657"/>
      <c r="S29" s="2657"/>
      <c r="T29" s="2657"/>
      <c r="U29" s="2657"/>
      <c r="V29" s="2657"/>
    </row>
    <row r="30" spans="1:28">
      <c r="A30" s="3139"/>
      <c r="B30" s="308" t="s">
        <v>2956</v>
      </c>
      <c r="C30" s="3140"/>
      <c r="D30" s="3141"/>
      <c r="E30" s="2883"/>
      <c r="F30" s="2883"/>
      <c r="G30" s="2883"/>
      <c r="H30" s="2883"/>
      <c r="I30" s="2883"/>
      <c r="J30" s="2657"/>
      <c r="K30" s="2834"/>
      <c r="L30" s="2831"/>
      <c r="M30" s="2831"/>
      <c r="N30" s="2657"/>
      <c r="O30" s="2668"/>
      <c r="P30" s="2657"/>
      <c r="Q30" s="2657"/>
      <c r="R30" s="2657"/>
      <c r="S30" s="2657"/>
      <c r="T30" s="2657"/>
      <c r="U30" s="2657"/>
      <c r="V30" s="2657"/>
    </row>
    <row r="31" spans="1:28">
      <c r="A31" s="3142" t="s">
        <v>2957</v>
      </c>
      <c r="B31" s="2640" t="s">
        <v>3664</v>
      </c>
      <c r="C31" s="2538" t="str">
        <f>IF(B31="现房","成新及维护状况正常否",IF(B31="在建","工程状态是否正常",IF(B31="土地","是否闲置","-")))</f>
        <v>工程状态是否正常</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43"/>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43"/>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8" t="s">
        <v>2958</v>
      </c>
      <c r="B34" s="2206" t="s">
        <v>3665</v>
      </c>
      <c r="C34" s="2206" t="s">
        <v>3666</v>
      </c>
      <c r="D34" s="2206" t="s">
        <v>3667</v>
      </c>
      <c r="E34" s="2206" t="s">
        <v>3668</v>
      </c>
      <c r="F34" s="2206" t="s">
        <v>3669</v>
      </c>
      <c r="G34" s="2206" t="s">
        <v>3670</v>
      </c>
      <c r="H34" s="2206"/>
      <c r="I34" s="2883"/>
      <c r="J34" s="2657"/>
      <c r="K34" s="2645">
        <f>COUNTIF(B34:H34,"——")</f>
        <v>0</v>
      </c>
      <c r="L34" s="329" t="s">
        <v>2959</v>
      </c>
      <c r="M34" s="329" t="s">
        <v>2960</v>
      </c>
      <c r="N34" s="329" t="s">
        <v>2961</v>
      </c>
      <c r="O34" s="329" t="s">
        <v>2962</v>
      </c>
      <c r="P34" s="329" t="s">
        <v>2963</v>
      </c>
      <c r="Q34" s="329" t="s">
        <v>2964</v>
      </c>
      <c r="R34" s="329" t="s">
        <v>2965</v>
      </c>
      <c r="S34" s="3137" t="s">
        <v>2966</v>
      </c>
      <c r="T34" s="2646" t="str">
        <f>NUMBERSTRING(7-K34,1)&amp;"通"</f>
        <v>七通</v>
      </c>
      <c r="U34" s="2657"/>
      <c r="V34" s="2657"/>
    </row>
    <row r="35" spans="1:30">
      <c r="A35" s="2647"/>
      <c r="B35" s="3144" t="s">
        <v>2967</v>
      </c>
      <c r="C35" s="3144"/>
      <c r="D35" s="3144"/>
      <c r="E35" s="3144"/>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7"/>
      <c r="T35" s="335" t="str">
        <f>IF(T34="一通",L35,IF(T34="二通",M35,IF(T34="三通",N35,IF(T34="四通",O35,IF(T34="五通",P35,IF(T34="六通",Q35,R35))))))</f>
        <v>通路、通电、通讯、通上水、通下水、燃气、</v>
      </c>
      <c r="U35" s="2657"/>
      <c r="V35" s="2657"/>
    </row>
    <row r="36" spans="1:30">
      <c r="A36" s="2648"/>
      <c r="B36" s="673" t="s">
        <v>2923</v>
      </c>
      <c r="C36" s="673" t="s">
        <v>2924</v>
      </c>
      <c r="D36" s="673" t="s">
        <v>2922</v>
      </c>
      <c r="E36" s="673" t="s">
        <v>2927</v>
      </c>
      <c r="F36" s="2889"/>
      <c r="G36" s="2883"/>
      <c r="H36" s="2883"/>
      <c r="I36" s="2883"/>
      <c r="J36" s="2657"/>
      <c r="K36" s="2834"/>
      <c r="L36" s="2831"/>
      <c r="M36" s="2831"/>
      <c r="N36" s="2657"/>
      <c r="O36" s="2668"/>
      <c r="P36" s="2657"/>
      <c r="Q36" s="2657"/>
      <c r="R36" s="2657"/>
      <c r="S36" s="2657"/>
      <c r="T36" s="2657"/>
      <c r="U36" s="2657"/>
      <c r="V36" s="2657"/>
    </row>
    <row r="37" spans="1:30">
      <c r="A37" s="2849" t="s">
        <v>2968</v>
      </c>
      <c r="B37" s="2649" t="s">
        <v>526</v>
      </c>
      <c r="C37" s="2649" t="s">
        <v>526</v>
      </c>
      <c r="D37" s="2649"/>
      <c r="E37" s="2649"/>
      <c r="F37" s="2889"/>
      <c r="G37" s="2883"/>
      <c r="H37" s="2883"/>
      <c r="I37" s="2883"/>
      <c r="J37" s="2657"/>
      <c r="K37" s="2834"/>
      <c r="L37" s="2831"/>
      <c r="M37" s="2831"/>
      <c r="N37" s="2657"/>
      <c r="O37" s="2668"/>
      <c r="P37" s="2657"/>
      <c r="Q37" s="2657"/>
      <c r="R37" s="2657"/>
      <c r="S37" s="2657"/>
      <c r="T37" s="2657"/>
      <c r="U37" s="2657"/>
      <c r="V37" s="2657"/>
    </row>
    <row r="38" spans="1:30" ht="13.8" thickBot="1">
      <c r="A38" s="2850" t="s">
        <v>2969</v>
      </c>
      <c r="B38" s="2650" t="s">
        <v>3636</v>
      </c>
      <c r="C38" s="2650" t="s">
        <v>3636</v>
      </c>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4" thickTop="1" thickBot="1">
      <c r="A39" s="2651" t="s">
        <v>2970</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2971</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2">
      <c r="A42" s="329" t="s">
        <v>2972</v>
      </c>
      <c r="B42" s="11" t="s">
        <v>2973</v>
      </c>
      <c r="C42" s="11" t="s">
        <v>2974</v>
      </c>
      <c r="D42" s="11" t="s">
        <v>2975</v>
      </c>
      <c r="E42" s="11" t="s">
        <v>2976</v>
      </c>
      <c r="F42" s="11" t="s">
        <v>2977</v>
      </c>
      <c r="G42" s="11" t="s">
        <v>2978</v>
      </c>
      <c r="H42" s="11" t="s">
        <v>2979</v>
      </c>
      <c r="I42" s="11" t="s">
        <v>2980</v>
      </c>
      <c r="J42" s="2845" t="s">
        <v>2981</v>
      </c>
      <c r="K42" s="2846" t="s">
        <v>2982</v>
      </c>
      <c r="L42" s="2846" t="s">
        <v>2983</v>
      </c>
      <c r="M42" s="2846" t="s">
        <v>2984</v>
      </c>
      <c r="N42" s="2839" t="s">
        <v>2985</v>
      </c>
      <c r="O42" s="2839" t="s">
        <v>2986</v>
      </c>
      <c r="P42" s="2839" t="s">
        <v>2987</v>
      </c>
      <c r="Q42" s="2840" t="s">
        <v>2988</v>
      </c>
      <c r="R42" s="2840" t="s">
        <v>2989</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32" sqref="AN32"/>
    </sheetView>
  </sheetViews>
  <sheetFormatPr defaultColWidth="8.88671875" defaultRowHeight="13.8"/>
  <cols>
    <col min="1" max="1" width="10.6640625" style="1751" customWidth="1"/>
    <col min="2" max="2" width="14" style="1751" customWidth="1"/>
    <col min="3" max="3" width="10.33203125" style="1751" customWidth="1"/>
    <col min="4" max="4" width="9.109375" style="1751" customWidth="1"/>
    <col min="5" max="6" width="10" style="1812" customWidth="1"/>
    <col min="7" max="8" width="10" style="1751" customWidth="1"/>
    <col min="9" max="9" width="10.6640625" style="1751" customWidth="1"/>
    <col min="10" max="10" width="9.44140625" style="1751" hidden="1" customWidth="1"/>
    <col min="11" max="11" width="11" style="1751" customWidth="1"/>
    <col min="12" max="12" width="9.44140625" style="1751" hidden="1" customWidth="1"/>
    <col min="13" max="14" width="9.44140625" style="1751" customWidth="1"/>
    <col min="15" max="15" width="9.88671875" style="1751" customWidth="1"/>
    <col min="16" max="16" width="9.77734375" style="1751" hidden="1" customWidth="1"/>
    <col min="17" max="17" width="9.33203125" style="1751" customWidth="1"/>
    <col min="18" max="18" width="9.21875" style="1751" hidden="1" customWidth="1"/>
    <col min="19" max="19" width="10.88671875" style="1751" customWidth="1"/>
    <col min="20" max="20" width="10.77734375" style="1751" hidden="1" customWidth="1"/>
    <col min="21" max="21" width="10.77734375" style="1751" customWidth="1"/>
    <col min="22" max="22" width="10.88671875" style="1751" hidden="1" customWidth="1"/>
    <col min="23" max="27" width="10.77734375" style="1751" hidden="1" customWidth="1"/>
    <col min="28" max="28" width="10.88671875" style="1751" hidden="1" customWidth="1"/>
    <col min="29" max="29" width="11" style="1751" bestFit="1" customWidth="1"/>
    <col min="30" max="30" width="10" style="1751" hidden="1" customWidth="1"/>
    <col min="31" max="31" width="9.77734375" style="1751" hidden="1" customWidth="1"/>
    <col min="32" max="37" width="9.44140625" style="1751" hidden="1" customWidth="1"/>
    <col min="38" max="46" width="9.44140625" style="1751" customWidth="1"/>
    <col min="47" max="47" width="18.109375" style="1751" customWidth="1"/>
    <col min="48" max="50" width="9.77734375" style="1751" customWidth="1"/>
    <col min="51" max="55" width="10.44140625" style="1751" bestFit="1" customWidth="1"/>
    <col min="56" max="56" width="9.44140625" style="1751" bestFit="1" customWidth="1"/>
    <col min="57" max="63" width="9.109375" style="1751" bestFit="1" customWidth="1"/>
    <col min="64" max="64" width="9.44140625" style="1751" bestFit="1" customWidth="1"/>
    <col min="65" max="65" width="9.109375" style="1751" bestFit="1" customWidth="1"/>
    <col min="66" max="66" width="9.44140625" style="1751" bestFit="1" customWidth="1"/>
    <col min="67" max="69" width="9.109375" style="1751" bestFit="1" customWidth="1"/>
    <col min="70" max="70" width="9.44140625" style="1751" bestFit="1" customWidth="1"/>
    <col min="71" max="71" width="9" style="1751" customWidth="1"/>
    <col min="72" max="72" width="9.109375" style="1751" bestFit="1" customWidth="1"/>
    <col min="73" max="16384" width="8.88671875" style="1751"/>
  </cols>
  <sheetData>
    <row r="1" spans="1:72" ht="21">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1750</v>
      </c>
      <c r="AZ2" s="1174"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3.2">
      <c r="A3" s="13">
        <v>33619.79</v>
      </c>
      <c r="B3" s="14">
        <f>IF(C3="否",G5-AT5,G5)</f>
        <v>223732.2</v>
      </c>
      <c r="C3" s="1758" t="s">
        <v>3061</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3.2">
      <c r="A5" s="15" t="s">
        <v>1753</v>
      </c>
      <c r="B5" s="1524"/>
      <c r="C5" s="1524"/>
      <c r="D5" s="1526"/>
      <c r="E5" s="16" t="s">
        <v>1</v>
      </c>
      <c r="F5" s="16">
        <f>SUM(F13:F587)</f>
        <v>0</v>
      </c>
      <c r="G5" s="16">
        <f>SUM(G13:G587)</f>
        <v>223732.2</v>
      </c>
      <c r="H5" s="16">
        <f t="shared" ref="H5:AT5" si="0">SUM(H13:H656)</f>
        <v>194830.57</v>
      </c>
      <c r="I5" s="16">
        <f t="shared" si="0"/>
        <v>74055.320000000007</v>
      </c>
      <c r="J5" s="16">
        <f t="shared" si="0"/>
        <v>0</v>
      </c>
      <c r="K5" s="16">
        <f t="shared" si="0"/>
        <v>18514.93</v>
      </c>
      <c r="L5" s="16">
        <f t="shared" si="0"/>
        <v>0</v>
      </c>
      <c r="M5" s="16">
        <f t="shared" si="0"/>
        <v>25000</v>
      </c>
      <c r="N5" s="16">
        <f t="shared" si="0"/>
        <v>25000</v>
      </c>
      <c r="O5" s="16">
        <f t="shared" si="0"/>
        <v>17199.28</v>
      </c>
      <c r="P5" s="16">
        <f t="shared" si="0"/>
        <v>0</v>
      </c>
      <c r="Q5" s="16">
        <f t="shared" si="0"/>
        <v>43656.97</v>
      </c>
      <c r="R5" s="16">
        <f t="shared" si="0"/>
        <v>0</v>
      </c>
      <c r="S5" s="16">
        <f t="shared" si="0"/>
        <v>6485.07</v>
      </c>
      <c r="T5" s="16">
        <f t="shared" si="0"/>
        <v>0</v>
      </c>
      <c r="U5" s="16">
        <f t="shared" si="0"/>
        <v>9919</v>
      </c>
      <c r="V5" s="16">
        <f t="shared" si="0"/>
        <v>0</v>
      </c>
      <c r="W5" s="16">
        <f t="shared" si="0"/>
        <v>0</v>
      </c>
      <c r="X5" s="16">
        <f t="shared" si="0"/>
        <v>0</v>
      </c>
      <c r="Y5" s="16">
        <f t="shared" si="0"/>
        <v>0</v>
      </c>
      <c r="Z5" s="16">
        <f t="shared" si="0"/>
        <v>0</v>
      </c>
      <c r="AA5" s="16">
        <f t="shared" si="0"/>
        <v>0</v>
      </c>
      <c r="AB5" s="16">
        <f t="shared" si="0"/>
        <v>0</v>
      </c>
      <c r="AC5" s="16">
        <f t="shared" si="0"/>
        <v>13946.509999999998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266.56</v>
      </c>
      <c r="AM5" s="16">
        <f t="shared" si="0"/>
        <v>0</v>
      </c>
      <c r="AN5" s="16">
        <f t="shared" si="0"/>
        <v>13679.949999999999</v>
      </c>
      <c r="AO5" s="16">
        <f t="shared" si="0"/>
        <v>0</v>
      </c>
      <c r="AP5" s="16">
        <f t="shared" si="0"/>
        <v>0</v>
      </c>
      <c r="AQ5" s="16">
        <f t="shared" si="0"/>
        <v>0</v>
      </c>
      <c r="AR5" s="16">
        <f t="shared" si="0"/>
        <v>0</v>
      </c>
      <c r="AS5" s="16">
        <f t="shared" si="0"/>
        <v>0</v>
      </c>
      <c r="AT5" s="16">
        <f t="shared" si="0"/>
        <v>14955.12</v>
      </c>
      <c r="AU5" s="1523"/>
      <c r="AV5" s="15" t="s">
        <v>1753</v>
      </c>
      <c r="AW5" s="1524"/>
      <c r="AX5" s="1524"/>
      <c r="AY5" s="17" t="s">
        <v>3</v>
      </c>
      <c r="AZ5" s="18">
        <f t="shared" ref="AZ5:BT5" si="1">SUM(AZ13:AZ656)</f>
        <v>183777.08000000002</v>
      </c>
      <c r="BA5" s="18">
        <f t="shared" si="1"/>
        <v>169830.57</v>
      </c>
      <c r="BB5" s="18">
        <f t="shared" si="1"/>
        <v>74055.320000000007</v>
      </c>
      <c r="BC5" s="18">
        <f t="shared" si="1"/>
        <v>18514.93</v>
      </c>
      <c r="BD5" s="18">
        <f t="shared" si="1"/>
        <v>0</v>
      </c>
      <c r="BE5" s="18">
        <f t="shared" si="1"/>
        <v>17199.28</v>
      </c>
      <c r="BF5" s="18">
        <f t="shared" si="1"/>
        <v>43656.97</v>
      </c>
      <c r="BG5" s="18">
        <f t="shared" si="1"/>
        <v>6485.07</v>
      </c>
      <c r="BH5" s="18">
        <f t="shared" si="1"/>
        <v>9919</v>
      </c>
      <c r="BI5" s="18">
        <f t="shared" si="1"/>
        <v>0</v>
      </c>
      <c r="BJ5" s="18">
        <f t="shared" si="1"/>
        <v>0</v>
      </c>
      <c r="BK5" s="18">
        <f t="shared" si="1"/>
        <v>0</v>
      </c>
      <c r="BL5" s="18">
        <f t="shared" si="1"/>
        <v>13946.509999999998</v>
      </c>
      <c r="BM5" s="18">
        <f t="shared" si="1"/>
        <v>0</v>
      </c>
      <c r="BN5" s="18">
        <f t="shared" si="1"/>
        <v>0</v>
      </c>
      <c r="BO5" s="18">
        <f t="shared" si="1"/>
        <v>0</v>
      </c>
      <c r="BP5" s="18">
        <f t="shared" si="1"/>
        <v>0</v>
      </c>
      <c r="BQ5" s="18">
        <f t="shared" si="1"/>
        <v>266.56</v>
      </c>
      <c r="BR5" s="18">
        <f t="shared" si="1"/>
        <v>13679.949999999999</v>
      </c>
      <c r="BS5" s="18">
        <f t="shared" si="1"/>
        <v>0</v>
      </c>
      <c r="BT5" s="19">
        <f t="shared" si="1"/>
        <v>0</v>
      </c>
    </row>
    <row r="6" spans="1:72" s="1767" customFormat="1" ht="13.2">
      <c r="A6" s="15" t="s">
        <v>1754</v>
      </c>
      <c r="B6" s="1764"/>
      <c r="C6" s="1764"/>
      <c r="D6" s="1765"/>
      <c r="E6" s="16">
        <f>H6+AC6+AT6</f>
        <v>33619.800000000003</v>
      </c>
      <c r="F6" s="16" t="s">
        <v>1</v>
      </c>
      <c r="G6" s="16" t="s">
        <v>2</v>
      </c>
      <c r="H6" s="20">
        <f>SUMIF(I$12:AB$12,"总值",I6:AB6)</f>
        <v>29276.799999999999</v>
      </c>
      <c r="I6" s="16">
        <f t="shared" ref="I6:AB6" si="2">ROUND($A$3*I5/$B$3,2)</f>
        <v>11128.14</v>
      </c>
      <c r="J6" s="16">
        <f t="shared" si="2"/>
        <v>0</v>
      </c>
      <c r="K6" s="16">
        <f t="shared" si="2"/>
        <v>2782.2</v>
      </c>
      <c r="L6" s="16">
        <f t="shared" si="2"/>
        <v>0</v>
      </c>
      <c r="M6" s="16">
        <f t="shared" si="2"/>
        <v>3756.7</v>
      </c>
      <c r="N6" s="16">
        <f t="shared" si="2"/>
        <v>3756.7</v>
      </c>
      <c r="O6" s="16">
        <f t="shared" si="2"/>
        <v>2584.5</v>
      </c>
      <c r="P6" s="16">
        <f t="shared" si="2"/>
        <v>0</v>
      </c>
      <c r="Q6" s="16">
        <f t="shared" si="2"/>
        <v>6560.25</v>
      </c>
      <c r="R6" s="16">
        <f t="shared" si="2"/>
        <v>0</v>
      </c>
      <c r="S6" s="16">
        <f t="shared" si="2"/>
        <v>974.5</v>
      </c>
      <c r="T6" s="16">
        <f t="shared" si="2"/>
        <v>0</v>
      </c>
      <c r="U6" s="16">
        <f t="shared" si="2"/>
        <v>1490.51</v>
      </c>
      <c r="V6" s="16">
        <f t="shared" si="2"/>
        <v>0</v>
      </c>
      <c r="W6" s="16">
        <f t="shared" si="2"/>
        <v>0</v>
      </c>
      <c r="X6" s="16">
        <f t="shared" si="2"/>
        <v>0</v>
      </c>
      <c r="Y6" s="16">
        <f t="shared" si="2"/>
        <v>0</v>
      </c>
      <c r="Z6" s="16">
        <f t="shared" si="2"/>
        <v>0</v>
      </c>
      <c r="AA6" s="16">
        <f t="shared" si="2"/>
        <v>0</v>
      </c>
      <c r="AB6" s="16">
        <f t="shared" si="2"/>
        <v>0</v>
      </c>
      <c r="AC6" s="20">
        <f>SUMIF(AD$12:AS$12,"总值",AD6:AS6)</f>
        <v>2095.7199999999998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40.06</v>
      </c>
      <c r="AM6" s="16">
        <f t="shared" si="3"/>
        <v>0</v>
      </c>
      <c r="AN6" s="16">
        <f t="shared" si="3"/>
        <v>2055.66</v>
      </c>
      <c r="AO6" s="16">
        <f t="shared" si="3"/>
        <v>0</v>
      </c>
      <c r="AP6" s="16">
        <f t="shared" si="3"/>
        <v>0</v>
      </c>
      <c r="AQ6" s="16">
        <f t="shared" si="3"/>
        <v>0</v>
      </c>
      <c r="AR6" s="16">
        <f t="shared" si="3"/>
        <v>0</v>
      </c>
      <c r="AS6" s="16">
        <f t="shared" si="3"/>
        <v>0</v>
      </c>
      <c r="AT6" s="20">
        <f>IF(C3="是",ROUND($A$3*AT5/$B$3,2),0)</f>
        <v>2247.2800000000002</v>
      </c>
      <c r="AU6" s="1766"/>
      <c r="AV6" s="15" t="s">
        <v>1754</v>
      </c>
      <c r="AW6" s="1764"/>
      <c r="AX6" s="1764"/>
      <c r="AY6" s="21">
        <f>IF(AY3&gt;0,AY3,ROUND($A$3*AZ5/$B$3,2))</f>
        <v>27615.81</v>
      </c>
      <c r="AZ6" s="16" t="s">
        <v>3</v>
      </c>
      <c r="BA6" s="16">
        <f>ROUND($AY$6*BA5/$AZ$5,2)</f>
        <v>25520.1</v>
      </c>
      <c r="BB6" s="16">
        <f>ROUND($AY$6*BB5/$AZ$5,2)</f>
        <v>11128.14</v>
      </c>
      <c r="BC6" s="16">
        <f t="shared" ref="BC6:BH6" si="4">ROUND($AY$6*BC5/$AZ$5,2)</f>
        <v>2782.2</v>
      </c>
      <c r="BD6" s="16">
        <f t="shared" si="4"/>
        <v>0</v>
      </c>
      <c r="BE6" s="16">
        <f t="shared" si="4"/>
        <v>2584.5</v>
      </c>
      <c r="BF6" s="16">
        <f t="shared" si="4"/>
        <v>6560.24</v>
      </c>
      <c r="BG6" s="16">
        <f t="shared" si="4"/>
        <v>974.5</v>
      </c>
      <c r="BH6" s="16">
        <f t="shared" si="4"/>
        <v>1490.51</v>
      </c>
      <c r="BI6" s="16">
        <f t="shared" ref="BI6:BT6" si="5">ROUND($AY$6*BI5/$AZ$5,2)</f>
        <v>0</v>
      </c>
      <c r="BJ6" s="16">
        <f t="shared" si="5"/>
        <v>0</v>
      </c>
      <c r="BK6" s="16">
        <f t="shared" si="5"/>
        <v>0</v>
      </c>
      <c r="BL6" s="16">
        <f t="shared" si="5"/>
        <v>2095.71</v>
      </c>
      <c r="BM6" s="16">
        <f t="shared" si="5"/>
        <v>0</v>
      </c>
      <c r="BN6" s="16">
        <f t="shared" si="5"/>
        <v>0</v>
      </c>
      <c r="BO6" s="16">
        <f t="shared" si="5"/>
        <v>0</v>
      </c>
      <c r="BP6" s="16">
        <f t="shared" si="5"/>
        <v>0</v>
      </c>
      <c r="BQ6" s="16">
        <f t="shared" si="5"/>
        <v>40.06</v>
      </c>
      <c r="BR6" s="16">
        <f t="shared" si="5"/>
        <v>2055.66</v>
      </c>
      <c r="BS6" s="16">
        <f t="shared" si="5"/>
        <v>0</v>
      </c>
      <c r="BT6" s="22">
        <f t="shared" si="5"/>
        <v>0</v>
      </c>
    </row>
    <row r="7" spans="1:72" s="1757" customFormat="1" ht="25.2">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2" t="s">
        <v>1768</v>
      </c>
      <c r="AD8" s="1778"/>
      <c r="AE8" s="1770"/>
      <c r="AF8" s="1537"/>
      <c r="AG8" s="1537"/>
      <c r="AH8" s="1537"/>
      <c r="AI8" s="1537"/>
      <c r="AJ8" s="1537"/>
      <c r="AK8" s="1537"/>
      <c r="AL8" s="1537"/>
      <c r="AM8" s="1537"/>
      <c r="AN8" s="1537"/>
      <c r="AO8" s="1537"/>
      <c r="AP8" s="1537"/>
      <c r="AQ8" s="1537"/>
      <c r="AR8" s="1537"/>
      <c r="AS8" s="1537"/>
      <c r="AT8" s="1196" t="s">
        <v>1769</v>
      </c>
      <c r="AU8" s="1772" t="s">
        <v>1770</v>
      </c>
      <c r="AV8" s="1196"/>
      <c r="AW8" s="1755"/>
      <c r="AX8" s="1196"/>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3.2">
      <c r="A9" s="1772"/>
      <c r="B9" s="1772"/>
      <c r="C9" s="1772"/>
      <c r="D9" s="1772"/>
      <c r="E9" s="1772"/>
      <c r="F9" s="1772"/>
      <c r="G9" s="1196"/>
      <c r="H9" s="1780" t="s">
        <v>1773</v>
      </c>
      <c r="I9" s="1781" t="s">
        <v>3068</v>
      </c>
      <c r="J9" s="912"/>
      <c r="K9" s="1781" t="s">
        <v>3068</v>
      </c>
      <c r="L9" s="912"/>
      <c r="M9" s="1781" t="s">
        <v>3068</v>
      </c>
      <c r="N9" s="912"/>
      <c r="O9" s="1781" t="s">
        <v>3076</v>
      </c>
      <c r="P9" s="912"/>
      <c r="Q9" s="1781" t="s">
        <v>3076</v>
      </c>
      <c r="R9" s="912"/>
      <c r="S9" s="1781" t="s">
        <v>3068</v>
      </c>
      <c r="T9" s="912"/>
      <c r="U9" s="1781" t="s">
        <v>3068</v>
      </c>
      <c r="V9" s="912"/>
      <c r="W9" s="1781"/>
      <c r="X9" s="1782"/>
      <c r="Y9" s="1781"/>
      <c r="Z9" s="912"/>
      <c r="AA9" s="1781"/>
      <c r="AB9" s="912"/>
      <c r="AC9" s="1773" t="s">
        <v>1773</v>
      </c>
      <c r="AD9" s="15" t="s">
        <v>1774</v>
      </c>
      <c r="AE9" s="1202"/>
      <c r="AF9" s="15" t="s">
        <v>1775</v>
      </c>
      <c r="AG9" s="1202"/>
      <c r="AH9" s="15" t="s">
        <v>1774</v>
      </c>
      <c r="AI9" s="1202"/>
      <c r="AJ9" s="15" t="s">
        <v>1775</v>
      </c>
      <c r="AK9" s="1202"/>
      <c r="AL9" s="15" t="s">
        <v>1774</v>
      </c>
      <c r="AM9" s="1202"/>
      <c r="AN9" s="15" t="s">
        <v>1775</v>
      </c>
      <c r="AO9" s="1202"/>
      <c r="AP9" s="15" t="s">
        <v>1774</v>
      </c>
      <c r="AQ9" s="1202"/>
      <c r="AR9" s="15" t="s">
        <v>1775</v>
      </c>
      <c r="AS9" s="1783"/>
      <c r="AT9" s="1772"/>
      <c r="AU9" s="1772" t="s">
        <v>1776</v>
      </c>
      <c r="AV9" s="1196"/>
      <c r="AW9" s="1755"/>
      <c r="AX9" s="1196"/>
      <c r="AY9" s="28"/>
      <c r="AZ9" s="28" t="s">
        <v>1766</v>
      </c>
      <c r="BA9" s="1784" t="s">
        <v>1777</v>
      </c>
      <c r="BB9" s="1785"/>
      <c r="BC9" s="1242"/>
      <c r="BD9" s="1242"/>
      <c r="BE9" s="1242"/>
      <c r="BF9" s="1242"/>
      <c r="BG9" s="1242"/>
      <c r="BH9" s="1242"/>
      <c r="BI9" s="1242"/>
      <c r="BJ9" s="1242"/>
      <c r="BK9" s="1786"/>
      <c r="BL9" s="15" t="s">
        <v>1778</v>
      </c>
      <c r="BM9" s="1537"/>
      <c r="BN9" s="1775"/>
      <c r="BO9" s="1537"/>
      <c r="BP9" s="1537"/>
      <c r="BQ9" s="1537"/>
      <c r="BR9" s="1537"/>
      <c r="BS9" s="1537"/>
      <c r="BT9" s="26"/>
    </row>
    <row r="10" spans="1:72" s="1779" customFormat="1" ht="13.2">
      <c r="A10" s="1772"/>
      <c r="B10" s="1772"/>
      <c r="C10" s="1772"/>
      <c r="D10" s="1772"/>
      <c r="E10" s="1772"/>
      <c r="F10" s="1772"/>
      <c r="G10" s="1196"/>
      <c r="H10" s="28"/>
      <c r="I10" s="1781" t="s">
        <v>27</v>
      </c>
      <c r="J10" s="912"/>
      <c r="K10" s="1787" t="s">
        <v>1343</v>
      </c>
      <c r="L10" s="912"/>
      <c r="M10" s="1787" t="s">
        <v>1343</v>
      </c>
      <c r="N10" s="912"/>
      <c r="O10" s="1787" t="s">
        <v>1343</v>
      </c>
      <c r="P10" s="912"/>
      <c r="Q10" s="1787" t="s">
        <v>3077</v>
      </c>
      <c r="R10" s="912"/>
      <c r="S10" s="1787" t="s">
        <v>1343</v>
      </c>
      <c r="T10" s="912"/>
      <c r="U10" s="1787" t="s">
        <v>1343</v>
      </c>
      <c r="V10" s="912"/>
      <c r="W10" s="1787"/>
      <c r="X10" s="912"/>
      <c r="Y10" s="1787"/>
      <c r="Z10" s="912"/>
      <c r="AA10" s="1787"/>
      <c r="AB10" s="912"/>
      <c r="AC10" s="1196"/>
      <c r="AD10" s="15" t="s">
        <v>1779</v>
      </c>
      <c r="AE10" s="1788"/>
      <c r="AF10" s="15" t="s">
        <v>1779</v>
      </c>
      <c r="AG10" s="1788"/>
      <c r="AH10" s="15" t="s">
        <v>1780</v>
      </c>
      <c r="AI10" s="1788"/>
      <c r="AJ10" s="15" t="s">
        <v>1780</v>
      </c>
      <c r="AK10" s="1788"/>
      <c r="AL10" s="15" t="s">
        <v>1781</v>
      </c>
      <c r="AM10" s="1202"/>
      <c r="AN10" s="15" t="s">
        <v>1781</v>
      </c>
      <c r="AO10" s="1202"/>
      <c r="AP10" s="15" t="s">
        <v>1782</v>
      </c>
      <c r="AQ10" s="1202"/>
      <c r="AR10" s="15" t="s">
        <v>1782</v>
      </c>
      <c r="AS10" s="1202"/>
      <c r="AT10" s="1772"/>
      <c r="AU10" s="1772"/>
      <c r="AV10" s="1196"/>
      <c r="AW10" s="1755"/>
      <c r="AX10" s="1196"/>
      <c r="AY10" s="28"/>
      <c r="AZ10" s="28"/>
      <c r="BA10" s="1789" t="s">
        <v>1773</v>
      </c>
      <c r="BB10" s="1790" t="str">
        <f>I9</f>
        <v>地上</v>
      </c>
      <c r="BC10" s="29" t="str">
        <f>K9</f>
        <v>地上</v>
      </c>
      <c r="BD10" s="29" t="str">
        <f>M9</f>
        <v>地上</v>
      </c>
      <c r="BE10" s="29" t="str">
        <f>O9</f>
        <v>地下</v>
      </c>
      <c r="BF10" s="29" t="str">
        <f>Q9</f>
        <v>地下</v>
      </c>
      <c r="BG10" s="29" t="str">
        <f>S9</f>
        <v>地上</v>
      </c>
      <c r="BH10" s="29" t="str">
        <f>U9</f>
        <v>地上</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3.2">
      <c r="A11" s="1772"/>
      <c r="B11" s="1772"/>
      <c r="C11" s="1772"/>
      <c r="D11" s="1772"/>
      <c r="E11" s="1772"/>
      <c r="F11" s="1772"/>
      <c r="G11" s="1196"/>
      <c r="H11" s="1789"/>
      <c r="I11" s="1792" t="s">
        <v>3069</v>
      </c>
      <c r="J11" s="1793"/>
      <c r="K11" s="1792" t="s">
        <v>3598</v>
      </c>
      <c r="L11" s="1793"/>
      <c r="M11" s="1792" t="s">
        <v>3074</v>
      </c>
      <c r="N11" s="1793"/>
      <c r="O11" s="1792" t="s">
        <v>3595</v>
      </c>
      <c r="P11" s="1793"/>
      <c r="Q11" s="1792" t="s">
        <v>3077</v>
      </c>
      <c r="R11" s="1793"/>
      <c r="S11" s="1792" t="s">
        <v>3594</v>
      </c>
      <c r="T11" s="1793"/>
      <c r="U11" s="1792" t="s">
        <v>3595</v>
      </c>
      <c r="V11" s="1793"/>
      <c r="W11" s="1792"/>
      <c r="X11" s="1793"/>
      <c r="Y11" s="1792"/>
      <c r="Z11" s="1793"/>
      <c r="AA11" s="1792"/>
      <c r="AB11" s="1793"/>
      <c r="AC11" s="1196"/>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6"/>
      <c r="AW11" s="1755"/>
      <c r="AX11" s="1196"/>
      <c r="AY11" s="28"/>
      <c r="AZ11" s="28"/>
      <c r="BA11" s="28"/>
      <c r="BB11" s="1777" t="str">
        <f>I10</f>
        <v>办公</v>
      </c>
      <c r="BC11" s="1777" t="str">
        <f>K10</f>
        <v>商业</v>
      </c>
      <c r="BD11" s="1777" t="str">
        <f>M10</f>
        <v>商业</v>
      </c>
      <c r="BE11" s="1777" t="str">
        <f>O10</f>
        <v>商业</v>
      </c>
      <c r="BF11" s="1777" t="str">
        <f>Q10</f>
        <v>车库</v>
      </c>
      <c r="BG11" s="1777" t="str">
        <f>S10</f>
        <v>商业</v>
      </c>
      <c r="BH11" s="1777" t="str">
        <f>U10</f>
        <v>商业</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3.2">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办公楼</v>
      </c>
      <c r="BC12" s="1802" t="str">
        <f>K11</f>
        <v>自持酒店</v>
      </c>
      <c r="BD12" s="1802" t="str">
        <f>M11</f>
        <v>还建商业</v>
      </c>
      <c r="BE12" s="1777" t="str">
        <f>O11</f>
        <v>可售商业</v>
      </c>
      <c r="BF12" s="1777" t="str">
        <f>Q11</f>
        <v>车库</v>
      </c>
      <c r="BG12" s="1777" t="str">
        <f>S11</f>
        <v>自持商业</v>
      </c>
      <c r="BH12" s="1777" t="str">
        <f>U11</f>
        <v>可售商业</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3.2">
      <c r="A13" s="1176"/>
      <c r="B13" s="1176" t="s">
        <v>3070</v>
      </c>
      <c r="C13" s="1748" t="s">
        <v>3062</v>
      </c>
      <c r="D13" s="1803" t="s">
        <v>3061</v>
      </c>
      <c r="E13" s="16">
        <f>IF($C$3="是",ROUND($A$3*G13/$B$3,2),ROUND($A$3*(G13-AT13)/$B$3,2))</f>
        <v>3844.95</v>
      </c>
      <c r="F13" s="32"/>
      <c r="G13" s="33">
        <f>H13+AC13+AT13</f>
        <v>25587.29</v>
      </c>
      <c r="H13" s="20">
        <f>SUMIF(I$12:AB$12,"总值",I13:AB13)</f>
        <v>25563.170000000002</v>
      </c>
      <c r="I13" s="3092">
        <f>25587.29-AT13</f>
        <v>25563.170000000002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3093">
        <v>24.12</v>
      </c>
      <c r="AU13" s="1807"/>
      <c r="AV13" s="11">
        <f t="shared" ref="AV13:AX17" si="6">A13</f>
        <v>0</v>
      </c>
      <c r="AW13" s="11" t="str">
        <f t="shared" si="6"/>
        <v>21层</v>
      </c>
      <c r="AX13" s="11" t="str">
        <f t="shared" si="6"/>
        <v>办公A座</v>
      </c>
      <c r="AY13" s="1526">
        <f>ROUND($AY$6*AZ13/$AZ$5,2)</f>
        <v>3841.33</v>
      </c>
      <c r="AZ13" s="16">
        <f>BA13+BL13</f>
        <v>25563.170000000002</v>
      </c>
      <c r="BA13" s="16">
        <f>SUM(BB13:BK13)</f>
        <v>25563.170000000002</v>
      </c>
      <c r="BB13" s="16">
        <f>IF($D13="是",I13-J13,0)</f>
        <v>25563.170000000002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3.2">
      <c r="A14" s="1176"/>
      <c r="B14" s="1176" t="s">
        <v>3072</v>
      </c>
      <c r="C14" s="1748" t="s">
        <v>3063</v>
      </c>
      <c r="D14" s="1803" t="s">
        <v>3061</v>
      </c>
      <c r="E14" s="16">
        <f>IF($C$3="是",ROUND($A$3*G14/$B$3,2),ROUND($A$3*(G14-AT14)/$B$3,2))</f>
        <v>3638.17</v>
      </c>
      <c r="F14" s="32"/>
      <c r="G14" s="33">
        <f>H14+AC14+AT14</f>
        <v>24211.22</v>
      </c>
      <c r="H14" s="20">
        <f>SUMIF(I$12:AB$12,"总值",I14:AB14)</f>
        <v>24211.22</v>
      </c>
      <c r="I14" s="1804">
        <v>24211.22</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t="str">
        <f t="shared" si="6"/>
        <v>20层</v>
      </c>
      <c r="AX14" s="11" t="str">
        <f t="shared" si="6"/>
        <v>办公B座</v>
      </c>
      <c r="AY14" s="1526">
        <f>ROUND($AY$6*AZ14/$AZ$5,2)</f>
        <v>3638.17</v>
      </c>
      <c r="AZ14" s="16">
        <f>BA14+BL14</f>
        <v>24211.22</v>
      </c>
      <c r="BA14" s="16">
        <f>SUM(BB14:BK14)</f>
        <v>24211.22</v>
      </c>
      <c r="BB14" s="16">
        <f>IF($D14="是",I14-J14,0)</f>
        <v>24211.22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3.2">
      <c r="A15" s="1176"/>
      <c r="B15" s="1176" t="s">
        <v>3072</v>
      </c>
      <c r="C15" s="1748" t="s">
        <v>3064</v>
      </c>
      <c r="D15" s="1803" t="s">
        <v>3061</v>
      </c>
      <c r="E15" s="16">
        <f>IF($C$3="是",ROUND($A$3*G15/$B$3,2),ROUND($A$3*(G15-AT15)/$B$3,2))</f>
        <v>3648.65</v>
      </c>
      <c r="F15" s="32"/>
      <c r="G15" s="33">
        <f>H15+AC15+AT15</f>
        <v>24280.93</v>
      </c>
      <c r="H15" s="20">
        <f>SUMIF(I$12:AB$12,"总值",I15:AB15)</f>
        <v>24280.93</v>
      </c>
      <c r="I15" s="1804">
        <v>24280.93</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t="str">
        <f t="shared" si="6"/>
        <v>20层</v>
      </c>
      <c r="AX15" s="11" t="str">
        <f t="shared" si="6"/>
        <v>办公C座</v>
      </c>
      <c r="AY15" s="1526">
        <f>ROUND($AY$6*AZ15/$AZ$5,2)</f>
        <v>3648.65</v>
      </c>
      <c r="AZ15" s="16">
        <f>BA15+BL15</f>
        <v>24280.93</v>
      </c>
      <c r="BA15" s="16">
        <f>SUM(BB15:BK15)</f>
        <v>24280.93</v>
      </c>
      <c r="BB15" s="16">
        <f>IF($D15="是",I15-J15,0)</f>
        <v>24280.93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3.2">
      <c r="A16" s="3054" t="s">
        <v>3073</v>
      </c>
      <c r="B16" s="1176" t="s">
        <v>3070</v>
      </c>
      <c r="C16" s="3053" t="s">
        <v>3067</v>
      </c>
      <c r="D16" s="1803" t="s">
        <v>3061</v>
      </c>
      <c r="E16" s="16">
        <f>IF($C$3="是",ROUND($A$3*G16/$B$3,2),ROUND($A$3*(G16-AT16)/$B$3,2))</f>
        <v>2782.2</v>
      </c>
      <c r="F16" s="32"/>
      <c r="G16" s="33">
        <f>H16+AC16+AT16</f>
        <v>18514.93</v>
      </c>
      <c r="H16" s="20">
        <f>SUMIF(I$12:AB$12,"总值",I16:AB16)</f>
        <v>18514.93</v>
      </c>
      <c r="I16" s="1804"/>
      <c r="J16" s="1804"/>
      <c r="K16" s="1804">
        <v>18514.93</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t="str">
        <f t="shared" si="6"/>
        <v>自持</v>
      </c>
      <c r="AW16" s="11" t="str">
        <f t="shared" si="6"/>
        <v>21层</v>
      </c>
      <c r="AX16" s="11" t="str">
        <f t="shared" si="6"/>
        <v>酒店D座</v>
      </c>
      <c r="AY16" s="1526">
        <f>ROUND($AY$6*AZ16/$AZ$5,2)</f>
        <v>2782.2</v>
      </c>
      <c r="AZ16" s="16">
        <f>BA16+BL16</f>
        <v>18514.93</v>
      </c>
      <c r="BA16" s="16">
        <f>SUM(BB16:BK16)</f>
        <v>18514.93</v>
      </c>
      <c r="BB16" s="16">
        <f>IF($D16="是",I16-J16,0)</f>
        <v>0</v>
      </c>
      <c r="BC16" s="16">
        <f>IF($D16="是",K16-L16,0)</f>
        <v>18514.93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3.2">
      <c r="A17" s="1176"/>
      <c r="B17" s="1176" t="s">
        <v>3071</v>
      </c>
      <c r="C17" s="3053" t="s">
        <v>3065</v>
      </c>
      <c r="D17" s="1803" t="s">
        <v>3061</v>
      </c>
      <c r="E17" s="16">
        <f>IF($C$3="是",ROUND($A$3*G17/$B$3,2),ROUND($A$3*(G17-AT17)/$B$3,2))</f>
        <v>6221.71</v>
      </c>
      <c r="F17" s="32"/>
      <c r="G17" s="33">
        <f>H17+AC17+AT17</f>
        <v>41404.07</v>
      </c>
      <c r="H17" s="20">
        <f>SUMIF(I$12:AB$12,"总值",I17:AB17)</f>
        <v>41404.07</v>
      </c>
      <c r="I17" s="1804"/>
      <c r="J17" s="1804"/>
      <c r="K17" s="1804"/>
      <c r="L17" s="1804"/>
      <c r="M17" s="1804">
        <v>25000</v>
      </c>
      <c r="N17" s="1804">
        <f>M17</f>
        <v>25000</v>
      </c>
      <c r="O17" s="1804"/>
      <c r="P17" s="1804"/>
      <c r="Q17" s="1804"/>
      <c r="R17" s="1804"/>
      <c r="S17" s="1804">
        <v>6485.07</v>
      </c>
      <c r="T17" s="1804"/>
      <c r="U17" s="1804">
        <f>41404.07-S17-M17</f>
        <v>9919</v>
      </c>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t="str">
        <f t="shared" si="6"/>
        <v>5层</v>
      </c>
      <c r="AX17" s="11" t="str">
        <f t="shared" si="6"/>
        <v>商业裙房</v>
      </c>
      <c r="AY17" s="1526">
        <f>ROUND($AY$6*AZ17/$AZ$5,2)</f>
        <v>2465.0100000000002</v>
      </c>
      <c r="AZ17" s="16">
        <f>BA17+BL17</f>
        <v>16404.07</v>
      </c>
      <c r="BA17" s="16">
        <f>SUM(BB17:BK17)</f>
        <v>16404.07</v>
      </c>
      <c r="BB17" s="16">
        <f>IF($D17="是",I17-J17,0)</f>
        <v>0</v>
      </c>
      <c r="BC17" s="16">
        <f>IF($D17="是",K17-L17,0)</f>
        <v>0</v>
      </c>
      <c r="BD17" s="16">
        <f>IF($D17="是",M17-N17,0)</f>
        <v>0</v>
      </c>
      <c r="BE17" s="16">
        <f>IF($D17="是",O17-P17,0)</f>
        <v>0</v>
      </c>
      <c r="BF17" s="16">
        <f>IF($D17="是",Q17-R17,0)</f>
        <v>0</v>
      </c>
      <c r="BG17" s="16">
        <f>IF($D17="是",S17-T17,0)</f>
        <v>6485.07</v>
      </c>
      <c r="BH17" s="16">
        <f>IF($D17="是",U17-V17,0)</f>
        <v>9919</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3066</v>
      </c>
      <c r="D18" s="1803" t="s">
        <v>3061</v>
      </c>
      <c r="E18" s="35">
        <f t="shared" ref="E18:E112" si="7">IF($C$3="是",ROUND($A$3*G18/$B$3,2),ROUND($A$3*(G18-AT18)/$B$3,2))</f>
        <v>13484.11</v>
      </c>
      <c r="F18" s="36"/>
      <c r="G18" s="37">
        <f t="shared" ref="G18:G109" si="8">H18+AC18+AT18</f>
        <v>89733.759999999995</v>
      </c>
      <c r="H18" s="38">
        <f t="shared" ref="H18:H109" si="9">SUMIF(I$12:AB$12,"总值",I18:AB18)</f>
        <v>60856.25</v>
      </c>
      <c r="I18" s="39"/>
      <c r="J18" s="39"/>
      <c r="K18" s="39"/>
      <c r="L18" s="39"/>
      <c r="M18" s="39"/>
      <c r="N18" s="39"/>
      <c r="O18" s="39">
        <f>8262.14+8937.14</f>
        <v>17199.28</v>
      </c>
      <c r="P18" s="39"/>
      <c r="Q18" s="39">
        <f>8691.48+10828.9+18743.76+5392.83</f>
        <v>43656.97</v>
      </c>
      <c r="R18" s="39"/>
      <c r="S18" s="39"/>
      <c r="T18" s="39"/>
      <c r="U18" s="39"/>
      <c r="V18" s="39"/>
      <c r="W18" s="39"/>
      <c r="X18" s="39"/>
      <c r="Y18" s="39"/>
      <c r="Z18" s="39"/>
      <c r="AA18" s="39"/>
      <c r="AB18" s="39"/>
      <c r="AC18" s="35">
        <f t="shared" ref="AC18:AC109" si="10">SUMIF(AD$12:AS$12,"总值",AD18:AS18)</f>
        <v>13946.509999999998</v>
      </c>
      <c r="AD18" s="40"/>
      <c r="AE18" s="40"/>
      <c r="AF18" s="40"/>
      <c r="AG18" s="40"/>
      <c r="AH18" s="40"/>
      <c r="AI18" s="40"/>
      <c r="AJ18" s="40"/>
      <c r="AK18" s="40"/>
      <c r="AL18" s="40">
        <v>266.56</v>
      </c>
      <c r="AM18" s="40"/>
      <c r="AN18" s="40">
        <f>563.94+1873.97+3247.86+636.84+1010.36+779.71+648.38+1055.73+601.19+532.58+2729.39</f>
        <v>13679.949999999999</v>
      </c>
      <c r="AO18" s="40"/>
      <c r="AP18" s="40"/>
      <c r="AQ18" s="40"/>
      <c r="AR18" s="40"/>
      <c r="AS18" s="40"/>
      <c r="AT18" s="41">
        <f>214+240.91+234.62+224.52+14016.95</f>
        <v>14931</v>
      </c>
      <c r="AU18" s="1809"/>
      <c r="AV18" s="1520">
        <f t="shared" ref="AV18:AV112" si="11">A18</f>
        <v>0</v>
      </c>
      <c r="AW18" s="1520">
        <f t="shared" ref="AW18:AW112" si="12">B18</f>
        <v>0</v>
      </c>
      <c r="AX18" s="1520" t="str">
        <f t="shared" ref="AX18:AX112" si="13">C18</f>
        <v>地库</v>
      </c>
      <c r="AY18" s="42">
        <f t="shared" ref="AY18:AY109" si="14">ROUND($AY$6*AZ18/$AZ$5,2)</f>
        <v>11240.46</v>
      </c>
      <c r="AZ18" s="35">
        <f t="shared" ref="AZ18:AZ109" si="15">BA18+BL18</f>
        <v>74802.759999999995</v>
      </c>
      <c r="BA18" s="35">
        <f t="shared" ref="BA18:BA109" si="16">SUM(BB18:BK18)</f>
        <v>60856.25</v>
      </c>
      <c r="BB18" s="35">
        <f t="shared" ref="BB18:BB109" si="17">IF($D18="是",I18-J18,0)</f>
        <v>0</v>
      </c>
      <c r="BC18" s="35">
        <f t="shared" ref="BC18:BC109" si="18">IF($D18="是",K18-L18,0)</f>
        <v>0</v>
      </c>
      <c r="BD18" s="35">
        <f t="shared" ref="BD18:BD109" si="19">IF($D18="是",M18-N18,0)</f>
        <v>0</v>
      </c>
      <c r="BE18" s="35">
        <f t="shared" ref="BE18:BE109" si="20">IF($D18="是",O18-P18,0)</f>
        <v>17199.28</v>
      </c>
      <c r="BF18" s="35">
        <f t="shared" ref="BF18:BF109" si="21">IF($D18="是",Q18-R18,0)</f>
        <v>43656.97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13946.509999999998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266.56</v>
      </c>
      <c r="BR18" s="35">
        <f t="shared" ref="BR18:BR109" si="33">IF($D18="是",AN18-AO18,0)</f>
        <v>13679.949999999999</v>
      </c>
      <c r="BS18" s="35">
        <f t="shared" ref="BS18:BS109" si="34">IF($D18="是",AP18-AQ18,0)</f>
        <v>0</v>
      </c>
      <c r="BT18" s="43">
        <f t="shared" ref="BT18:BT109" si="35">IF($D18="是",AR18-AS18,0)</f>
        <v>0</v>
      </c>
    </row>
    <row r="19" spans="1:72" ht="14.4">
      <c r="A19" s="3071" t="s">
        <v>3592</v>
      </c>
      <c r="B19" s="34">
        <v>287898.72279999999</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t="str">
        <f t="shared" si="11"/>
        <v>出让金</v>
      </c>
      <c r="AW19" s="1520">
        <f t="shared" si="12"/>
        <v>287898.72279999999</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8">
      <c r="A20" s="3071" t="s">
        <v>3593</v>
      </c>
      <c r="B20" s="34">
        <v>53499.97</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t="str">
        <f t="shared" si="11"/>
        <v>开发补偿费</v>
      </c>
      <c r="AW20" s="1520">
        <f t="shared" si="12"/>
        <v>53499.97</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3071" t="s">
        <v>3715</v>
      </c>
      <c r="B21" s="34">
        <f>B19+B20</f>
        <v>341398.69279999996</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t="str">
        <f t="shared" si="11"/>
        <v>合计</v>
      </c>
      <c r="AW21" s="1520">
        <f t="shared" si="12"/>
        <v>341398.69279999996</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3071" t="s">
        <v>3717</v>
      </c>
      <c r="B22" s="34">
        <v>24837</v>
      </c>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t="str">
        <f t="shared" si="11"/>
        <v>拿地单价</v>
      </c>
      <c r="AW22" s="1520">
        <f t="shared" si="12"/>
        <v>24837</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46.8">
      <c r="A3" s="3167"/>
      <c r="B3" s="3167"/>
      <c r="C3" s="3167"/>
      <c r="D3" s="3168"/>
      <c r="E3" s="31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5" zoomScaleNormal="100" zoomScaleSheetLayoutView="85" workbookViewId="0">
      <selection activeCell="G23" sqref="G23"/>
    </sheetView>
  </sheetViews>
  <sheetFormatPr defaultColWidth="9.21875" defaultRowHeight="13.8"/>
  <cols>
    <col min="1" max="1" width="12.109375" style="1816" customWidth="1"/>
    <col min="2" max="2" width="10.21875" style="1816" customWidth="1"/>
    <col min="3" max="3" width="18.44140625" style="1816" customWidth="1"/>
    <col min="4" max="4" width="11.6640625" style="1816" customWidth="1"/>
    <col min="5" max="5" width="13.33203125" style="1816" customWidth="1"/>
    <col min="6" max="8" width="11.44140625" style="1816" customWidth="1"/>
    <col min="9" max="9" width="11.109375" style="1816" customWidth="1"/>
    <col min="10" max="10" width="3.109375" style="2868" customWidth="1"/>
    <col min="11" max="16" width="10" style="1816" customWidth="1"/>
    <col min="17" max="17" width="2.6640625" style="1816" customWidth="1"/>
    <col min="18" max="18" width="9.33203125" style="1816" bestFit="1" customWidth="1"/>
    <col min="19" max="19" width="10.44140625" style="1816" bestFit="1" customWidth="1"/>
    <col min="20" max="16384" width="9.21875" style="1816"/>
  </cols>
  <sheetData>
    <row r="1" spans="1:16" ht="18" thickBot="1">
      <c r="A1" s="1815" t="s">
        <v>1812</v>
      </c>
      <c r="B1" s="1295"/>
      <c r="C1" s="1295"/>
      <c r="D1" s="1295"/>
      <c r="E1" s="1295"/>
      <c r="F1" s="1295"/>
      <c r="G1" s="1295"/>
      <c r="H1" s="1295"/>
      <c r="I1" s="1295"/>
      <c r="J1" s="1295"/>
      <c r="K1" s="1295"/>
      <c r="L1" s="1295"/>
      <c r="M1" s="1295"/>
      <c r="N1" s="1295"/>
      <c r="O1" s="1295"/>
      <c r="P1" s="1295"/>
    </row>
    <row r="2" spans="1:16" ht="14.4">
      <c r="A2" s="3178" t="s">
        <v>1813</v>
      </c>
      <c r="B2" s="3178"/>
      <c r="C2" s="3178"/>
      <c r="D2" s="898" t="s">
        <v>1789</v>
      </c>
      <c r="E2" s="1817" t="s">
        <v>1790</v>
      </c>
      <c r="F2" s="2878"/>
      <c r="G2" s="2869"/>
      <c r="H2" s="2870"/>
      <c r="I2" s="2540" t="s">
        <v>1814</v>
      </c>
      <c r="J2" s="2878"/>
      <c r="K2" s="2878"/>
      <c r="L2" s="2878"/>
      <c r="M2" s="2878"/>
      <c r="N2" s="2880"/>
      <c r="O2" s="2878"/>
      <c r="P2" s="2878"/>
    </row>
    <row r="3" spans="1:16" ht="15" thickBot="1">
      <c r="A3" s="3179" t="s">
        <v>1787</v>
      </c>
      <c r="B3" s="3179"/>
      <c r="C3" s="3179"/>
      <c r="D3" s="46">
        <f>'数据-基础表'!AY6</f>
        <v>27615.81</v>
      </c>
      <c r="E3" s="46">
        <f>'数据-基础表'!AZ5</f>
        <v>183777.08000000002</v>
      </c>
      <c r="F3" s="2878"/>
      <c r="G3" s="1301"/>
      <c r="H3" s="1151" t="s">
        <v>1788</v>
      </c>
      <c r="I3" s="958">
        <f>ROUND('数据-基础表'!B3/'数据-基础表'!A3,2)</f>
        <v>6.65</v>
      </c>
      <c r="J3" s="2878"/>
      <c r="K3" s="2878"/>
      <c r="L3" s="2878"/>
      <c r="M3" s="2878"/>
      <c r="N3" s="2880"/>
      <c r="O3" s="2878"/>
      <c r="P3" s="2878"/>
    </row>
    <row r="4" spans="1:16" ht="14.4">
      <c r="A4" s="3180"/>
      <c r="B4" s="3181"/>
      <c r="C4" s="3182"/>
      <c r="D4" s="1819" t="s">
        <v>1789</v>
      </c>
      <c r="E4" s="1820" t="s">
        <v>1790</v>
      </c>
      <c r="F4" s="2878"/>
      <c r="G4" s="2871" t="s">
        <v>1815</v>
      </c>
      <c r="H4" s="1151" t="s">
        <v>1795</v>
      </c>
      <c r="I4" s="958">
        <f>ROUND(SUMIF('数据-基础表'!I9:AS9,"地上",'数据-基础表'!I5:AS5)/'数据-基础表'!A3,2)</f>
        <v>3.99</v>
      </c>
      <c r="J4" s="2878"/>
      <c r="K4" s="2878"/>
      <c r="L4" s="2878"/>
      <c r="M4" s="2878"/>
      <c r="N4" s="2880"/>
      <c r="O4" s="2878"/>
      <c r="P4" s="2878"/>
    </row>
    <row r="5" spans="1:16" ht="14.4">
      <c r="A5" s="47" t="s">
        <v>1791</v>
      </c>
      <c r="B5" s="3183" t="s">
        <v>1792</v>
      </c>
      <c r="C5" s="3183"/>
      <c r="D5" s="48">
        <f>ROUND($D$3*E5/$E$3,2)</f>
        <v>0</v>
      </c>
      <c r="E5" s="49">
        <f>SUMIF('数据-基础表'!$11:$11,"住宅",'数据-基础表'!$5:$5)</f>
        <v>0</v>
      </c>
      <c r="F5" s="2878"/>
      <c r="G5" s="1301"/>
      <c r="H5" s="1151" t="s">
        <v>1788</v>
      </c>
      <c r="I5" s="958">
        <f>ROUND(E31/D31,2)</f>
        <v>6.65</v>
      </c>
      <c r="J5" s="2878"/>
      <c r="K5" s="2878"/>
      <c r="L5" s="2878"/>
      <c r="M5" s="2878"/>
      <c r="N5" s="2878"/>
      <c r="O5" s="2878"/>
      <c r="P5" s="2878"/>
    </row>
    <row r="6" spans="1:16" ht="15" thickBot="1">
      <c r="A6" s="1822"/>
      <c r="B6" s="3183" t="s">
        <v>1793</v>
      </c>
      <c r="C6" s="3183"/>
      <c r="D6" s="48">
        <f>ROUND($D$3*E6/$E$3,2)</f>
        <v>27615.81</v>
      </c>
      <c r="E6" s="49">
        <f>E3-E5</f>
        <v>183777.08000000002</v>
      </c>
      <c r="F6" s="2878"/>
      <c r="G6" s="2872" t="s">
        <v>1794</v>
      </c>
      <c r="H6" s="1302" t="s">
        <v>1795</v>
      </c>
      <c r="I6" s="2873">
        <f>ROUND(F31/D31,2)</f>
        <v>3.96</v>
      </c>
      <c r="J6" s="2878"/>
      <c r="K6" s="2878"/>
      <c r="L6" s="2878"/>
      <c r="M6" s="2878"/>
      <c r="N6" s="2878"/>
      <c r="O6" s="2878"/>
      <c r="P6" s="2878"/>
    </row>
    <row r="7" spans="1:16" ht="15" thickBot="1">
      <c r="A7" s="3175"/>
      <c r="B7" s="3176"/>
      <c r="C7" s="3177"/>
      <c r="D7" s="1819" t="s">
        <v>1789</v>
      </c>
      <c r="E7" s="1823" t="s">
        <v>1796</v>
      </c>
      <c r="F7" s="2878"/>
      <c r="G7" s="2874" t="s">
        <v>1797</v>
      </c>
      <c r="H7" s="2875"/>
      <c r="I7" s="2876"/>
      <c r="J7" s="2878"/>
      <c r="K7" s="2878"/>
      <c r="L7" s="2878"/>
      <c r="M7" s="2878"/>
      <c r="N7" s="2878"/>
      <c r="O7" s="2878"/>
      <c r="P7" s="2878"/>
    </row>
    <row r="8" spans="1:16" ht="14.4">
      <c r="A8" s="47" t="s">
        <v>1798</v>
      </c>
      <c r="B8" s="50" t="s">
        <v>1799</v>
      </c>
      <c r="C8" s="48" t="s">
        <v>1800</v>
      </c>
      <c r="D8" s="48">
        <f t="shared" ref="D8:D15" si="0">ROUND($D$3*E8/$E$3,2)</f>
        <v>16375.35</v>
      </c>
      <c r="E8" s="51">
        <f>SUMIF('数据-基础表'!BB10:BK10,"地上",'数据-基础表'!BB5:BK5)</f>
        <v>108974.32</v>
      </c>
      <c r="F8" s="2878"/>
      <c r="G8" s="2879"/>
      <c r="H8" s="2879"/>
      <c r="I8" s="2878"/>
      <c r="J8" s="2878"/>
      <c r="K8" s="2878"/>
      <c r="L8" s="2878"/>
      <c r="M8" s="2878"/>
      <c r="N8" s="2878"/>
      <c r="O8" s="2878"/>
      <c r="P8" s="2878"/>
    </row>
    <row r="9" spans="1:16" ht="14.4">
      <c r="A9" s="1824"/>
      <c r="B9" s="1825"/>
      <c r="C9" s="48" t="s">
        <v>1801</v>
      </c>
      <c r="D9" s="48">
        <f t="shared" si="0"/>
        <v>0</v>
      </c>
      <c r="E9" s="52">
        <v>0</v>
      </c>
      <c r="F9" s="2878"/>
      <c r="G9" s="2879"/>
      <c r="H9" s="2879"/>
      <c r="I9" s="2878"/>
      <c r="J9" s="2878"/>
      <c r="K9" s="2878"/>
      <c r="L9" s="2878"/>
      <c r="M9" s="2878"/>
      <c r="N9" s="2878"/>
      <c r="O9" s="2878"/>
      <c r="P9" s="2878"/>
    </row>
    <row r="10" spans="1:16" ht="14.4">
      <c r="A10" s="1824"/>
      <c r="B10" s="1825"/>
      <c r="C10" s="48" t="s">
        <v>1810</v>
      </c>
      <c r="D10" s="48">
        <f t="shared" si="0"/>
        <v>2584.5</v>
      </c>
      <c r="E10" s="51">
        <f>SUMPRODUCT(('数据-基础表'!BB10:BK10="地下")*('数据-基础表'!BB11:BK11="商业")*('数据-基础表'!BB5:BK5))</f>
        <v>17199.28</v>
      </c>
      <c r="F10" s="2878"/>
      <c r="G10" s="2879"/>
      <c r="H10" s="2879"/>
      <c r="I10" s="2878"/>
      <c r="J10" s="2878"/>
      <c r="K10" s="2878"/>
      <c r="L10" s="2878"/>
      <c r="M10" s="2878"/>
      <c r="N10" s="2878"/>
      <c r="O10" s="2878"/>
      <c r="P10" s="2878"/>
    </row>
    <row r="11" spans="1:16" ht="14.4">
      <c r="A11" s="1824"/>
      <c r="B11" s="1825"/>
      <c r="C11" s="48" t="s">
        <v>1802</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ht="14.4">
      <c r="A12" s="1824"/>
      <c r="B12" s="1825"/>
      <c r="C12" s="48" t="s">
        <v>1803</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ht="14.4">
      <c r="A13" s="1824"/>
      <c r="B13" s="1825"/>
      <c r="C13" s="48" t="s">
        <v>1804</v>
      </c>
      <c r="D13" s="48">
        <f t="shared" si="0"/>
        <v>6560.24</v>
      </c>
      <c r="E13" s="51">
        <f>SUMPRODUCT(('数据-基础表'!BB10:BK10="地下")*('数据-基础表'!BB11:BK11="车库")*('数据-基础表'!BB5:BK5))</f>
        <v>43656.97</v>
      </c>
      <c r="F13" s="2878"/>
      <c r="G13" s="2879"/>
      <c r="H13" s="2879"/>
      <c r="I13" s="2878"/>
      <c r="J13" s="2878"/>
      <c r="K13" s="2878"/>
      <c r="L13" s="2878"/>
      <c r="M13" s="2878"/>
      <c r="N13" s="2878"/>
      <c r="O13" s="2878"/>
      <c r="P13" s="2878"/>
    </row>
    <row r="14" spans="1:16" ht="14.4">
      <c r="A14" s="1824"/>
      <c r="B14" s="1825"/>
      <c r="C14" s="48" t="s">
        <v>1816</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8" t="s">
        <v>1811</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 thickBot="1">
      <c r="A16" s="1822"/>
      <c r="B16" s="1825"/>
      <c r="C16" s="50" t="s">
        <v>1805</v>
      </c>
      <c r="D16" s="50">
        <f>SUM(D8:D15)</f>
        <v>25520.089999999997</v>
      </c>
      <c r="E16" s="53">
        <f>SUM(E8:E15)</f>
        <v>169830.57</v>
      </c>
      <c r="F16" s="2878"/>
      <c r="G16" s="2879"/>
      <c r="H16" s="1826" t="s">
        <v>1817</v>
      </c>
      <c r="I16" s="1827"/>
      <c r="J16" s="1295"/>
      <c r="K16" s="3172" t="s">
        <v>1817</v>
      </c>
      <c r="L16" s="3173"/>
      <c r="M16" s="3173"/>
      <c r="N16" s="3173"/>
      <c r="O16" s="3173"/>
      <c r="P16" s="3174"/>
    </row>
    <row r="17" spans="1:19" ht="14.4">
      <c r="A17" s="1828" t="s">
        <v>1818</v>
      </c>
      <c r="B17" s="1829" t="s">
        <v>1819</v>
      </c>
      <c r="C17" s="1830" t="s">
        <v>1820</v>
      </c>
      <c r="D17" s="1831" t="s">
        <v>1808</v>
      </c>
      <c r="E17" s="1832" t="s">
        <v>1809</v>
      </c>
      <c r="F17" s="1833"/>
      <c r="G17" s="1834"/>
      <c r="H17" s="1835" t="s">
        <v>1821</v>
      </c>
      <c r="I17" s="1836" t="s">
        <v>1806</v>
      </c>
      <c r="J17" s="1295"/>
      <c r="K17" s="3169" t="s">
        <v>1822</v>
      </c>
      <c r="L17" s="3170"/>
      <c r="M17" s="3171"/>
      <c r="N17" s="3169" t="s">
        <v>1823</v>
      </c>
      <c r="O17" s="3170"/>
      <c r="P17" s="3171"/>
      <c r="R17" s="1818" t="s">
        <v>1824</v>
      </c>
      <c r="S17" s="60"/>
    </row>
    <row r="18" spans="1:19" ht="14.4">
      <c r="A18" s="1824"/>
      <c r="B18" s="1837"/>
      <c r="C18" s="1838"/>
      <c r="D18" s="1839"/>
      <c r="E18" s="1840" t="s">
        <v>1825</v>
      </c>
      <c r="F18" s="1841" t="s">
        <v>1826</v>
      </c>
      <c r="G18" s="1842" t="s">
        <v>1827</v>
      </c>
      <c r="H18" s="1166" t="s">
        <v>1828</v>
      </c>
      <c r="I18" s="1843" t="s">
        <v>1829</v>
      </c>
      <c r="J18" s="1295"/>
      <c r="K18" s="1166" t="s">
        <v>1830</v>
      </c>
      <c r="L18" s="1844" t="s">
        <v>1831</v>
      </c>
      <c r="M18" s="958" t="s">
        <v>1832</v>
      </c>
      <c r="N18" s="1166" t="s">
        <v>1830</v>
      </c>
      <c r="O18" s="1844" t="s">
        <v>1831</v>
      </c>
      <c r="P18" s="958" t="s">
        <v>1832</v>
      </c>
      <c r="R18" s="1151" t="s">
        <v>1833</v>
      </c>
      <c r="S18" s="1151" t="s">
        <v>1834</v>
      </c>
    </row>
    <row r="19" spans="1:19" ht="14.4">
      <c r="A19" s="1845"/>
      <c r="B19" s="50" t="s">
        <v>1807</v>
      </c>
      <c r="C19" s="3055" t="s">
        <v>3605</v>
      </c>
      <c r="D19" s="48">
        <f>ROUND($D$3*E19/$E$3,2)</f>
        <v>11128.14</v>
      </c>
      <c r="E19" s="56">
        <f t="shared" ref="E19:E26" si="1">SUM(F19:G19)</f>
        <v>74055.320000000007</v>
      </c>
      <c r="F19" s="3018">
        <f>'数据-基础表'!I13+'数据-基础表'!I14+'数据-基础表'!I15</f>
        <v>74055.320000000007</v>
      </c>
      <c r="G19" s="3019"/>
      <c r="H19" s="679">
        <f>ROUND($D$3*I19/$E$3,2)</f>
        <v>913.84</v>
      </c>
      <c r="I19" s="51">
        <f t="shared" ref="I19:I26" si="2">IF($I$17="自定义",P19,M19)</f>
        <v>6081.43</v>
      </c>
      <c r="J19" s="1295"/>
      <c r="K19" s="1294">
        <f t="shared" ref="K19:K26" si="3">ROUND(E$28*E19/E$27,2)</f>
        <v>6081.43</v>
      </c>
      <c r="L19" s="1151">
        <f t="shared" ref="L19:L26" si="4">ROUND(IF(COUNTIF(C19,"*住宅*")&gt;0,E$29*E19/E$32,0),2)</f>
        <v>0</v>
      </c>
      <c r="M19" s="1306">
        <f>K19+L19</f>
        <v>6081.43</v>
      </c>
      <c r="N19" s="1846"/>
      <c r="O19" s="1847"/>
      <c r="P19" s="1306">
        <f>N19+O19</f>
        <v>0</v>
      </c>
      <c r="R19" s="1151">
        <f t="shared" ref="R19:S26" si="5">D19+H19</f>
        <v>12041.98</v>
      </c>
      <c r="S19" s="1152">
        <f t="shared" si="5"/>
        <v>80136.75</v>
      </c>
    </row>
    <row r="20" spans="1:19" ht="14.4">
      <c r="A20" s="1848"/>
      <c r="B20" s="50" t="s">
        <v>1835</v>
      </c>
      <c r="C20" s="3055" t="s">
        <v>3601</v>
      </c>
      <c r="D20" s="48">
        <f t="shared" ref="D20:D26" si="6">ROUND($D$3*E20/$E$3,2)</f>
        <v>2782.2</v>
      </c>
      <c r="E20" s="56">
        <f t="shared" si="1"/>
        <v>18514.93</v>
      </c>
      <c r="F20" s="3018">
        <f>'数据-基础表'!K5</f>
        <v>18514.93</v>
      </c>
      <c r="G20" s="3019"/>
      <c r="H20" s="679">
        <f t="shared" ref="H20:H26" si="7">ROUND($D$3*I20/$E$3,2)</f>
        <v>228.47</v>
      </c>
      <c r="I20" s="51">
        <f t="shared" si="2"/>
        <v>1520.45</v>
      </c>
      <c r="J20" s="1295"/>
      <c r="K20" s="1294">
        <f t="shared" si="3"/>
        <v>1520.45</v>
      </c>
      <c r="L20" s="1151">
        <f t="shared" si="4"/>
        <v>0</v>
      </c>
      <c r="M20" s="1306">
        <f t="shared" ref="M20:M26" si="8">K20+L20</f>
        <v>1520.45</v>
      </c>
      <c r="N20" s="1846"/>
      <c r="O20" s="1847"/>
      <c r="P20" s="1306">
        <f t="shared" ref="P20:P26" si="9">N20+O20</f>
        <v>0</v>
      </c>
      <c r="R20" s="1151">
        <f t="shared" si="5"/>
        <v>3010.6699999999996</v>
      </c>
      <c r="S20" s="1152">
        <f t="shared" si="5"/>
        <v>20035.38</v>
      </c>
    </row>
    <row r="21" spans="1:19" ht="14.4">
      <c r="A21" s="1848"/>
      <c r="B21" s="50" t="s">
        <v>1835</v>
      </c>
      <c r="C21" s="3055" t="s">
        <v>3602</v>
      </c>
      <c r="D21" s="48">
        <f t="shared" si="6"/>
        <v>974.5</v>
      </c>
      <c r="E21" s="56">
        <f t="shared" si="1"/>
        <v>6485.07</v>
      </c>
      <c r="F21" s="3018">
        <f>'数据-基础表'!S5</f>
        <v>6485.07</v>
      </c>
      <c r="G21" s="3019"/>
      <c r="H21" s="679">
        <f t="shared" si="7"/>
        <v>80.03</v>
      </c>
      <c r="I21" s="51">
        <f t="shared" si="2"/>
        <v>532.54999999999995</v>
      </c>
      <c r="J21" s="1295"/>
      <c r="K21" s="1294">
        <f t="shared" si="3"/>
        <v>532.54999999999995</v>
      </c>
      <c r="L21" s="1151">
        <f t="shared" si="4"/>
        <v>0</v>
      </c>
      <c r="M21" s="1306">
        <f t="shared" si="8"/>
        <v>532.54999999999995</v>
      </c>
      <c r="N21" s="1846"/>
      <c r="O21" s="1847"/>
      <c r="P21" s="1306">
        <f t="shared" si="9"/>
        <v>0</v>
      </c>
      <c r="R21" s="1151">
        <f t="shared" si="5"/>
        <v>1054.53</v>
      </c>
      <c r="S21" s="1152">
        <f t="shared" si="5"/>
        <v>7017.62</v>
      </c>
    </row>
    <row r="22" spans="1:19" ht="14.4">
      <c r="A22" s="1848"/>
      <c r="B22" s="50" t="s">
        <v>1835</v>
      </c>
      <c r="C22" s="3072" t="s">
        <v>3603</v>
      </c>
      <c r="D22" s="48">
        <f t="shared" si="6"/>
        <v>4075.01</v>
      </c>
      <c r="E22" s="56">
        <f t="shared" si="1"/>
        <v>27118.28</v>
      </c>
      <c r="F22" s="3020">
        <f>'数据-基础表'!U5</f>
        <v>9919</v>
      </c>
      <c r="G22" s="3021">
        <f>'数据-基础表'!O5</f>
        <v>17199.28</v>
      </c>
      <c r="H22" s="679">
        <f t="shared" si="7"/>
        <v>334.64</v>
      </c>
      <c r="I22" s="51">
        <f t="shared" si="2"/>
        <v>2226.96</v>
      </c>
      <c r="J22" s="1295"/>
      <c r="K22" s="1294">
        <f t="shared" si="3"/>
        <v>2226.96</v>
      </c>
      <c r="L22" s="1151">
        <f t="shared" si="4"/>
        <v>0</v>
      </c>
      <c r="M22" s="1306">
        <f t="shared" si="8"/>
        <v>2226.96</v>
      </c>
      <c r="N22" s="1846"/>
      <c r="O22" s="1847"/>
      <c r="P22" s="1306">
        <f t="shared" si="9"/>
        <v>0</v>
      </c>
      <c r="R22" s="1151">
        <f t="shared" si="5"/>
        <v>4409.6500000000005</v>
      </c>
      <c r="S22" s="1152">
        <f t="shared" si="5"/>
        <v>29345.239999999998</v>
      </c>
    </row>
    <row r="23" spans="1:19" ht="14.4">
      <c r="A23" s="1848"/>
      <c r="B23" s="50" t="s">
        <v>1835</v>
      </c>
      <c r="C23" s="3072" t="s">
        <v>3596</v>
      </c>
      <c r="D23" s="48">
        <f>ROUND($D$3*E23/$E$3,2)</f>
        <v>6560.24</v>
      </c>
      <c r="E23" s="56">
        <f>SUM(F23:G23)</f>
        <v>43656.97</v>
      </c>
      <c r="F23" s="3020"/>
      <c r="G23" s="3021">
        <f>'数据-基础表'!Q5</f>
        <v>43656.97</v>
      </c>
      <c r="H23" s="679">
        <f>ROUND($D$3*I23/$E$3,2)</f>
        <v>538.73</v>
      </c>
      <c r="I23" s="51">
        <f t="shared" si="2"/>
        <v>3585.12</v>
      </c>
      <c r="J23" s="1295"/>
      <c r="K23" s="1294">
        <f t="shared" si="3"/>
        <v>3585.12</v>
      </c>
      <c r="L23" s="1151">
        <f t="shared" si="4"/>
        <v>0</v>
      </c>
      <c r="M23" s="1306">
        <f t="shared" si="8"/>
        <v>3585.12</v>
      </c>
      <c r="N23" s="1846"/>
      <c r="O23" s="1847"/>
      <c r="P23" s="1306">
        <f t="shared" si="9"/>
        <v>0</v>
      </c>
      <c r="R23" s="1151">
        <f t="shared" si="5"/>
        <v>7098.9699999999993</v>
      </c>
      <c r="S23" s="1152">
        <f t="shared" si="5"/>
        <v>47242.090000000004</v>
      </c>
    </row>
    <row r="24" spans="1:19" ht="14.4">
      <c r="A24" s="1848"/>
      <c r="B24" s="50" t="s">
        <v>1835</v>
      </c>
      <c r="C24" s="3072"/>
      <c r="D24" s="48">
        <f>ROUND($D$3*E24/$E$3,2)</f>
        <v>0</v>
      </c>
      <c r="E24" s="56">
        <f>SUM(F24:G24)</f>
        <v>0</v>
      </c>
      <c r="F24" s="3020"/>
      <c r="G24" s="3021"/>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ht="14.4">
      <c r="A25" s="1848"/>
      <c r="B25" s="50" t="s">
        <v>1835</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ht="14.4">
      <c r="A26" s="1848"/>
      <c r="B26" s="50" t="s">
        <v>1835</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28.2" thickBot="1">
      <c r="A27" s="1848"/>
      <c r="B27" s="48"/>
      <c r="C27" s="1851" t="s">
        <v>1836</v>
      </c>
      <c r="D27" s="1296">
        <f>SUM(D19:D26)</f>
        <v>25520.089999999997</v>
      </c>
      <c r="E27" s="1297">
        <f>IF(SUM(E19:E26)='数据-基础表'!BA5,SUM(E19:E26),IF(F27="地上面积有误","面积有误","地下面积有误"))</f>
        <v>169830.57</v>
      </c>
      <c r="F27" s="1296">
        <f>IF(SUM(F19:F26)=E8,SUM(F19:F26),"地上面积有误")</f>
        <v>108974.32</v>
      </c>
      <c r="G27" s="1298">
        <f>SUM(G19:G26)</f>
        <v>60856.25</v>
      </c>
      <c r="H27" s="1299">
        <f>SUM(H19:H26)</f>
        <v>2095.71</v>
      </c>
      <c r="I27" s="1300">
        <f>SUM(I19:I26)</f>
        <v>13946.509999999998</v>
      </c>
      <c r="J27" s="1295"/>
      <c r="K27" s="1303">
        <f>SUM(K19:K26)</f>
        <v>13946.509999999998</v>
      </c>
      <c r="L27" s="1304">
        <f>SUM(L19:L26)</f>
        <v>0</v>
      </c>
      <c r="M27" s="1307">
        <f>SUM(M19:M26)</f>
        <v>13946.509999999998</v>
      </c>
      <c r="N27" s="1303">
        <f t="shared" ref="N27:O27" si="10">SUM(N19:N26)</f>
        <v>0</v>
      </c>
      <c r="O27" s="1304">
        <f t="shared" si="10"/>
        <v>0</v>
      </c>
      <c r="P27" s="1305">
        <f>SUM(P19:P26)</f>
        <v>0</v>
      </c>
      <c r="R27" s="1153" t="str">
        <f>IF(SUM(R19:R26)=$D$3,SUM(R19:R26),SUM(R19:R26)&amp;"误差"&amp;ROUND(SUM(R19:R26)-$D$3,2))</f>
        <v>27615.8误差-0.01</v>
      </c>
      <c r="S27" s="1151">
        <f>IF(SUM(S19:S26)=$E$3,SUM(S19:S26),SUM(S19:S26)&amp;"误差"&amp;ROUND(SUM(S19:S26)-E3,2))</f>
        <v>183777.08</v>
      </c>
    </row>
    <row r="28" spans="1:19" ht="14.4">
      <c r="A28" s="1848"/>
      <c r="B28" s="50" t="s">
        <v>1837</v>
      </c>
      <c r="C28" s="1163" t="s">
        <v>1838</v>
      </c>
      <c r="D28" s="48">
        <f>ROUND($D$3*E28/$E$3,2)</f>
        <v>2095.71</v>
      </c>
      <c r="E28" s="56">
        <f>SUM(F28:G28)</f>
        <v>13946.509999999998</v>
      </c>
      <c r="F28" s="60">
        <f>'数据-基础表'!BQ5+'数据-基础表'!BS5</f>
        <v>266.56</v>
      </c>
      <c r="G28" s="61">
        <f>'数据-基础表'!BR5+'数据-基础表'!BT5</f>
        <v>13679.949999999999</v>
      </c>
      <c r="H28" s="2878"/>
      <c r="I28" s="2878"/>
      <c r="J28" s="2878"/>
      <c r="K28" s="2878"/>
      <c r="L28" s="2878"/>
      <c r="M28" s="2878"/>
      <c r="N28" s="2878"/>
      <c r="O28" s="2878"/>
      <c r="P28" s="2878"/>
    </row>
    <row r="29" spans="1:19" ht="14.4">
      <c r="A29" s="1848"/>
      <c r="B29" s="50" t="s">
        <v>1837</v>
      </c>
      <c r="C29" s="1852" t="s">
        <v>1839</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4.4">
      <c r="A30" s="1848"/>
      <c r="B30" s="50"/>
      <c r="C30" s="1853" t="s">
        <v>1836</v>
      </c>
      <c r="D30" s="1296">
        <f>SUM(D28:D29)</f>
        <v>2095.71</v>
      </c>
      <c r="E30" s="1296">
        <f>SUM(E28:E29)</f>
        <v>13946.509999999998</v>
      </c>
      <c r="F30" s="1296">
        <f>SUM(F28:F29)</f>
        <v>266.56</v>
      </c>
      <c r="G30" s="1298">
        <f>SUM(G28:G29)</f>
        <v>13679.949999999999</v>
      </c>
      <c r="H30" s="2878"/>
      <c r="I30" s="2878"/>
      <c r="J30" s="2878"/>
      <c r="K30" s="2878"/>
      <c r="L30" s="2878"/>
      <c r="M30" s="2878"/>
      <c r="N30" s="2878"/>
      <c r="O30" s="2878"/>
      <c r="P30" s="2878"/>
    </row>
    <row r="31" spans="1:19" ht="15" thickBot="1">
      <c r="A31" s="1854"/>
      <c r="B31" s="1855"/>
      <c r="C31" s="938" t="s">
        <v>1840</v>
      </c>
      <c r="D31" s="685">
        <f>D27+D30</f>
        <v>27615.799999999996</v>
      </c>
      <c r="E31" s="685">
        <f>E27+E30</f>
        <v>183777.08000000002</v>
      </c>
      <c r="F31" s="686">
        <f>F27+F30</f>
        <v>109240.88</v>
      </c>
      <c r="G31" s="687">
        <f>G27+G30</f>
        <v>74536.2</v>
      </c>
      <c r="H31" s="2878"/>
      <c r="I31" s="2878"/>
      <c r="J31" s="2878"/>
      <c r="K31" s="2878"/>
      <c r="L31" s="2878"/>
      <c r="M31" s="2878"/>
      <c r="N31" s="2878"/>
      <c r="O31" s="2878"/>
      <c r="P31" s="2878"/>
    </row>
    <row r="32" spans="1:19" ht="14.4">
      <c r="A32" s="1821"/>
      <c r="B32" s="1821" t="s">
        <v>1841</v>
      </c>
      <c r="C32" s="1821"/>
      <c r="D32" s="1821"/>
      <c r="E32" s="1178">
        <f>SUMIF(C19:C26,"*住宅*",E19:E26)</f>
        <v>0</v>
      </c>
      <c r="F32" s="1821"/>
      <c r="G32" s="1821"/>
      <c r="H32" s="2878"/>
      <c r="I32" s="2878"/>
      <c r="J32" s="2878"/>
      <c r="K32" s="2878"/>
      <c r="L32" s="2878"/>
      <c r="M32" s="2878"/>
      <c r="N32" s="2878"/>
      <c r="O32" s="2878"/>
      <c r="P32" s="2878"/>
    </row>
    <row r="33" spans="4:7">
      <c r="D33" s="1856"/>
    </row>
    <row r="37" spans="4:7">
      <c r="G37" s="1816">
        <f>G23/45</f>
        <v>970.15488888888888</v>
      </c>
    </row>
    <row r="38" spans="4:7">
      <c r="G38" s="1816">
        <f ca="1">'收益法-车库'!F6*'收益法-车库'!F7*365/12/'数据-汇总表'!G37</f>
        <v>958.12499999999989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22" sqref="Q22"/>
    </sheetView>
  </sheetViews>
  <sheetFormatPr defaultColWidth="13.77734375" defaultRowHeight="13.2"/>
  <cols>
    <col min="1" max="1" width="20.88671875" style="1923" customWidth="1"/>
    <col min="2" max="2" width="12" style="1860" customWidth="1"/>
    <col min="3" max="3" width="12.77734375" style="1860" customWidth="1"/>
    <col min="4" max="4" width="9.109375" style="1924" customWidth="1"/>
    <col min="5" max="5" width="15" style="1860" bestFit="1" customWidth="1"/>
    <col min="6" max="10" width="8.88671875" style="1860" customWidth="1"/>
    <col min="11" max="12" width="12.33203125" style="1779" customWidth="1"/>
    <col min="13" max="13" width="8.6640625" style="1860" customWidth="1"/>
    <col min="14" max="14" width="11.88671875" style="1860" customWidth="1"/>
    <col min="15" max="15" width="8.44140625" style="1860" customWidth="1"/>
    <col min="16" max="17" width="10.88671875" style="1860" customWidth="1"/>
    <col min="18" max="19" width="12.44140625" style="1860" customWidth="1"/>
    <col min="20" max="20" width="12.109375" style="1860" customWidth="1"/>
    <col min="21" max="21" width="7.44140625" style="1860" customWidth="1"/>
    <col min="22" max="22" width="6.33203125" style="1860" customWidth="1"/>
    <col min="23" max="24" width="6.77734375" style="1860" customWidth="1"/>
    <col min="25" max="25" width="9.44140625" style="1860" customWidth="1"/>
    <col min="26" max="30" width="6.77734375" style="1860" customWidth="1"/>
    <col min="31" max="31" width="8" style="1860" customWidth="1"/>
    <col min="32" max="34" width="7.21875" style="1860" customWidth="1"/>
    <col min="35" max="39" width="8" style="1860" customWidth="1"/>
    <col min="40" max="40" width="13.77734375" style="1859"/>
    <col min="41" max="41" width="11.6640625" style="1859" customWidth="1"/>
    <col min="42" max="42" width="9.77734375" style="1859" customWidth="1"/>
    <col min="43" max="67" width="13.77734375" style="1859"/>
    <col min="68" max="16384" width="13.77734375" style="1860"/>
  </cols>
  <sheetData>
    <row r="1" spans="1:67" ht="18" thickBot="1">
      <c r="A1" s="1857" t="s">
        <v>1842</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2"/>
      <c r="AO1" s="2892"/>
      <c r="AP1" s="2892"/>
      <c r="AQ1" s="2892"/>
      <c r="AR1" s="2892"/>
    </row>
    <row r="2" spans="1:67" s="1737" customFormat="1" ht="15" thickBot="1">
      <c r="A2" s="1861" t="s">
        <v>1843</v>
      </c>
      <c r="B2" s="1170">
        <f>项目基本情况!D3</f>
        <v>44397</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4.4"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7"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57.6">
      <c r="A5" s="1873" t="s">
        <v>1850</v>
      </c>
      <c r="B5" s="1874" t="s">
        <v>1851</v>
      </c>
      <c r="C5" s="1875" t="s">
        <v>1852</v>
      </c>
      <c r="D5" s="1876" t="s">
        <v>1853</v>
      </c>
      <c r="E5" s="1172" t="s">
        <v>1854</v>
      </c>
      <c r="F5" s="1877" t="s">
        <v>1855</v>
      </c>
      <c r="G5" s="1172" t="s">
        <v>1856</v>
      </c>
      <c r="H5" s="1172" t="s">
        <v>1857</v>
      </c>
      <c r="I5" s="1172" t="s">
        <v>1858</v>
      </c>
      <c r="J5" s="1878" t="s">
        <v>1859</v>
      </c>
      <c r="K5" s="1879" t="s">
        <v>1860</v>
      </c>
      <c r="L5" s="1880" t="s">
        <v>1861</v>
      </c>
      <c r="M5" s="1881" t="s">
        <v>1862</v>
      </c>
      <c r="N5" s="1882" t="s">
        <v>1863</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3.8">
      <c r="A6" s="1890" t="str">
        <f>'数据-汇总表'!C19</f>
        <v>可售办公</v>
      </c>
      <c r="B6" s="1891" t="str">
        <f>IF(A6=0,"","经营性")</f>
        <v>经营性</v>
      </c>
      <c r="C6" s="1892" t="s">
        <v>27</v>
      </c>
      <c r="D6" s="961">
        <f>SUMIF(项目基本情况!D$12:I$12,C6,项目基本情况!D$14:I$14)</f>
        <v>50</v>
      </c>
      <c r="E6" s="960">
        <f>IF(B6="","",SUMIF(项目基本情况!D$12:I$12,C6,项目基本情况!D$13:I$13))</f>
        <v>60779</v>
      </c>
      <c r="F6" s="68">
        <f>SUMIF(项目基本情况!D$12:I$12,C6,项目基本情况!D$15:I$15)</f>
        <v>44.88</v>
      </c>
      <c r="G6" s="69">
        <f>IF(ISERROR(ROUND(POWER(1+H6,D6-F6)*(POWER(1+H6,F6)-1)/(POWER(1+H6,D6)-1),3)),0,ROUND(POWER(1+H6,D6-F6)*(POWER(1+H6,F6)-1)/(POWER(1+H6,D6)-1),3))</f>
        <v>0.97299999999999998</v>
      </c>
      <c r="H6" s="3090">
        <v>0.05</v>
      </c>
      <c r="I6" s="741">
        <v>5.5E-2</v>
      </c>
      <c r="J6" s="70">
        <v>8.5000000000000006E-2</v>
      </c>
      <c r="K6" s="1155">
        <f>SUMIF('数据-汇总表'!C$19:C$33,A6,'数据-汇总表'!E$19:E$33)</f>
        <v>74055.320000000007</v>
      </c>
      <c r="L6" s="742">
        <v>3400</v>
      </c>
      <c r="M6" s="71">
        <f t="shared" ref="M6:M14" si="0">ROUND(K6*L6/10000,0)</f>
        <v>25179</v>
      </c>
      <c r="N6" s="740">
        <v>0.65</v>
      </c>
      <c r="O6" s="71">
        <f>IF($N$5="成新度","——",ROUND(M6*N6,0))</f>
        <v>16366</v>
      </c>
      <c r="P6" s="72">
        <f>IF($N$5="成新度","——",M6-O6)</f>
        <v>8813</v>
      </c>
      <c r="Q6" s="743">
        <v>0.15</v>
      </c>
      <c r="R6" s="73">
        <f ca="1">SUMIF('数据-汇总表'!C$19:C$33,A6,'数据-汇总表'!R$19:R$27)</f>
        <v>12041.98</v>
      </c>
      <c r="S6" s="54">
        <f>IF('数据-汇总表'!$I$17="按面积比例",SUMIF('数据-汇总表'!C$19:C$33,A6,'数据-汇总表'!K$19:K$33),SUMIF('数据-汇总表'!C$19:C$33,A6,'数据-汇总表'!N$19:N$33))</f>
        <v>6081.43</v>
      </c>
      <c r="T6" s="1328">
        <f>ROUND($L$14*S6/10000,0)</f>
        <v>2068</v>
      </c>
      <c r="U6" s="74"/>
      <c r="V6" s="75"/>
      <c r="W6" s="75"/>
      <c r="X6" s="1165"/>
      <c r="Y6" s="76"/>
      <c r="Z6" s="77"/>
      <c r="AA6" s="70"/>
      <c r="AB6" s="70"/>
      <c r="AC6" s="1165"/>
      <c r="AD6" s="78"/>
      <c r="AE6" s="1166">
        <f ca="1">IF(AN6="",0,SUMIF(INDIRECT("'"&amp;AN6&amp;"'"&amp;"!E:E"),$AE$5,INDIRECT("'"&amp;AN6&amp;"'"&amp;"!F:F")))</f>
        <v>0</v>
      </c>
      <c r="AF6" s="1525"/>
      <c r="AG6" s="143">
        <f>IF(AF6="",0,AE6-AF6)</f>
        <v>0</v>
      </c>
      <c r="AH6" s="79"/>
      <c r="AI6" s="81"/>
      <c r="AJ6" s="82"/>
      <c r="AK6" s="83"/>
      <c r="AL6" s="84"/>
      <c r="AM6" s="85"/>
      <c r="AN6" s="1893"/>
      <c r="AO6" s="55" t="e">
        <f ca="1">SUMIF(INDIRECT("'"&amp;AN6&amp;"'"&amp;"!A:A"),"总价",INDIRECT("'"&amp;AN6&amp;"'"&amp;"!B:B"))</f>
        <v>#REF!</v>
      </c>
      <c r="AP6" s="1894">
        <f>IF(C6="住宅",K6*L6,0)</f>
        <v>0</v>
      </c>
      <c r="AQ6" s="55">
        <f>ROUND($L$14*$N$14*S6/10000,0)</f>
        <v>1344</v>
      </c>
      <c r="AR6" s="55">
        <f>ROUND($L$14*(1-$N$14)*S6/10000,0)</f>
        <v>724</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3.8">
      <c r="A7" s="1890" t="str">
        <f>'数据-汇总表'!C20</f>
        <v>自持酒店</v>
      </c>
      <c r="B7" s="1891" t="str">
        <f t="shared" ref="B7:B13" si="1">IF(A7=0,"","经营性")</f>
        <v>经营性</v>
      </c>
      <c r="C7" s="1892" t="s">
        <v>1343</v>
      </c>
      <c r="D7" s="961">
        <f>SUMIF(项目基本情况!D$12:I$12,C7,项目基本情况!D$14:I$14)</f>
        <v>40</v>
      </c>
      <c r="E7" s="960">
        <f>IF(B7="","",SUMIF(项目基本情况!D$12:I$12,C7,项目基本情况!D$13:I$13))</f>
        <v>57127</v>
      </c>
      <c r="F7" s="68">
        <f>SUMIF(项目基本情况!D$12:I$12,C7,项目基本情况!D$15:I$15)</f>
        <v>34.869999999999997</v>
      </c>
      <c r="G7" s="69">
        <f t="shared" ref="G7:G11" si="2">IF(ISERROR(ROUND(POWER(1+H7,D7-F7)*(POWER(1+H7,F7)-1)/(POWER(1+H7,D7)-1),3)),0,ROUND(POWER(1+H7,D7-F7)*(POWER(1+H7,F7)-1)/(POWER(1+H7,D7)-1),3))</f>
        <v>0.95299999999999996</v>
      </c>
      <c r="H7" s="741">
        <v>0.05</v>
      </c>
      <c r="I7" s="741">
        <v>5.5E-2</v>
      </c>
      <c r="J7" s="70">
        <v>8.5000000000000006E-2</v>
      </c>
      <c r="K7" s="1155">
        <f>SUMIF('数据-汇总表'!C$19:C$33,A7,'数据-汇总表'!E$19:E$33)</f>
        <v>18514.93</v>
      </c>
      <c r="L7" s="742">
        <f>L6</f>
        <v>3400</v>
      </c>
      <c r="M7" s="71">
        <f t="shared" si="0"/>
        <v>6295</v>
      </c>
      <c r="N7" s="740">
        <f>N6</f>
        <v>0.65</v>
      </c>
      <c r="O7" s="71">
        <f t="shared" ref="O7:O14" si="3">IF($N$5="成新度","——",ROUND(M7*N7,0))</f>
        <v>4092</v>
      </c>
      <c r="P7" s="72">
        <f t="shared" ref="P7:P14" si="4">IF($N$5="成新度","——",M7-O7)</f>
        <v>2203</v>
      </c>
      <c r="Q7" s="743">
        <v>0.15</v>
      </c>
      <c r="R7" s="73">
        <f ca="1">SUMIF('数据-汇总表'!C$19:C$33,A7,'数据-汇总表'!R$19:R$27)</f>
        <v>3010.6699999999996</v>
      </c>
      <c r="S7" s="54">
        <f>IF('数据-汇总表'!$I$17="按面积比例",SUMIF('数据-汇总表'!C$19:C$33,A7,'数据-汇总表'!K$19:K$33),SUMIF('数据-汇总表'!C$19:C$33,A7,'数据-汇总表'!N$19:N$33))</f>
        <v>1520.45</v>
      </c>
      <c r="T7" s="1328">
        <f t="shared" ref="T7:T13" si="5">ROUND($L$14*S7/10000,0)</f>
        <v>517</v>
      </c>
      <c r="U7" s="74">
        <f>U19</f>
        <v>3</v>
      </c>
      <c r="V7" s="75">
        <v>0.03</v>
      </c>
      <c r="W7" s="75">
        <v>0.1</v>
      </c>
      <c r="X7" s="1165"/>
      <c r="Y7" s="76">
        <v>1</v>
      </c>
      <c r="Z7" s="77"/>
      <c r="AA7" s="70"/>
      <c r="AB7" s="70"/>
      <c r="AC7" s="1165"/>
      <c r="AD7" s="78"/>
      <c r="AE7" s="1166">
        <f t="shared" ref="AE7:AE13" ca="1" si="6">IF(AN7="",0,SUMIF(INDIRECT("'"&amp;AN7&amp;"'"&amp;"!E:E"),$AE$5,INDIRECT("'"&amp;AN7&amp;"'"&amp;"!F:F")))</f>
        <v>34.269999999999996</v>
      </c>
      <c r="AF7" s="1525"/>
      <c r="AG7" s="143">
        <f t="shared" ref="AG7:AG13" si="7">IF(AF7="",0,AE7-AF7)</f>
        <v>0</v>
      </c>
      <c r="AH7" s="79"/>
      <c r="AI7" s="81">
        <v>365</v>
      </c>
      <c r="AJ7" s="82"/>
      <c r="AK7" s="83">
        <v>1.4999999999999999E-2</v>
      </c>
      <c r="AL7" s="84">
        <v>1.5E-3</v>
      </c>
      <c r="AM7" s="85">
        <v>0.01</v>
      </c>
      <c r="AN7" s="1893" t="s">
        <v>3675</v>
      </c>
      <c r="AO7" s="55">
        <f t="shared" ref="AO7:AO13" ca="1" si="8">SUMIF(INDIRECT("'"&amp;AN7&amp;"'"&amp;"!A:A"),"总价",INDIRECT("'"&amp;AN7&amp;"'"&amp;"!B:B"))</f>
        <v>30037</v>
      </c>
      <c r="AP7" s="1894">
        <f t="shared" ref="AP7:AP13" si="9">IF(C7="住宅",K7*L7,0)</f>
        <v>0</v>
      </c>
      <c r="AQ7" s="55">
        <f t="shared" ref="AQ7:AQ13" si="10">ROUND($L$14*$N$14*S7/10000,0)</f>
        <v>336</v>
      </c>
      <c r="AR7" s="55">
        <f t="shared" ref="AR7:AR13" si="11">ROUND($L$14*(1-$N$14)*S7/10000,0)</f>
        <v>181</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3.8">
      <c r="A8" s="1890" t="str">
        <f>'数据-汇总表'!C21</f>
        <v>自持商业</v>
      </c>
      <c r="B8" s="1891" t="str">
        <f t="shared" si="1"/>
        <v>经营性</v>
      </c>
      <c r="C8" s="1892" t="s">
        <v>1343</v>
      </c>
      <c r="D8" s="961">
        <f>SUMIF(项目基本情况!D$12:I$12,C8,项目基本情况!D$14:I$14)</f>
        <v>40</v>
      </c>
      <c r="E8" s="960">
        <f>IF(B8="","",SUMIF(项目基本情况!D$12:I$12,C8,项目基本情况!D$13:I$13))</f>
        <v>57127</v>
      </c>
      <c r="F8" s="68">
        <f>SUMIF(项目基本情况!D$12:I$12,C8,项目基本情况!D$15:I$15)</f>
        <v>34.869999999999997</v>
      </c>
      <c r="G8" s="69">
        <f t="shared" si="2"/>
        <v>0.95299999999999996</v>
      </c>
      <c r="H8" s="741">
        <v>0.05</v>
      </c>
      <c r="I8" s="741">
        <v>5.5E-2</v>
      </c>
      <c r="J8" s="70">
        <v>8.5000000000000006E-2</v>
      </c>
      <c r="K8" s="1155">
        <f>SUMIF('数据-汇总表'!C$19:C$33,A8,'数据-汇总表'!E$19:E$33)</f>
        <v>6485.07</v>
      </c>
      <c r="L8" s="742">
        <f>L6</f>
        <v>3400</v>
      </c>
      <c r="M8" s="71">
        <f>ROUND(K8*L8/10000,0)</f>
        <v>2205</v>
      </c>
      <c r="N8" s="740">
        <f>N6</f>
        <v>0.65</v>
      </c>
      <c r="O8" s="71">
        <f t="shared" si="3"/>
        <v>1433</v>
      </c>
      <c r="P8" s="72">
        <f t="shared" si="4"/>
        <v>772</v>
      </c>
      <c r="Q8" s="743">
        <v>0.15</v>
      </c>
      <c r="R8" s="73">
        <f ca="1">SUMIF('数据-汇总表'!C$19:C$33,A8,'数据-汇总表'!R$19:R$27)</f>
        <v>1054.53</v>
      </c>
      <c r="S8" s="54">
        <f>IF('数据-汇总表'!$I$17="按面积比例",SUMIF('数据-汇总表'!C$19:C$33,A8,'数据-汇总表'!K$19:K$33),SUMIF('数据-汇总表'!C$19:C$33,A8,'数据-汇总表'!N$19:N$33))</f>
        <v>532.54999999999995</v>
      </c>
      <c r="T8" s="1328">
        <f t="shared" si="5"/>
        <v>181</v>
      </c>
      <c r="U8" s="74">
        <f>U22</f>
        <v>3.5999999999999996</v>
      </c>
      <c r="V8" s="75">
        <v>0.03</v>
      </c>
      <c r="W8" s="75">
        <v>0.1</v>
      </c>
      <c r="X8" s="1165"/>
      <c r="Y8" s="76">
        <v>1</v>
      </c>
      <c r="Z8" s="77"/>
      <c r="AA8" s="70"/>
      <c r="AB8" s="70"/>
      <c r="AC8" s="1165"/>
      <c r="AD8" s="78"/>
      <c r="AE8" s="1166">
        <f t="shared" ca="1" si="6"/>
        <v>34.269999999999996</v>
      </c>
      <c r="AF8" s="1525"/>
      <c r="AG8" s="143">
        <f t="shared" si="7"/>
        <v>0</v>
      </c>
      <c r="AH8" s="744"/>
      <c r="AI8" s="81">
        <v>365</v>
      </c>
      <c r="AJ8" s="82"/>
      <c r="AK8" s="83">
        <v>1.4999999999999999E-2</v>
      </c>
      <c r="AL8" s="84">
        <v>1.5E-3</v>
      </c>
      <c r="AM8" s="85">
        <v>0.01</v>
      </c>
      <c r="AN8" s="1893" t="s">
        <v>3677</v>
      </c>
      <c r="AO8" s="55">
        <f t="shared" ca="1" si="8"/>
        <v>12889</v>
      </c>
      <c r="AP8" s="1894">
        <f t="shared" si="9"/>
        <v>0</v>
      </c>
      <c r="AQ8" s="55">
        <f t="shared" si="10"/>
        <v>118</v>
      </c>
      <c r="AR8" s="55">
        <f t="shared" si="11"/>
        <v>63</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3.8">
      <c r="A9" s="1890" t="str">
        <f>'数据-汇总表'!C22</f>
        <v>可售商业</v>
      </c>
      <c r="B9" s="1891" t="str">
        <f t="shared" si="1"/>
        <v>经营性</v>
      </c>
      <c r="C9" s="1892" t="s">
        <v>1343</v>
      </c>
      <c r="D9" s="961">
        <f>SUMIF(项目基本情况!D$12:I$12,C9,项目基本情况!D$14:I$14)</f>
        <v>40</v>
      </c>
      <c r="E9" s="960">
        <f>IF(B9="","",SUMIF(项目基本情况!D$12:I$12,C9,项目基本情况!D$13:I$13))</f>
        <v>57127</v>
      </c>
      <c r="F9" s="68">
        <f>SUMIF(项目基本情况!D$12:I$12,C9,项目基本情况!D$15:I$15)</f>
        <v>34.869999999999997</v>
      </c>
      <c r="G9" s="69">
        <f t="shared" si="2"/>
        <v>0.95299999999999996</v>
      </c>
      <c r="H9" s="741">
        <v>0.05</v>
      </c>
      <c r="I9" s="741">
        <v>5.5E-2</v>
      </c>
      <c r="J9" s="70">
        <v>8.5000000000000006E-2</v>
      </c>
      <c r="K9" s="1155">
        <f>SUMIF('数据-汇总表'!C$19:C$33,A9,'数据-汇总表'!E$19:E$33)</f>
        <v>27118.28</v>
      </c>
      <c r="L9" s="742">
        <f>L6</f>
        <v>3400</v>
      </c>
      <c r="M9" s="71">
        <f t="shared" si="0"/>
        <v>9220</v>
      </c>
      <c r="N9" s="740">
        <f>N6</f>
        <v>0.65</v>
      </c>
      <c r="O9" s="71">
        <f t="shared" si="3"/>
        <v>5993</v>
      </c>
      <c r="P9" s="72">
        <f t="shared" si="4"/>
        <v>3227</v>
      </c>
      <c r="Q9" s="86">
        <v>0.15</v>
      </c>
      <c r="R9" s="73">
        <f ca="1">SUMIF('数据-汇总表'!C$19:C$33,A9,'数据-汇总表'!R$19:R$27)</f>
        <v>4409.6500000000005</v>
      </c>
      <c r="S9" s="54">
        <f>IF('数据-汇总表'!$I$17="按面积比例",SUMIF('数据-汇总表'!C$19:C$33,A9,'数据-汇总表'!K$19:K$33),SUMIF('数据-汇总表'!C$19:C$33,A9,'数据-汇总表'!N$19:N$33))</f>
        <v>2226.96</v>
      </c>
      <c r="T9" s="1328">
        <f t="shared" si="5"/>
        <v>757</v>
      </c>
      <c r="U9" s="74">
        <f>U21</f>
        <v>3</v>
      </c>
      <c r="V9" s="75">
        <v>0.03</v>
      </c>
      <c r="W9" s="75">
        <v>0.1</v>
      </c>
      <c r="X9" s="1165"/>
      <c r="Y9" s="76">
        <v>1</v>
      </c>
      <c r="Z9" s="77"/>
      <c r="AA9" s="70"/>
      <c r="AB9" s="70"/>
      <c r="AC9" s="1165"/>
      <c r="AD9" s="78"/>
      <c r="AE9" s="1166">
        <f t="shared" ca="1" si="6"/>
        <v>34.269999999999996</v>
      </c>
      <c r="AF9" s="1525"/>
      <c r="AG9" s="143">
        <f t="shared" si="7"/>
        <v>0</v>
      </c>
      <c r="AH9" s="79"/>
      <c r="AI9" s="81">
        <v>365</v>
      </c>
      <c r="AJ9" s="82"/>
      <c r="AK9" s="83">
        <v>1.4999999999999999E-2</v>
      </c>
      <c r="AL9" s="84">
        <v>1.5E-3</v>
      </c>
      <c r="AM9" s="85">
        <v>0.01</v>
      </c>
      <c r="AN9" s="1893" t="s">
        <v>3679</v>
      </c>
      <c r="AO9" s="55">
        <f t="shared" ca="1" si="8"/>
        <v>44024</v>
      </c>
      <c r="AP9" s="1894">
        <f t="shared" si="9"/>
        <v>0</v>
      </c>
      <c r="AQ9" s="55">
        <f t="shared" si="10"/>
        <v>492</v>
      </c>
      <c r="AR9" s="55">
        <f t="shared" si="11"/>
        <v>265</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3.8">
      <c r="A10" s="1890" t="str">
        <f>'数据-汇总表'!C23</f>
        <v>地下车库</v>
      </c>
      <c r="B10" s="1891" t="str">
        <f t="shared" si="1"/>
        <v>经营性</v>
      </c>
      <c r="C10" s="1892" t="s">
        <v>3077</v>
      </c>
      <c r="D10" s="961">
        <f>SUMIF(项目基本情况!D$12:I$12,C10,项目基本情况!D$14:I$14)</f>
        <v>50</v>
      </c>
      <c r="E10" s="960">
        <f>IF(B10="","",SUMIF(项目基本情况!D$12:I$12,C10,项目基本情况!D$13:I$13))</f>
        <v>60779</v>
      </c>
      <c r="F10" s="68">
        <f>SUMIF(项目基本情况!D$12:I$12,C10,项目基本情况!D$15:I$15)</f>
        <v>44.88</v>
      </c>
      <c r="G10" s="69">
        <f t="shared" si="2"/>
        <v>0.96899999999999997</v>
      </c>
      <c r="H10" s="741">
        <v>4.4999999999999998E-2</v>
      </c>
      <c r="I10" s="741">
        <v>0.05</v>
      </c>
      <c r="J10" s="70">
        <v>8.5000000000000006E-2</v>
      </c>
      <c r="K10" s="1155">
        <f>SUMIF('数据-汇总表'!C$19:C$33,A10,'数据-汇总表'!E$19:E$33)</f>
        <v>43656.97</v>
      </c>
      <c r="L10" s="742">
        <f>L6</f>
        <v>3400</v>
      </c>
      <c r="M10" s="71">
        <f t="shared" si="0"/>
        <v>14843</v>
      </c>
      <c r="N10" s="740">
        <f>N6</f>
        <v>0.65</v>
      </c>
      <c r="O10" s="71">
        <f t="shared" si="3"/>
        <v>9648</v>
      </c>
      <c r="P10" s="72">
        <f t="shared" si="4"/>
        <v>5195</v>
      </c>
      <c r="Q10" s="86">
        <v>0.05</v>
      </c>
      <c r="R10" s="73">
        <f ca="1">SUMIF('数据-汇总表'!C$19:C$33,A10,'数据-汇总表'!R$19:R$27)</f>
        <v>7098.9699999999993</v>
      </c>
      <c r="S10" s="54">
        <f>IF('数据-汇总表'!$I$17="按面积比例",SUMIF('数据-汇总表'!C$19:C$33,A10,'数据-汇总表'!K$19:K$33),SUMIF('数据-汇总表'!C$19:C$33,A10,'数据-汇总表'!N$19:N$33))</f>
        <v>3585.12</v>
      </c>
      <c r="T10" s="1328">
        <f t="shared" si="5"/>
        <v>1219</v>
      </c>
      <c r="U10" s="74">
        <v>0.7</v>
      </c>
      <c r="V10" s="75">
        <v>2.5000000000000001E-2</v>
      </c>
      <c r="W10" s="75">
        <v>0.1</v>
      </c>
      <c r="X10" s="1165"/>
      <c r="Y10" s="76">
        <v>1</v>
      </c>
      <c r="Z10" s="77"/>
      <c r="AA10" s="70"/>
      <c r="AB10" s="70"/>
      <c r="AC10" s="1165"/>
      <c r="AD10" s="78"/>
      <c r="AE10" s="1166">
        <f t="shared" ca="1" si="6"/>
        <v>44.28</v>
      </c>
      <c r="AF10" s="1525"/>
      <c r="AG10" s="143">
        <f t="shared" si="7"/>
        <v>0</v>
      </c>
      <c r="AH10" s="79"/>
      <c r="AI10" s="81">
        <v>365</v>
      </c>
      <c r="AJ10" s="82"/>
      <c r="AK10" s="83">
        <v>1.4999999999999999E-2</v>
      </c>
      <c r="AL10" s="84">
        <v>1.5E-3</v>
      </c>
      <c r="AM10" s="85">
        <v>0.01</v>
      </c>
      <c r="AN10" s="1893" t="s">
        <v>3673</v>
      </c>
      <c r="AO10" s="55">
        <f t="shared" ca="1" si="8"/>
        <v>12437</v>
      </c>
      <c r="AP10" s="1894">
        <f t="shared" si="9"/>
        <v>0</v>
      </c>
      <c r="AQ10" s="55">
        <f t="shared" si="10"/>
        <v>792</v>
      </c>
      <c r="AR10" s="55">
        <f t="shared" si="11"/>
        <v>427</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3.8">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41"/>
      <c r="I11" s="741"/>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3.8">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3.8">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4">
      <c r="A14" s="1895" t="s">
        <v>1888</v>
      </c>
      <c r="B14" s="1891" t="s">
        <v>1889</v>
      </c>
      <c r="C14" s="1896" t="s">
        <v>1888</v>
      </c>
      <c r="D14" s="961"/>
      <c r="E14" s="960"/>
      <c r="F14" s="68"/>
      <c r="G14" s="69"/>
      <c r="H14" s="1154"/>
      <c r="I14" s="1154"/>
      <c r="J14" s="1154"/>
      <c r="K14" s="1155">
        <f>SUMIF('数据-汇总表'!C$19:C$33,A14,'数据-汇总表'!E$19:E$33)</f>
        <v>13946.509999999998</v>
      </c>
      <c r="L14" s="87">
        <f>L6</f>
        <v>3400</v>
      </c>
      <c r="M14" s="71">
        <f t="shared" si="0"/>
        <v>4742</v>
      </c>
      <c r="N14" s="88">
        <f>N6</f>
        <v>0.65</v>
      </c>
      <c r="O14" s="71">
        <f t="shared" si="3"/>
        <v>3082</v>
      </c>
      <c r="P14" s="72">
        <f t="shared" si="4"/>
        <v>1660</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8.8">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 thickBot="1">
      <c r="A16" s="1897" t="s">
        <v>1892</v>
      </c>
      <c r="B16" s="93"/>
      <c r="C16" s="936"/>
      <c r="D16" s="1898"/>
      <c r="E16" s="93"/>
      <c r="F16" s="93"/>
      <c r="G16" s="94">
        <f>ROUND(SUMPRODUCT(G6:G13,K6:K13)/SUMPRODUCT((G6:G13&gt;0)*(K6:K13)),3)</f>
        <v>0.96599999999999997</v>
      </c>
      <c r="H16" s="95">
        <f>ROUND(SUMPRODUCT(H6:H13,K6:K13)/SUMPRODUCT((H6:H13&gt;0)*(K6:K13)),3)</f>
        <v>4.9000000000000002E-2</v>
      </c>
      <c r="I16" s="96"/>
      <c r="J16" s="96"/>
      <c r="K16" s="97">
        <f>SUM(K6:K15)</f>
        <v>183777.08000000002</v>
      </c>
      <c r="L16" s="98">
        <f>ROUND(M16*10000/SUM(K6:K14),0)</f>
        <v>3400</v>
      </c>
      <c r="M16" s="98">
        <f>SUM(M6:M14)</f>
        <v>62484</v>
      </c>
      <c r="N16" s="99">
        <f>ROUND(SUMPRODUCT(M6:M14,N6:N14)/M16,3)</f>
        <v>0.65</v>
      </c>
      <c r="O16" s="98">
        <f>SUM(O6:O14)</f>
        <v>40614</v>
      </c>
      <c r="P16" s="98">
        <f>SUM(P6:P14)</f>
        <v>21870</v>
      </c>
      <c r="Q16" s="100">
        <f>ROUND(SUMPRODUCT(Q6:Q13,K6:K13)/SUMPRODUCT((Q6:Q13&gt;0)*(K6:K13)),2)</f>
        <v>0.12</v>
      </c>
      <c r="R16" s="1159">
        <f ca="1">SUM(R6:R13)</f>
        <v>27615.800000000003</v>
      </c>
      <c r="S16" s="101">
        <f>SUM(S6:S13)</f>
        <v>13946.509999999998</v>
      </c>
      <c r="T16" s="102">
        <f>IF(SUMIF(T6:T13,"&lt;9E307")=M14,SUMIF(T6:T13,"&lt;9E307"),"有误，请检查")</f>
        <v>4742</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8"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3086" t="s">
        <v>3708</v>
      </c>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1893</v>
      </c>
      <c r="B18" s="2906"/>
      <c r="C18" s="2894"/>
      <c r="D18" s="2897"/>
      <c r="E18" s="2894"/>
      <c r="F18" s="2894"/>
      <c r="G18" s="2894"/>
      <c r="H18" s="2894"/>
      <c r="I18" s="2894"/>
      <c r="J18" s="2894"/>
      <c r="K18" s="2893"/>
      <c r="L18" s="2893"/>
      <c r="M18" s="2892"/>
      <c r="N18" s="2892"/>
      <c r="O18" s="2892"/>
      <c r="P18" s="2892"/>
      <c r="Q18" s="2892"/>
      <c r="R18" s="2892"/>
      <c r="S18" s="2892"/>
      <c r="T18" s="3086" t="s">
        <v>3707</v>
      </c>
      <c r="U18" s="2892">
        <v>2</v>
      </c>
      <c r="V18" s="2892"/>
      <c r="W18" s="2892" t="s">
        <v>3712</v>
      </c>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4">
      <c r="A19" s="1900" t="s">
        <v>1894</v>
      </c>
      <c r="B19" s="108">
        <v>0</v>
      </c>
      <c r="C19" s="3022" t="s">
        <v>3043</v>
      </c>
      <c r="D19" s="2897"/>
      <c r="E19" s="2894"/>
      <c r="F19" s="2894"/>
      <c r="G19" s="2894"/>
      <c r="H19" s="2894"/>
      <c r="I19" s="2894"/>
      <c r="J19" s="2894"/>
      <c r="K19" s="2893"/>
      <c r="L19" s="2893"/>
      <c r="M19" s="2892"/>
      <c r="N19" s="2892"/>
      <c r="O19" s="2892"/>
      <c r="P19" s="2892"/>
      <c r="Q19" s="2892"/>
      <c r="R19" s="2892"/>
      <c r="S19" s="2892"/>
      <c r="T19" s="3087" t="s">
        <v>3706</v>
      </c>
      <c r="U19" s="1859">
        <v>3</v>
      </c>
      <c r="V19" s="2892"/>
      <c r="W19" s="1859"/>
      <c r="X19" s="2892"/>
      <c r="Y19" s="2892"/>
      <c r="Z19" s="2892"/>
      <c r="AA19" s="2892"/>
      <c r="AB19" s="2892"/>
      <c r="AC19" s="2892"/>
      <c r="AD19" s="2892"/>
      <c r="AE19" s="2892">
        <f>K10/35</f>
        <v>1247.3420000000001</v>
      </c>
      <c r="AF19" s="2892"/>
      <c r="AG19" s="2892"/>
      <c r="AH19" s="2892"/>
      <c r="AI19" s="2892"/>
      <c r="AJ19" s="2892"/>
      <c r="AK19" s="2892"/>
      <c r="AL19" s="2892"/>
      <c r="AM19" s="2892"/>
      <c r="AN19" s="2892"/>
      <c r="AO19" s="2892"/>
      <c r="AP19" s="2892"/>
      <c r="AQ19" s="2892"/>
      <c r="AR19" s="2892"/>
    </row>
    <row r="20" spans="1:67" ht="14.4">
      <c r="A20" s="1901" t="s">
        <v>1895</v>
      </c>
      <c r="B20" s="109">
        <v>2</v>
      </c>
      <c r="C20" s="3023" t="s">
        <v>3041</v>
      </c>
      <c r="D20" s="2897"/>
      <c r="E20" s="2894"/>
      <c r="F20" s="2894"/>
      <c r="G20" s="2894"/>
      <c r="H20" s="2894"/>
      <c r="I20" s="2894"/>
      <c r="J20" s="2894"/>
      <c r="K20" s="2893"/>
      <c r="L20" s="2893">
        <f>'数据-基础表'!M17*3000/K16</f>
        <v>408.10312145562438</v>
      </c>
      <c r="M20" s="2892"/>
      <c r="N20" s="2892"/>
      <c r="O20" s="2892"/>
      <c r="P20" s="2892"/>
      <c r="Q20" s="2892"/>
      <c r="R20" s="2892"/>
      <c r="S20" s="2892"/>
      <c r="T20" s="2892" t="s">
        <v>3701</v>
      </c>
      <c r="U20" s="2892">
        <v>6</v>
      </c>
      <c r="V20" s="2892"/>
      <c r="W20" s="2892" t="s">
        <v>3709</v>
      </c>
      <c r="X20" s="2892"/>
      <c r="Y20" s="2892"/>
      <c r="Z20" s="2892"/>
      <c r="AA20" s="2892"/>
      <c r="AB20" s="2892"/>
      <c r="AC20" s="2892"/>
      <c r="AD20" s="2892"/>
      <c r="AE20" s="2892">
        <f ca="1">'收益法-车库'!B2/'数据-取费表'!AE19</f>
        <v>9.9708019131882022</v>
      </c>
      <c r="AF20" s="2892"/>
      <c r="AG20" s="2892"/>
      <c r="AH20" s="2892"/>
      <c r="AI20" s="2892"/>
      <c r="AJ20" s="2892"/>
      <c r="AK20" s="2892"/>
      <c r="AL20" s="2892"/>
      <c r="AM20" s="2892"/>
      <c r="AN20" s="2892"/>
      <c r="AO20" s="2892"/>
      <c r="AP20" s="2892"/>
      <c r="AQ20" s="2892"/>
      <c r="AR20" s="2892"/>
    </row>
    <row r="21" spans="1:67" ht="14.4">
      <c r="A21" s="1902" t="s">
        <v>1896</v>
      </c>
      <c r="B21" s="109">
        <v>1.4</v>
      </c>
      <c r="C21" s="2894"/>
      <c r="D21" s="2897"/>
      <c r="E21" s="2894"/>
      <c r="F21" s="2894"/>
      <c r="G21" s="2894"/>
      <c r="H21" s="2894"/>
      <c r="I21" s="2894"/>
      <c r="J21" s="2894"/>
      <c r="K21" s="2893"/>
      <c r="L21" s="2893"/>
      <c r="M21" s="2892"/>
      <c r="N21" s="2892"/>
      <c r="O21" s="2892"/>
      <c r="P21" s="2892"/>
      <c r="Q21" s="2892"/>
      <c r="R21" s="2892"/>
      <c r="S21" s="2892"/>
      <c r="T21" s="3086" t="s">
        <v>3702</v>
      </c>
      <c r="U21" s="2892">
        <f>U20*0.5</f>
        <v>3</v>
      </c>
      <c r="V21" s="2892" t="s">
        <v>3703</v>
      </c>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4">
      <c r="A22" s="1901" t="s">
        <v>1897</v>
      </c>
      <c r="B22" s="110">
        <f>B19+B20</f>
        <v>2</v>
      </c>
      <c r="C22" s="2894"/>
      <c r="D22" s="2897"/>
      <c r="E22" s="2894"/>
      <c r="F22" s="2894"/>
      <c r="G22" s="2894"/>
      <c r="H22" s="2894"/>
      <c r="I22" s="2894"/>
      <c r="J22" s="2894"/>
      <c r="K22" s="2893"/>
      <c r="L22" s="2893"/>
      <c r="M22" s="2892"/>
      <c r="N22" s="2892"/>
      <c r="O22" s="2892"/>
      <c r="P22" s="2892"/>
      <c r="Q22" s="2892"/>
      <c r="R22" s="2892"/>
      <c r="S22" s="2892"/>
      <c r="T22" s="3086" t="s">
        <v>3704</v>
      </c>
      <c r="U22" s="2892">
        <f>U20*0.6</f>
        <v>3.5999999999999996</v>
      </c>
      <c r="V22" s="2892" t="s">
        <v>3705</v>
      </c>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4">
      <c r="A23" s="1902" t="s">
        <v>1898</v>
      </c>
      <c r="B23" s="110">
        <f>B19+B21</f>
        <v>1.4</v>
      </c>
      <c r="C23" s="2894"/>
      <c r="D23" s="2897"/>
      <c r="E23" s="2894"/>
      <c r="F23" s="2894"/>
      <c r="G23" s="2894"/>
      <c r="H23" s="2894"/>
      <c r="I23" s="2894"/>
      <c r="J23" s="2894"/>
      <c r="K23" s="2893"/>
      <c r="L23" s="2893"/>
      <c r="M23" s="2892"/>
      <c r="N23" s="2892"/>
      <c r="O23" s="2892"/>
      <c r="P23" s="2892"/>
      <c r="Q23" s="2892"/>
      <c r="R23" s="2892"/>
      <c r="S23" s="2892"/>
      <c r="T23" s="3086" t="s">
        <v>3711</v>
      </c>
      <c r="U23" s="3088" t="s">
        <v>3710</v>
      </c>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1899</v>
      </c>
      <c r="B24" s="111">
        <f>B20-B21</f>
        <v>0.60000000000000009</v>
      </c>
      <c r="C24" s="2894"/>
      <c r="D24" s="2897"/>
      <c r="E24" s="2894"/>
      <c r="F24" s="2894"/>
      <c r="G24" s="2894"/>
      <c r="H24" s="2894"/>
      <c r="I24" s="2894"/>
      <c r="J24" s="2894"/>
      <c r="K24" s="2893"/>
      <c r="L24" s="2893"/>
      <c r="M24" s="2892"/>
      <c r="N24" s="2892"/>
      <c r="O24" s="2892"/>
      <c r="P24" s="2892"/>
      <c r="Q24" s="2892"/>
      <c r="R24" s="2892"/>
      <c r="S24" s="2892"/>
      <c r="T24" s="3086"/>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4.4"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1900</v>
      </c>
      <c r="B26" s="1904" t="s">
        <v>1901</v>
      </c>
      <c r="C26" s="2898" t="s">
        <v>1902</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8.8">
      <c r="A27" s="1905" t="s">
        <v>1903</v>
      </c>
      <c r="B27" s="112">
        <v>160</v>
      </c>
      <c r="C27" s="3024" t="s">
        <v>3045</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8.8">
      <c r="A28" s="1907" t="s">
        <v>1904</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9.4" thickBot="1">
      <c r="A29" s="1908" t="s">
        <v>1905</v>
      </c>
      <c r="B29" s="117">
        <f>ROUND(B28*K16/10000,0)</f>
        <v>3676</v>
      </c>
      <c r="C29" s="3025" t="s">
        <v>3032</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8.8">
      <c r="A30" s="1909" t="s">
        <v>1906</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8.8">
      <c r="A31" s="1907" t="s">
        <v>1907</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9.4" thickBot="1">
      <c r="A32" s="1910" t="s">
        <v>1908</v>
      </c>
      <c r="B32" s="681">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4">
      <c r="A33" s="1905" t="s">
        <v>1909</v>
      </c>
      <c r="B33" s="682">
        <v>0.03</v>
      </c>
      <c r="C33" s="3026" t="s">
        <v>3033</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4">
      <c r="A34" s="1907" t="s">
        <v>1910</v>
      </c>
      <c r="B34" s="118">
        <v>0</v>
      </c>
      <c r="C34" s="3026" t="s">
        <v>3034</v>
      </c>
      <c r="D34" s="2905" t="s">
        <v>3042</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4">
      <c r="A35" s="1907" t="s">
        <v>1911</v>
      </c>
      <c r="B35" s="115">
        <v>200</v>
      </c>
      <c r="C35" s="3026" t="s">
        <v>3035</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6" t="s">
        <v>3036</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4">
      <c r="A37" s="1909" t="s">
        <v>1913</v>
      </c>
      <c r="B37" s="120">
        <v>0.02</v>
      </c>
      <c r="C37" s="3026" t="s">
        <v>3037</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4">
      <c r="A38" s="1907" t="s">
        <v>1914</v>
      </c>
      <c r="B38" s="118">
        <v>0.02</v>
      </c>
      <c r="C38" s="3026" t="s">
        <v>3037</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4">
      <c r="A39" s="1910" t="s">
        <v>1915</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8.2" thickBot="1">
      <c r="A40" s="3038" t="s">
        <v>3591</v>
      </c>
      <c r="B40" s="1204">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4">
      <c r="A41" s="1905" t="s">
        <v>1916</v>
      </c>
      <c r="B41" s="121">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4">
      <c r="A42" s="1911" t="s">
        <v>1917</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4">
      <c r="A43" s="1911" t="s">
        <v>1918</v>
      </c>
      <c r="B43" s="123">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4">
      <c r="A44" s="1912" t="s">
        <v>1919</v>
      </c>
      <c r="B44" s="124">
        <v>0.05</v>
      </c>
      <c r="C44" s="3026" t="s">
        <v>3046</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4">
      <c r="A45" s="1912" t="s">
        <v>1920</v>
      </c>
      <c r="B45" s="122">
        <v>0.03</v>
      </c>
      <c r="C45" s="3025" t="s">
        <v>3038</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4">
      <c r="A46" s="1912" t="s">
        <v>1921</v>
      </c>
      <c r="B46" s="122">
        <v>0.02</v>
      </c>
      <c r="C46" s="3025" t="s">
        <v>3039</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1922</v>
      </c>
      <c r="B47" s="125"/>
      <c r="C47" s="3028" t="s">
        <v>3047</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4">
      <c r="A48" s="1914" t="s">
        <v>1923</v>
      </c>
      <c r="B48" s="126">
        <v>0.03</v>
      </c>
      <c r="C48" s="3025" t="s">
        <v>3038</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1924</v>
      </c>
      <c r="B49" s="122">
        <v>5.0000000000000001E-4</v>
      </c>
      <c r="C49" s="3025" t="s">
        <v>3040</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4">
      <c r="A50" s="1915" t="s">
        <v>1925</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1926</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4">
      <c r="A52" s="1915" t="s">
        <v>1927</v>
      </c>
      <c r="B52" s="129">
        <f>SUMIF(A54:A63,B53,B54:B63)</f>
        <v>1.5</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8.8">
      <c r="A53" s="1907" t="s">
        <v>1928</v>
      </c>
      <c r="B53" s="1916" t="s">
        <v>56</v>
      </c>
      <c r="C53" s="2880" t="s">
        <v>1929</v>
      </c>
      <c r="D53" s="3027" t="s">
        <v>3044</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4">
      <c r="A54" s="1917" t="s">
        <v>1930</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4">
      <c r="A55" s="1917" t="s">
        <v>1931</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4">
      <c r="A56" s="1917" t="s">
        <v>1932</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4">
      <c r="A57" s="1917" t="s">
        <v>1933</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4">
      <c r="A58" s="1917" t="s">
        <v>1934</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4">
      <c r="A59" s="1917" t="s">
        <v>1935</v>
      </c>
      <c r="B59" s="3091">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4">
      <c r="A60" s="1917" t="s">
        <v>1936</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4">
      <c r="A61" s="1917" t="s">
        <v>1937</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4">
      <c r="A62" s="1917" t="s">
        <v>1938</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1939</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4" customWidth="1"/>
    <col min="2" max="2" width="24.44140625" style="1750" customWidth="1"/>
    <col min="3" max="3" width="24.44140625" style="2728" customWidth="1"/>
    <col min="4" max="4" width="2.6640625" style="2728" customWidth="1"/>
    <col min="5" max="5" width="5.88671875" style="2728" customWidth="1"/>
    <col min="6" max="6" width="27" style="1750" customWidth="1"/>
    <col min="7" max="7" width="27" style="2729" customWidth="1"/>
    <col min="8" max="8" width="11.88671875" style="2709" customWidth="1"/>
    <col min="9" max="9" width="16.77734375" style="2710" customWidth="1"/>
    <col min="10" max="10" width="2.6640625" style="2709" customWidth="1"/>
    <col min="11" max="11" width="11.88671875" style="2709" customWidth="1"/>
    <col min="12" max="12" width="16.77734375" style="2710" customWidth="1"/>
    <col min="13" max="13" width="2.6640625" style="2709" customWidth="1"/>
    <col min="14" max="14" width="11.88671875" style="2709" customWidth="1"/>
    <col min="15" max="15" width="16.77734375" style="2710" customWidth="1"/>
    <col min="16" max="16" width="2.6640625" style="2709" customWidth="1"/>
    <col min="17" max="17" width="11.88671875" style="2709" customWidth="1"/>
    <col min="18" max="18" width="16.77734375" style="2711" customWidth="1"/>
    <col min="19" max="29" width="9" style="901"/>
    <col min="30" max="16384" width="9" style="1864"/>
  </cols>
  <sheetData>
    <row r="1" spans="1:29" s="2675" customFormat="1" ht="18" thickBot="1">
      <c r="A1" s="3184" t="s">
        <v>3024</v>
      </c>
      <c r="B1" s="3185"/>
      <c r="C1" s="3185"/>
      <c r="D1" s="3185"/>
      <c r="E1" s="3185"/>
      <c r="F1" s="3185"/>
      <c r="G1" s="318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4.4" thickBot="1">
      <c r="A2" s="2676"/>
      <c r="B2" s="2677"/>
      <c r="C2" s="2678" t="s">
        <v>3019</v>
      </c>
      <c r="D2" s="2679"/>
      <c r="E2" s="2676"/>
      <c r="F2" s="2680"/>
      <c r="G2" s="2678" t="s">
        <v>3020</v>
      </c>
      <c r="H2" s="901"/>
      <c r="I2" s="901"/>
      <c r="J2" s="901"/>
      <c r="K2" s="901"/>
      <c r="L2" s="901"/>
      <c r="M2" s="901"/>
      <c r="N2" s="901"/>
      <c r="O2" s="901"/>
      <c r="P2" s="901"/>
      <c r="Q2" s="901"/>
      <c r="R2" s="901"/>
    </row>
    <row r="3" spans="1:29" ht="48">
      <c r="A3" s="2659" t="s">
        <v>3021</v>
      </c>
      <c r="B3" s="2681" t="s">
        <v>2990</v>
      </c>
      <c r="C3" s="2682" t="s">
        <v>3022</v>
      </c>
      <c r="D3" s="2683"/>
      <c r="E3" s="2660" t="s">
        <v>3021</v>
      </c>
      <c r="F3" s="2684" t="s">
        <v>2991</v>
      </c>
      <c r="G3" s="2685" t="s">
        <v>3023</v>
      </c>
      <c r="H3" s="901"/>
      <c r="I3" s="901"/>
      <c r="J3" s="901"/>
      <c r="K3" s="901"/>
      <c r="L3" s="901"/>
      <c r="M3" s="901"/>
      <c r="N3" s="901"/>
      <c r="O3" s="901"/>
      <c r="P3" s="901"/>
      <c r="Q3" s="901"/>
      <c r="R3" s="901"/>
    </row>
    <row r="4" spans="1:29" ht="37.200000000000003">
      <c r="A4" s="2660"/>
      <c r="B4" s="329" t="s">
        <v>2992</v>
      </c>
      <c r="C4" s="2686" t="s">
        <v>2993</v>
      </c>
      <c r="D4" s="2683"/>
      <c r="E4" s="2687"/>
      <c r="F4" s="1550" t="s">
        <v>2994</v>
      </c>
      <c r="G4" s="2688" t="s">
        <v>2995</v>
      </c>
      <c r="H4" s="901"/>
      <c r="I4" s="901"/>
      <c r="J4" s="901"/>
      <c r="K4" s="901"/>
      <c r="L4" s="901"/>
      <c r="M4" s="901"/>
      <c r="N4" s="901"/>
      <c r="O4" s="901"/>
      <c r="P4" s="901"/>
      <c r="Q4" s="901"/>
      <c r="R4" s="901"/>
    </row>
    <row r="5" spans="1:29" ht="37.200000000000003">
      <c r="A5" s="2660"/>
      <c r="B5" s="329" t="s">
        <v>2996</v>
      </c>
      <c r="C5" s="2686" t="s">
        <v>2997</v>
      </c>
      <c r="D5" s="2683"/>
      <c r="E5" s="2687"/>
      <c r="F5" s="329" t="s">
        <v>2998</v>
      </c>
      <c r="G5" s="2688" t="s">
        <v>2999</v>
      </c>
      <c r="H5" s="901"/>
      <c r="I5" s="901"/>
      <c r="J5" s="901"/>
      <c r="K5" s="901"/>
      <c r="L5" s="901"/>
      <c r="M5" s="901"/>
      <c r="N5" s="901"/>
      <c r="O5" s="901"/>
      <c r="P5" s="901"/>
      <c r="Q5" s="901"/>
      <c r="R5" s="901"/>
    </row>
    <row r="6" spans="1:29" ht="48">
      <c r="A6" s="2660"/>
      <c r="B6" s="329" t="s">
        <v>3000</v>
      </c>
      <c r="C6" s="2688" t="s">
        <v>2995</v>
      </c>
      <c r="D6" s="2683"/>
      <c r="E6" s="2687"/>
      <c r="F6" s="329" t="s">
        <v>3001</v>
      </c>
      <c r="G6" s="2688" t="s">
        <v>3002</v>
      </c>
      <c r="H6" s="901"/>
      <c r="I6" s="901"/>
      <c r="J6" s="901"/>
      <c r="K6" s="901"/>
      <c r="L6" s="901"/>
      <c r="M6" s="901"/>
      <c r="N6" s="901"/>
      <c r="O6" s="901"/>
      <c r="P6" s="901"/>
      <c r="Q6" s="901"/>
      <c r="R6" s="901"/>
    </row>
    <row r="7" spans="1:29" ht="36.6" thickBot="1">
      <c r="A7" s="2660"/>
      <c r="B7" s="329" t="s">
        <v>2998</v>
      </c>
      <c r="C7" s="2688" t="s">
        <v>2999</v>
      </c>
      <c r="D7" s="2689"/>
      <c r="E7" s="2690"/>
      <c r="F7" s="2691" t="s">
        <v>3003</v>
      </c>
      <c r="G7" s="2692" t="s">
        <v>3004</v>
      </c>
      <c r="H7" s="901"/>
      <c r="I7" s="901"/>
      <c r="J7" s="901"/>
      <c r="K7" s="901"/>
      <c r="L7" s="901"/>
      <c r="M7" s="901"/>
      <c r="N7" s="901"/>
      <c r="O7" s="901"/>
      <c r="P7" s="901"/>
      <c r="Q7" s="901"/>
      <c r="R7" s="901"/>
    </row>
    <row r="8" spans="1:29" ht="24">
      <c r="A8" s="2660"/>
      <c r="B8" s="329" t="s">
        <v>3001</v>
      </c>
      <c r="C8" s="2688" t="s">
        <v>3002</v>
      </c>
      <c r="D8" s="2689"/>
      <c r="E8" s="2689"/>
      <c r="F8" s="2693"/>
      <c r="G8" s="2693"/>
      <c r="H8" s="901"/>
      <c r="I8" s="901"/>
      <c r="J8" s="901"/>
      <c r="K8" s="901"/>
      <c r="L8" s="901"/>
      <c r="M8" s="901"/>
      <c r="N8" s="901"/>
      <c r="O8" s="901"/>
      <c r="P8" s="901"/>
      <c r="Q8" s="901"/>
      <c r="R8" s="901"/>
    </row>
    <row r="9" spans="1:29" ht="24">
      <c r="A9" s="2660"/>
      <c r="B9" s="329" t="s">
        <v>3005</v>
      </c>
      <c r="C9" s="2686" t="s">
        <v>3006</v>
      </c>
      <c r="D9" s="2683"/>
      <c r="E9" s="2689"/>
      <c r="F9" s="2693"/>
      <c r="G9" s="2693"/>
      <c r="H9" s="901"/>
      <c r="I9" s="901"/>
      <c r="J9" s="901"/>
      <c r="K9" s="901"/>
      <c r="L9" s="901"/>
      <c r="M9" s="901"/>
      <c r="N9" s="901"/>
      <c r="O9" s="901"/>
      <c r="P9" s="901"/>
      <c r="Q9" s="901"/>
      <c r="R9" s="901"/>
    </row>
    <row r="10" spans="1:29" s="2699" customFormat="1" ht="14.4" thickBot="1">
      <c r="A10" s="2661"/>
      <c r="B10" s="2694" t="s">
        <v>3007</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7.399999999999999">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 thickBot="1">
      <c r="A13" s="2708" t="s">
        <v>3025</v>
      </c>
      <c r="B13" s="2702"/>
      <c r="C13" s="2702"/>
      <c r="D13" s="2700"/>
      <c r="E13" s="2702"/>
      <c r="F13" s="2702"/>
      <c r="G13" s="2702"/>
    </row>
    <row r="14" spans="1:29" ht="14.4" thickBot="1">
      <c r="A14" s="2712"/>
      <c r="B14" s="2712"/>
      <c r="C14" s="2713" t="s">
        <v>3008</v>
      </c>
      <c r="D14" s="2683"/>
      <c r="E14" s="2714"/>
      <c r="F14" s="2714"/>
      <c r="G14" s="2678" t="s">
        <v>3009</v>
      </c>
    </row>
    <row r="15" spans="1:29" ht="52.8">
      <c r="A15" s="2662" t="s">
        <v>3010</v>
      </c>
      <c r="B15" s="2715" t="s">
        <v>2990</v>
      </c>
      <c r="C15" s="2716" t="str">
        <f>C3</f>
        <v>估价对象周边居住用地比例、居住小区规模和社区发展完善程度，综合评价居住社区成熟度一般</v>
      </c>
      <c r="D15" s="2683"/>
      <c r="E15" s="2663" t="s">
        <v>3011</v>
      </c>
      <c r="F15" s="2715" t="s">
        <v>3012</v>
      </c>
      <c r="G15" s="2717" t="str">
        <f>G3</f>
        <v>估价对象位于XX开发区，园区建设成熟度XX，产业集聚程度XX</v>
      </c>
    </row>
    <row r="16" spans="1:29" ht="39.6">
      <c r="A16" s="2664"/>
      <c r="B16" s="2718" t="s">
        <v>2992</v>
      </c>
      <c r="C16" s="2719" t="str">
        <f>C4</f>
        <v>估价对象位于XX商圈，周边商业氛围成熟，人流量大，商业繁华度好</v>
      </c>
      <c r="D16" s="2683"/>
      <c r="E16" s="2665"/>
      <c r="F16" s="2720" t="s">
        <v>2994</v>
      </c>
      <c r="G16" s="2721" t="str">
        <f>G4</f>
        <v>估价对象周边道路状况、公共交通通达情况、停车便捷程度，综合评价交通便捷度较好</v>
      </c>
    </row>
    <row r="17" spans="1:18" ht="39.6">
      <c r="A17" s="2664"/>
      <c r="B17" s="2718" t="s">
        <v>2996</v>
      </c>
      <c r="C17" s="2719" t="str">
        <f>C5</f>
        <v>估价对象位于XX商圈，周边办公楼项目较多，入驻率高，办公集聚程度较好</v>
      </c>
      <c r="D17" s="2689"/>
      <c r="E17" s="2665"/>
      <c r="F17" s="2720" t="s">
        <v>3013</v>
      </c>
      <c r="G17" s="2722"/>
    </row>
    <row r="18" spans="1:18" ht="52.8">
      <c r="A18" s="2664"/>
      <c r="B18" s="2720" t="s">
        <v>3000</v>
      </c>
      <c r="C18" s="2721" t="str">
        <f>C6</f>
        <v>估价对象周边道路状况、公共交通通达情况、停车便捷程度，综合评价交通便捷度较好</v>
      </c>
      <c r="D18" s="2689"/>
      <c r="E18" s="2665"/>
      <c r="F18" s="2720" t="s">
        <v>3003</v>
      </c>
      <c r="G18" s="2721" t="str">
        <f>G7</f>
        <v>该园区内是否有污染型企业，绿化情况，卫生条件，整体环境状况判断</v>
      </c>
    </row>
    <row r="19" spans="1:18" ht="26.4">
      <c r="A19" s="2664"/>
      <c r="B19" s="2720" t="s">
        <v>3014</v>
      </c>
      <c r="C19" s="2722"/>
      <c r="D19" s="2683"/>
      <c r="E19" s="2665"/>
      <c r="F19" s="329" t="s">
        <v>2998</v>
      </c>
      <c r="G19" s="2721" t="str">
        <f>G5</f>
        <v>估价对象所在区域公共配套设施齐备情况</v>
      </c>
    </row>
    <row r="20" spans="1:18" ht="26.4">
      <c r="A20" s="2664"/>
      <c r="B20" s="2720" t="s">
        <v>3015</v>
      </c>
      <c r="C20" s="2719" t="str">
        <f>C9</f>
        <v>区域自然环境：；人文环境；综合评价环境状况一般</v>
      </c>
      <c r="D20" s="2689"/>
      <c r="E20" s="2665"/>
      <c r="F20" s="329" t="s">
        <v>3001</v>
      </c>
      <c r="G20" s="2721" t="str">
        <f>G6</f>
        <v>估价对象所在区域基础设施水平</v>
      </c>
    </row>
    <row r="21" spans="1:18" ht="26.4">
      <c r="A21" s="2664"/>
      <c r="B21" s="329" t="s">
        <v>2998</v>
      </c>
      <c r="C21" s="2721" t="str">
        <f>C7</f>
        <v>估价对象所在区域公共配套设施齐备情况</v>
      </c>
      <c r="D21" s="2683"/>
      <c r="E21" s="2665"/>
      <c r="F21" s="2720" t="s">
        <v>3016</v>
      </c>
      <c r="G21" s="2723"/>
    </row>
    <row r="22" spans="1:18" ht="13.5" customHeight="1">
      <c r="A22" s="2664"/>
      <c r="B22" s="329" t="s">
        <v>3001</v>
      </c>
      <c r="C22" s="2721" t="str">
        <f>C8</f>
        <v>估价对象所在区域基础设施水平</v>
      </c>
      <c r="D22" s="2683"/>
      <c r="E22" s="2665"/>
      <c r="F22" s="2720" t="s">
        <v>3007</v>
      </c>
      <c r="G22" s="2722"/>
    </row>
    <row r="23" spans="1:18" s="901" customFormat="1" ht="14.4" thickBot="1">
      <c r="A23" s="2664"/>
      <c r="B23" s="2720" t="s">
        <v>3016</v>
      </c>
      <c r="C23" s="2723"/>
      <c r="D23" s="1919"/>
      <c r="E23" s="2666"/>
      <c r="F23" s="2724" t="s">
        <v>3017</v>
      </c>
      <c r="G23" s="2725"/>
      <c r="H23" s="2709"/>
      <c r="I23" s="2710"/>
      <c r="J23" s="2709"/>
      <c r="K23" s="2709"/>
      <c r="L23" s="2710"/>
      <c r="M23" s="2709"/>
      <c r="N23" s="2709"/>
      <c r="O23" s="2710"/>
      <c r="P23" s="2709"/>
      <c r="Q23" s="2709"/>
      <c r="R23" s="2711"/>
    </row>
    <row r="24" spans="1:18" s="901" customFormat="1" ht="14.4" thickBot="1">
      <c r="A24" s="2667"/>
      <c r="B24" s="2724" t="s">
        <v>3018</v>
      </c>
      <c r="C24" s="2726">
        <f>C10</f>
        <v>0</v>
      </c>
      <c r="D24" s="1919"/>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1" customWidth="1"/>
    <col min="2" max="9" width="15.77734375" style="2731" customWidth="1"/>
    <col min="10" max="16384" width="9" style="2731"/>
  </cols>
  <sheetData>
    <row r="1" spans="1:11" ht="16.2">
      <c r="A1" s="2730" t="s">
        <v>1331</v>
      </c>
      <c r="B1" s="2730">
        <f>SUM(B14:B23)</f>
        <v>183777.08000000002</v>
      </c>
      <c r="C1" s="2907"/>
      <c r="D1" s="2907"/>
      <c r="E1" s="2907"/>
      <c r="F1" s="2907"/>
      <c r="G1" s="2908"/>
      <c r="H1" s="2909"/>
      <c r="I1" s="2909"/>
      <c r="J1" s="2909"/>
      <c r="K1" s="2909"/>
    </row>
    <row r="2" spans="1:11" ht="16.2">
      <c r="A2" s="2730" t="s">
        <v>1319</v>
      </c>
      <c r="B2" s="2730">
        <f>SUM(C14:C23)</f>
        <v>27615.81</v>
      </c>
      <c r="C2" s="2907"/>
      <c r="D2" s="2907"/>
      <c r="E2" s="2907"/>
      <c r="F2" s="2907"/>
      <c r="G2" s="2908"/>
      <c r="H2" s="2909"/>
      <c r="I2" s="2909"/>
      <c r="J2" s="2909"/>
      <c r="K2" s="2909"/>
    </row>
    <row r="3" spans="1:11" ht="15.6">
      <c r="A3" s="2730" t="s">
        <v>1328</v>
      </c>
      <c r="B3" s="2732">
        <f>项目基本情况!D3</f>
        <v>44397</v>
      </c>
      <c r="C3" s="2907"/>
      <c r="D3" s="2907"/>
      <c r="E3" s="2907"/>
      <c r="F3" s="2907"/>
      <c r="G3" s="2908"/>
      <c r="H3" s="2909"/>
      <c r="I3" s="2909"/>
      <c r="J3" s="2909"/>
      <c r="K3" s="2909"/>
    </row>
    <row r="4" spans="1:11" ht="31.2">
      <c r="A4" s="2730" t="s">
        <v>1327</v>
      </c>
      <c r="B4" s="2730" t="s">
        <v>1326</v>
      </c>
      <c r="C4" s="2730" t="s">
        <v>1325</v>
      </c>
      <c r="D4" s="2730" t="s">
        <v>1324</v>
      </c>
      <c r="E4" s="2907"/>
      <c r="F4" s="2908"/>
      <c r="G4" s="2908"/>
      <c r="H4" s="2909"/>
      <c r="I4" s="2909"/>
      <c r="J4" s="2909"/>
      <c r="K4" s="2909"/>
    </row>
    <row r="5" spans="1:11" ht="15.6">
      <c r="A5" s="2730" t="s">
        <v>1323</v>
      </c>
      <c r="B5" s="2730">
        <f ca="1">SUM(D14:D23)</f>
        <v>315122</v>
      </c>
      <c r="C5" s="2730">
        <f ca="1">ROUND(B5*10000/$B$1,0)</f>
        <v>17147</v>
      </c>
      <c r="D5" s="2730">
        <f ca="1">ROUND(B5*10000/$B$2,0)</f>
        <v>114109</v>
      </c>
      <c r="E5" s="2907"/>
      <c r="F5" s="2908"/>
      <c r="G5" s="2908"/>
      <c r="H5" s="2909"/>
      <c r="I5" s="2909"/>
      <c r="J5" s="2909"/>
      <c r="K5" s="2909"/>
    </row>
    <row r="6" spans="1:11" ht="15.6">
      <c r="A6" s="2730" t="s">
        <v>1322</v>
      </c>
      <c r="B6" s="2730">
        <f ca="1">SUM(G14:G23)</f>
        <v>315122</v>
      </c>
      <c r="C6" s="2730">
        <f ca="1">ROUND(B6*10000/$B$1,0)</f>
        <v>17147</v>
      </c>
      <c r="D6" s="2730">
        <f ca="1">ROUND(B6*10000/$B$2,0)</f>
        <v>114109</v>
      </c>
      <c r="E6" s="2907"/>
      <c r="F6" s="2908"/>
      <c r="G6" s="2908"/>
      <c r="H6" s="2909"/>
      <c r="I6" s="2909"/>
      <c r="J6" s="2909"/>
      <c r="K6" s="2909"/>
    </row>
    <row r="7" spans="1:11" ht="15.6">
      <c r="A7" s="2730" t="s">
        <v>1330</v>
      </c>
      <c r="B7" s="2730">
        <f>SUM(H14:H23)</f>
        <v>0</v>
      </c>
      <c r="C7" s="2730">
        <f>ROUND(B7*10000/$B$1,0)</f>
        <v>0</v>
      </c>
      <c r="D7" s="2730">
        <f>ROUND(B7*10000/$B$2,0)</f>
        <v>0</v>
      </c>
      <c r="E7" s="2907"/>
      <c r="F7" s="2908"/>
      <c r="G7" s="2908"/>
      <c r="H7" s="2909"/>
      <c r="I7" s="2909"/>
      <c r="J7" s="2909"/>
      <c r="K7" s="2909"/>
    </row>
    <row r="8" spans="1:11" ht="15.6">
      <c r="A8" s="2730" t="s">
        <v>1252</v>
      </c>
      <c r="B8" s="2730">
        <f>SUM(I14:I23)</f>
        <v>0</v>
      </c>
      <c r="C8" s="2730">
        <f>ROUND(B8*10000/$B$1,0)</f>
        <v>0</v>
      </c>
      <c r="D8" s="2730">
        <f>ROUND(B8*10000/$B$2,0)</f>
        <v>0</v>
      </c>
      <c r="E8" s="2907"/>
      <c r="F8" s="2908"/>
      <c r="G8" s="2908"/>
      <c r="H8" s="2909"/>
      <c r="I8" s="2909"/>
      <c r="J8" s="2909"/>
      <c r="K8" s="2909"/>
    </row>
    <row r="9" spans="1:11" ht="15.6">
      <c r="A9" s="2730" t="s">
        <v>1321</v>
      </c>
      <c r="B9" s="2738"/>
      <c r="C9" s="2907"/>
      <c r="D9" s="2907"/>
      <c r="E9" s="2907"/>
      <c r="F9" s="2908"/>
      <c r="G9" s="2908"/>
      <c r="H9" s="2909"/>
      <c r="I9" s="2909"/>
      <c r="J9" s="2909"/>
      <c r="K9" s="2909"/>
    </row>
    <row r="10" spans="1:11" ht="15.6">
      <c r="A10" s="2730" t="s">
        <v>1320</v>
      </c>
      <c r="B10" s="2738"/>
      <c r="C10" s="2907"/>
      <c r="D10" s="2907"/>
      <c r="E10" s="2907"/>
      <c r="F10" s="2908"/>
      <c r="G10" s="2908"/>
      <c r="H10" s="2909"/>
      <c r="I10" s="2909"/>
      <c r="J10" s="2909"/>
      <c r="K10" s="2909"/>
    </row>
    <row r="11" spans="1:11" ht="15.6">
      <c r="A11" s="2730" t="s">
        <v>1336</v>
      </c>
      <c r="B11" s="2738"/>
      <c r="C11" s="2907"/>
      <c r="D11" s="2907"/>
      <c r="E11" s="2907"/>
      <c r="F11" s="2908"/>
      <c r="G11" s="2908"/>
      <c r="H11" s="2909"/>
      <c r="I11" s="2909"/>
      <c r="J11" s="2909"/>
      <c r="K11" s="2909"/>
    </row>
    <row r="12" spans="1:11" ht="15.6">
      <c r="A12" s="2907"/>
      <c r="B12" s="2907"/>
      <c r="C12" s="2907"/>
      <c r="D12" s="2907"/>
      <c r="E12" s="2907"/>
      <c r="F12" s="2908"/>
      <c r="G12" s="2908"/>
      <c r="H12" s="2909"/>
      <c r="I12" s="2909"/>
      <c r="J12" s="2909"/>
      <c r="K12" s="2909"/>
    </row>
    <row r="13" spans="1:11" ht="31.8">
      <c r="A13" s="2733" t="s">
        <v>1335</v>
      </c>
      <c r="B13" s="2734" t="s">
        <v>1332</v>
      </c>
      <c r="C13" s="2734" t="s">
        <v>1334</v>
      </c>
      <c r="D13" s="2734" t="s">
        <v>1333</v>
      </c>
      <c r="E13" s="2730" t="s">
        <v>1325</v>
      </c>
      <c r="F13" s="2730" t="s">
        <v>1324</v>
      </c>
      <c r="G13" s="2734" t="s">
        <v>1318</v>
      </c>
      <c r="H13" s="2734" t="s">
        <v>1329</v>
      </c>
      <c r="I13" s="2734" t="s">
        <v>1317</v>
      </c>
      <c r="J13" s="2908"/>
      <c r="K13" s="2909"/>
    </row>
    <row r="14" spans="1:11" ht="15.6">
      <c r="A14" s="2735" t="s">
        <v>1316</v>
      </c>
      <c r="B14" s="2736">
        <f>结果表!B118</f>
        <v>183777.08000000002</v>
      </c>
      <c r="C14" s="2736">
        <f>结果表!C118</f>
        <v>27615.81</v>
      </c>
      <c r="D14" s="2736">
        <f ca="1">结果表!H118</f>
        <v>315122</v>
      </c>
      <c r="E14" s="2736">
        <f ca="1">ROUND(D14*10000/B14,0)</f>
        <v>17147</v>
      </c>
      <c r="F14" s="2736">
        <f ca="1">ROUND(D14*10000/C14,0)</f>
        <v>114109</v>
      </c>
      <c r="G14" s="2736">
        <f ca="1">结果表!D122</f>
        <v>315122</v>
      </c>
      <c r="H14" s="2736" t="str">
        <f>结果表!D124</f>
        <v>——</v>
      </c>
      <c r="I14" s="2736" t="str">
        <f>结果表!D126</f>
        <v>——</v>
      </c>
      <c r="J14" s="2908"/>
      <c r="K14" s="2909"/>
    </row>
    <row r="15" spans="1:11" ht="15.6">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5.6">
      <c r="A16" s="2735" t="s">
        <v>1314</v>
      </c>
      <c r="B16" s="2737"/>
      <c r="C16" s="2737"/>
      <c r="D16" s="2737"/>
      <c r="E16" s="2736" t="e">
        <f t="shared" si="0"/>
        <v>#DIV/0!</v>
      </c>
      <c r="F16" s="2736" t="e">
        <f t="shared" si="1"/>
        <v>#DIV/0!</v>
      </c>
      <c r="G16" s="1493"/>
      <c r="H16" s="1493"/>
      <c r="I16" s="2737"/>
      <c r="J16" s="2909"/>
      <c r="K16" s="2909"/>
    </row>
    <row r="17" spans="1:11" ht="15.6">
      <c r="A17" s="2735" t="s">
        <v>1313</v>
      </c>
      <c r="B17" s="2737"/>
      <c r="C17" s="2737"/>
      <c r="D17" s="2737"/>
      <c r="E17" s="2736" t="e">
        <f t="shared" si="0"/>
        <v>#DIV/0!</v>
      </c>
      <c r="F17" s="2736" t="e">
        <f t="shared" si="1"/>
        <v>#DIV/0!</v>
      </c>
      <c r="G17" s="1493"/>
      <c r="H17" s="1493"/>
      <c r="I17" s="2737"/>
      <c r="J17" s="2909"/>
      <c r="K17" s="2909"/>
    </row>
    <row r="18" spans="1:11" ht="15.6">
      <c r="A18" s="2735" t="s">
        <v>1312</v>
      </c>
      <c r="B18" s="2737"/>
      <c r="C18" s="2737"/>
      <c r="D18" s="2737"/>
      <c r="E18" s="2736" t="e">
        <f t="shared" si="0"/>
        <v>#DIV/0!</v>
      </c>
      <c r="F18" s="2736" t="e">
        <f t="shared" si="1"/>
        <v>#DIV/0!</v>
      </c>
      <c r="G18" s="2737"/>
      <c r="H18" s="2737"/>
      <c r="I18" s="2737"/>
      <c r="J18" s="2909"/>
      <c r="K18" s="2909"/>
    </row>
    <row r="19" spans="1:11" ht="15.6">
      <c r="A19" s="2735" t="s">
        <v>1311</v>
      </c>
      <c r="B19" s="2737"/>
      <c r="C19" s="2737"/>
      <c r="D19" s="2737"/>
      <c r="E19" s="2736" t="e">
        <f t="shared" si="0"/>
        <v>#DIV/0!</v>
      </c>
      <c r="F19" s="2736" t="e">
        <f t="shared" si="1"/>
        <v>#DIV/0!</v>
      </c>
      <c r="G19" s="2737"/>
      <c r="H19" s="2737"/>
      <c r="I19" s="2737"/>
      <c r="J19" s="2909"/>
      <c r="K19" s="2909"/>
    </row>
    <row r="20" spans="1:11" ht="15.6">
      <c r="A20" s="2735" t="s">
        <v>1310</v>
      </c>
      <c r="B20" s="2737"/>
      <c r="C20" s="2737"/>
      <c r="D20" s="2737"/>
      <c r="E20" s="2736" t="e">
        <f t="shared" si="0"/>
        <v>#DIV/0!</v>
      </c>
      <c r="F20" s="2736" t="e">
        <f t="shared" si="1"/>
        <v>#DIV/0!</v>
      </c>
      <c r="G20" s="2737"/>
      <c r="H20" s="2737"/>
      <c r="I20" s="2737"/>
      <c r="J20" s="2909"/>
      <c r="K20" s="2909"/>
    </row>
    <row r="21" spans="1:11" ht="15.6">
      <c r="A21" s="2735" t="s">
        <v>1309</v>
      </c>
      <c r="B21" s="2737"/>
      <c r="C21" s="2737"/>
      <c r="D21" s="2737"/>
      <c r="E21" s="2736" t="e">
        <f t="shared" si="0"/>
        <v>#DIV/0!</v>
      </c>
      <c r="F21" s="2736" t="e">
        <f t="shared" si="1"/>
        <v>#DIV/0!</v>
      </c>
      <c r="G21" s="2737"/>
      <c r="H21" s="2737"/>
      <c r="I21" s="2737"/>
      <c r="J21" s="2909"/>
      <c r="K21" s="2909"/>
    </row>
    <row r="22" spans="1:11" ht="15.6">
      <c r="A22" s="2735" t="s">
        <v>1308</v>
      </c>
      <c r="B22" s="2737"/>
      <c r="C22" s="2737"/>
      <c r="D22" s="2737"/>
      <c r="E22" s="2736" t="e">
        <f t="shared" si="0"/>
        <v>#DIV/0!</v>
      </c>
      <c r="F22" s="2736" t="e">
        <f t="shared" si="1"/>
        <v>#DIV/0!</v>
      </c>
      <c r="G22" s="2737"/>
      <c r="H22" s="2737"/>
      <c r="I22" s="2737"/>
      <c r="J22" s="2909"/>
      <c r="K22" s="2909"/>
    </row>
    <row r="23" spans="1:11" ht="15.6">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F118" sqref="F118:G118"/>
    </sheetView>
  </sheetViews>
  <sheetFormatPr defaultColWidth="12.6640625" defaultRowHeight="21.75" customHeight="1"/>
  <cols>
    <col min="1" max="2" width="12.6640625" style="1931"/>
    <col min="3" max="4" width="12.6640625" style="1931" customWidth="1"/>
    <col min="5" max="9" width="12.6640625" style="1931"/>
    <col min="10" max="11" width="12.6640625" style="734" customWidth="1"/>
    <col min="12" max="12" width="12.6640625" style="734"/>
    <col min="13" max="13" width="14.109375" style="734" bestFit="1" customWidth="1"/>
    <col min="14" max="26" width="12.6640625" style="734"/>
    <col min="27" max="35" width="12.6640625" style="1930"/>
    <col min="36" max="16384" width="12.6640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20" t="str">
        <f>项目基本情况!S2</f>
        <v>北京市房地产</v>
      </c>
      <c r="B2" s="3221"/>
      <c r="C2" s="3221"/>
      <c r="D2" s="3221"/>
      <c r="E2" s="3221"/>
      <c r="F2" s="3221"/>
      <c r="G2" s="3221"/>
      <c r="H2" s="3221"/>
      <c r="I2" s="3222"/>
    </row>
    <row r="3" spans="1:12" ht="13.2">
      <c r="A3" s="3224" t="s">
        <v>1947</v>
      </c>
      <c r="B3" s="3225"/>
      <c r="C3" s="3225"/>
      <c r="D3" s="3225"/>
      <c r="E3" s="3225"/>
      <c r="F3" s="3225"/>
      <c r="G3" s="3225"/>
      <c r="H3" s="3225"/>
      <c r="I3" s="3225"/>
    </row>
    <row r="4" spans="1:12" ht="14.4">
      <c r="A4" s="1932" t="s">
        <v>1948</v>
      </c>
      <c r="B4" s="1933" t="s">
        <v>1949</v>
      </c>
      <c r="C4" s="1934" t="s">
        <v>3589</v>
      </c>
      <c r="D4" s="1934" t="s">
        <v>3590</v>
      </c>
      <c r="E4" s="3226" t="s">
        <v>1950</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3.2">
      <c r="A5" s="3200" t="s">
        <v>1951</v>
      </c>
      <c r="B5" s="3187">
        <v>25</v>
      </c>
      <c r="C5" s="3203"/>
      <c r="D5" s="3223"/>
      <c r="E5" s="136" t="s">
        <v>1952</v>
      </c>
      <c r="F5" s="1935"/>
      <c r="G5" s="1935"/>
      <c r="H5" s="1935"/>
      <c r="I5" s="1550"/>
    </row>
    <row r="6" spans="1:12" ht="13.2">
      <c r="A6" s="3200"/>
      <c r="B6" s="3187"/>
      <c r="C6" s="3204"/>
      <c r="D6" s="3223"/>
      <c r="E6" s="136" t="s">
        <v>1953</v>
      </c>
      <c r="F6" s="1935"/>
      <c r="G6" s="1935"/>
      <c r="H6" s="1935"/>
      <c r="I6" s="1550"/>
    </row>
    <row r="7" spans="1:12" ht="13.2">
      <c r="A7" s="3200"/>
      <c r="B7" s="3187"/>
      <c r="C7" s="3205"/>
      <c r="D7" s="3223"/>
      <c r="E7" s="136" t="s">
        <v>1954</v>
      </c>
      <c r="F7" s="1935"/>
      <c r="G7" s="1935"/>
      <c r="H7" s="1935"/>
      <c r="I7" s="1550"/>
    </row>
    <row r="8" spans="1:12" ht="13.2">
      <c r="A8" s="3200" t="s">
        <v>1955</v>
      </c>
      <c r="B8" s="3187">
        <v>15</v>
      </c>
      <c r="C8" s="3203"/>
      <c r="D8" s="3223"/>
      <c r="E8" s="136" t="s">
        <v>1956</v>
      </c>
      <c r="F8" s="1935"/>
      <c r="G8" s="1935"/>
      <c r="H8" s="1935"/>
      <c r="I8" s="1550"/>
    </row>
    <row r="9" spans="1:12" ht="13.2">
      <c r="A9" s="3200"/>
      <c r="B9" s="3187"/>
      <c r="C9" s="3205"/>
      <c r="D9" s="3223"/>
      <c r="E9" s="136" t="s">
        <v>1957</v>
      </c>
      <c r="F9" s="1935"/>
      <c r="G9" s="1935"/>
      <c r="H9" s="1935"/>
      <c r="I9" s="1550"/>
    </row>
    <row r="10" spans="1:12" ht="13.2">
      <c r="A10" s="3200" t="s">
        <v>1958</v>
      </c>
      <c r="B10" s="3187">
        <v>15</v>
      </c>
      <c r="C10" s="3203"/>
      <c r="D10" s="3223"/>
      <c r="E10" s="136" t="s">
        <v>1959</v>
      </c>
      <c r="F10" s="1935"/>
      <c r="G10" s="1935"/>
      <c r="H10" s="1935"/>
      <c r="I10" s="1550"/>
    </row>
    <row r="11" spans="1:12" ht="13.2">
      <c r="A11" s="3200"/>
      <c r="B11" s="3187"/>
      <c r="C11" s="3205"/>
      <c r="D11" s="3223"/>
      <c r="E11" s="136" t="s">
        <v>1960</v>
      </c>
      <c r="F11" s="1935"/>
      <c r="G11" s="1935"/>
      <c r="H11" s="1935"/>
      <c r="I11" s="1550"/>
    </row>
    <row r="12" spans="1:12" ht="13.2">
      <c r="A12" s="3200" t="s">
        <v>1961</v>
      </c>
      <c r="B12" s="3187">
        <v>15</v>
      </c>
      <c r="C12" s="3203"/>
      <c r="D12" s="3223"/>
      <c r="E12" s="136" t="s">
        <v>1962</v>
      </c>
      <c r="F12" s="1935"/>
      <c r="G12" s="1935"/>
      <c r="H12" s="1935"/>
      <c r="I12" s="1550"/>
    </row>
    <row r="13" spans="1:12" ht="13.2">
      <c r="A13" s="3200"/>
      <c r="B13" s="3187"/>
      <c r="C13" s="3205"/>
      <c r="D13" s="3223"/>
      <c r="E13" s="136" t="s">
        <v>1963</v>
      </c>
      <c r="F13" s="1935"/>
      <c r="G13" s="1935"/>
      <c r="H13" s="1935"/>
      <c r="I13" s="1550"/>
    </row>
    <row r="14" spans="1:12" ht="13.2">
      <c r="A14" s="3200" t="s">
        <v>1964</v>
      </c>
      <c r="B14" s="3187">
        <v>30</v>
      </c>
      <c r="C14" s="3203">
        <v>3</v>
      </c>
      <c r="D14" s="3223">
        <v>7</v>
      </c>
      <c r="E14" s="136" t="s">
        <v>1965</v>
      </c>
      <c r="F14" s="1935"/>
      <c r="G14" s="1935"/>
      <c r="H14" s="1935"/>
      <c r="I14" s="1550"/>
    </row>
    <row r="15" spans="1:12" ht="13.2">
      <c r="A15" s="3200"/>
      <c r="B15" s="3187"/>
      <c r="C15" s="3204"/>
      <c r="D15" s="3223"/>
      <c r="E15" s="136" t="s">
        <v>1966</v>
      </c>
      <c r="F15" s="1935"/>
      <c r="G15" s="1935"/>
      <c r="H15" s="1935"/>
      <c r="I15" s="1550"/>
    </row>
    <row r="16" spans="1:12" ht="13.2">
      <c r="A16" s="3200"/>
      <c r="B16" s="3187"/>
      <c r="C16" s="3205"/>
      <c r="D16" s="3223"/>
      <c r="E16" s="136" t="s">
        <v>1967</v>
      </c>
      <c r="F16" s="1935"/>
      <c r="G16" s="1935"/>
      <c r="H16" s="1935"/>
      <c r="I16" s="1550"/>
    </row>
    <row r="17" spans="1:36" ht="14.4">
      <c r="A17" s="1936" t="s">
        <v>1968</v>
      </c>
      <c r="B17" s="60"/>
      <c r="C17" s="137">
        <f>SUM(C5:C16)</f>
        <v>3</v>
      </c>
      <c r="D17" s="137">
        <f>SUM(D5:D16)</f>
        <v>7</v>
      </c>
      <c r="E17" s="134"/>
      <c r="F17" s="134"/>
      <c r="G17" s="134"/>
      <c r="H17" s="134"/>
      <c r="I17" s="134"/>
      <c r="K17" s="308"/>
      <c r="L17" s="308" t="s">
        <v>1969</v>
      </c>
      <c r="M17" s="308" t="s">
        <v>1970</v>
      </c>
    </row>
    <row r="18" spans="1:36" ht="31.95" customHeight="1" thickBot="1">
      <c r="A18" s="1937" t="s">
        <v>1971</v>
      </c>
      <c r="B18" s="1938"/>
      <c r="C18" s="138">
        <f>ROUND(C17/SUM(C17:D17),2)</f>
        <v>0.3</v>
      </c>
      <c r="D18" s="138">
        <f>1-C18</f>
        <v>0.7</v>
      </c>
      <c r="E18" s="3210" t="s">
        <v>2865</v>
      </c>
      <c r="F18" s="3211"/>
      <c r="G18" s="3211"/>
      <c r="H18" s="3211"/>
      <c r="I18" s="3211"/>
      <c r="K18" s="308" t="s">
        <v>1972</v>
      </c>
      <c r="L18" s="308">
        <f>IF(C1="",'数据-汇总表'!E3,SUMIF(项目类型,C1,'数据-汇总表'!E17:E26)+SUMIF(项目类型,C1,'数据-汇总表'!I17:I26))</f>
        <v>183777.08000000002</v>
      </c>
      <c r="M18" s="308">
        <f>IF(C1="",'数据-汇总表'!E3,SUMIF(项目类型,C1,'数据-汇总表'!E17:E26))</f>
        <v>183777.08000000002</v>
      </c>
    </row>
    <row r="19" spans="1:36" ht="14.4">
      <c r="A19" s="1939" t="s">
        <v>1973</v>
      </c>
      <c r="B19" s="1940" t="s">
        <v>1974</v>
      </c>
      <c r="C19" s="139">
        <f ca="1">SUMIF(INDIRECT("'"&amp;C4&amp;"'"&amp;"!A:A"),结果表!B19,INDIRECT("'"&amp;C4&amp;"'"&amp;"!B:B"))</f>
        <v>393447</v>
      </c>
      <c r="D19" s="140">
        <f ca="1">SUMIF(INDIRECT("'"&amp;D4&amp;"'"&amp;"!A:A"),结果表!B19,INDIRECT("'"&amp;D4&amp;"'"&amp;"!B:B"))</f>
        <v>281554</v>
      </c>
      <c r="E19" s="1939" t="s">
        <v>1975</v>
      </c>
      <c r="F19" s="1940" t="s">
        <v>1974</v>
      </c>
      <c r="G19" s="141">
        <f ca="1">ROUND(C19*$C$18+D19*$D$18,0)</f>
        <v>315122</v>
      </c>
      <c r="H19" s="1941" t="s">
        <v>1976</v>
      </c>
      <c r="I19" s="134"/>
      <c r="K19" s="308" t="s">
        <v>1977</v>
      </c>
      <c r="L19" s="308">
        <f>IF(C1="",'数据-汇总表'!D3,SUMIF(项目类型,C1,'数据-汇总表'!D17:D26)+SUMIF(项目类型,C1,'数据-汇总表'!H17:H27))</f>
        <v>27615.81</v>
      </c>
      <c r="M19" s="308">
        <f>IF(C1="",'数据-汇总表'!D3,SUMIF(项目类型,C1,'数据-汇总表'!D17:D26))</f>
        <v>27615.81</v>
      </c>
    </row>
    <row r="20" spans="1:36" ht="14.4">
      <c r="A20" s="1942"/>
      <c r="B20" s="1151" t="s">
        <v>1978</v>
      </c>
      <c r="C20" s="142">
        <f ca="1">SUMIF(INDIRECT("'"&amp;C4&amp;"'"&amp;"!A:A"),结果表!B20,INDIRECT("'"&amp;C4&amp;"'"&amp;"!B:B"))</f>
        <v>21409</v>
      </c>
      <c r="D20" s="143">
        <f ca="1">SUMIF(INDIRECT("'"&amp;D4&amp;"'"&amp;"!A:A"),结果表!B20,INDIRECT("'"&amp;D4&amp;"'"&amp;"!B:B"))</f>
        <v>15320</v>
      </c>
      <c r="E20" s="1942"/>
      <c r="F20" s="1151" t="s">
        <v>1978</v>
      </c>
      <c r="G20" s="144">
        <f ca="1">ROUND(C20*$C$18+D20*$D$18,0)</f>
        <v>17147</v>
      </c>
      <c r="H20" s="911" t="s">
        <v>1979</v>
      </c>
      <c r="I20" s="134"/>
    </row>
    <row r="21" spans="1:36" ht="15" customHeight="1" thickBot="1">
      <c r="A21" s="931"/>
      <c r="B21" s="1943" t="s">
        <v>1980</v>
      </c>
      <c r="C21" s="728">
        <f ca="1">ROUND(C19*10000/L19,0)</f>
        <v>142472</v>
      </c>
      <c r="D21" s="729">
        <f ca="1">ROUND(D19*10000/L19,0)</f>
        <v>101954</v>
      </c>
      <c r="E21" s="931"/>
      <c r="F21" s="1943" t="s">
        <v>1980</v>
      </c>
      <c r="G21" s="145">
        <f ca="1">ROUND(G19*10000/L19,0)</f>
        <v>114109</v>
      </c>
      <c r="H21" s="1944" t="s">
        <v>1979</v>
      </c>
      <c r="I21" s="134"/>
    </row>
    <row r="22" spans="1:36" ht="15" thickBot="1">
      <c r="A22" s="1866" t="s">
        <v>1981</v>
      </c>
      <c r="B22" s="1945"/>
      <c r="C22" s="1946"/>
      <c r="D22" s="730">
        <f ca="1">IF(C19&lt;D19,D19/C19-1,C19/D19-1)</f>
        <v>0.3974122193256</v>
      </c>
      <c r="E22" s="134"/>
      <c r="F22" s="134"/>
      <c r="G22" s="134"/>
      <c r="H22" s="134"/>
      <c r="I22" s="134"/>
    </row>
    <row r="23" spans="1:36" ht="13.8" thickBot="1">
      <c r="A23" s="1925"/>
      <c r="B23" s="1925"/>
      <c r="C23" s="1925"/>
      <c r="D23" s="1925"/>
      <c r="E23" s="134"/>
      <c r="F23" s="134"/>
      <c r="G23" s="134"/>
      <c r="H23" s="134"/>
      <c r="I23" s="134"/>
      <c r="K23" s="734">
        <f ca="1">G19/假设开发法!C4</f>
        <v>0.8825587094425229</v>
      </c>
    </row>
    <row r="24" spans="1:36" ht="14.4">
      <c r="A24" s="3194" t="s">
        <v>1982</v>
      </c>
      <c r="B24" s="1940" t="s">
        <v>1974</v>
      </c>
      <c r="C24" s="141">
        <f>IF(B30=0,0,D30)</f>
        <v>0</v>
      </c>
      <c r="D24" s="1947"/>
      <c r="E24" s="134"/>
      <c r="F24" s="134"/>
      <c r="G24" s="134"/>
      <c r="H24" s="134"/>
      <c r="I24" s="134"/>
    </row>
    <row r="25" spans="1:36" ht="14.4">
      <c r="A25" s="3195"/>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3.8">
      <c r="A27" s="1949"/>
      <c r="B27" s="147">
        <v>0</v>
      </c>
      <c r="C27" s="147">
        <v>0</v>
      </c>
      <c r="D27" s="148">
        <f>ROUND(C27*B27/10000,0)</f>
        <v>0</v>
      </c>
      <c r="E27" s="134"/>
      <c r="F27" s="134"/>
      <c r="G27" s="134"/>
      <c r="H27" s="134"/>
      <c r="I27" s="134"/>
    </row>
    <row r="28" spans="1:36" ht="13.8">
      <c r="A28" s="1949"/>
      <c r="B28" s="147"/>
      <c r="C28" s="147"/>
      <c r="D28" s="148"/>
      <c r="E28" s="134"/>
      <c r="F28" s="134"/>
      <c r="G28" s="134"/>
      <c r="H28" s="134"/>
      <c r="I28" s="134"/>
    </row>
    <row r="29" spans="1:36" ht="13.8">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 customHeight="1" thickTop="1" thickBot="1">
      <c r="A31" s="2514"/>
      <c r="B31" s="2515"/>
      <c r="C31" s="2515"/>
      <c r="D31" s="2515"/>
      <c r="E31" s="2515"/>
      <c r="F31" s="2515"/>
      <c r="G31" s="2515"/>
      <c r="H31" s="2515"/>
      <c r="I31" s="2516" t="s">
        <v>2867</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5.6" thickTop="1" thickBot="1">
      <c r="A32" s="1951" t="s">
        <v>1988</v>
      </c>
      <c r="B32" s="1952"/>
      <c r="C32" s="149">
        <f ca="1">IF(D32="总价",G19-C24,G20-C25)</f>
        <v>315122</v>
      </c>
      <c r="D32" s="1953" t="s">
        <v>3681</v>
      </c>
      <c r="E32" s="134"/>
      <c r="F32" s="134"/>
      <c r="G32" s="134"/>
      <c r="H32" s="134"/>
      <c r="I32" s="134"/>
    </row>
    <row r="33" spans="1:15" ht="14.4">
      <c r="A33" s="888" t="s">
        <v>1989</v>
      </c>
      <c r="B33" s="1954"/>
      <c r="C33" s="1955" t="s">
        <v>3683</v>
      </c>
      <c r="D33" s="1956" t="s">
        <v>3589</v>
      </c>
      <c r="E33" s="1957" t="s">
        <v>1990</v>
      </c>
      <c r="F33" s="1958" t="str">
        <f>IF(D32="楼面单价","取值（单价）","取值（总价）")</f>
        <v>取值（总价）</v>
      </c>
      <c r="G33" s="134"/>
      <c r="H33" s="134"/>
      <c r="I33" s="134"/>
    </row>
    <row r="34" spans="1:15" ht="14.4">
      <c r="A34" s="1959"/>
      <c r="B34" s="1960" t="s">
        <v>1991</v>
      </c>
      <c r="C34" s="153">
        <f>IF(C33="自定义",F34,C32-C35)</f>
        <v>255232</v>
      </c>
      <c r="D34" s="964">
        <f ca="1">IF(C33="自定义",ROUND(C34/C32,3),IF(C33="收益比率",SUMIF(INDIRECT("'"&amp;D33&amp;"'"&amp;"!b:b"),"土地收益比率",INDIRECT("'"&amp;D33&amp;"'"&amp;"!c:c")),SUMIF(INDIRECT("'"&amp;D33&amp;"'"&amp;"!b:b"),"土地成本比率",INDIRECT("'"&amp;D33&amp;"'"&amp;"!c:c"))))</f>
        <v>0.81</v>
      </c>
      <c r="E34" s="1961" t="s">
        <v>1992</v>
      </c>
      <c r="F34" s="1491">
        <f>'土地比较法-住宅、综合'!B2</f>
        <v>255232</v>
      </c>
      <c r="G34" s="134"/>
      <c r="H34" s="134"/>
      <c r="I34" s="134"/>
    </row>
    <row r="35" spans="1:15" ht="15" thickBot="1">
      <c r="A35" s="1962"/>
      <c r="B35" s="1963" t="s">
        <v>1993</v>
      </c>
      <c r="C35" s="1326">
        <f ca="1">IF(C33="自定义",F35,ROUND(C32*D35,0))</f>
        <v>59890</v>
      </c>
      <c r="D35" s="1327">
        <f ca="1">IF(C33="自定义",ROUND(C35/C32,3),IF(C33="收益比率",SUMIF(INDIRECT("'"&amp;D33&amp;"'"&amp;"!b:b"),"建筑物收益比率",INDIRECT("'"&amp;D33&amp;"'"&amp;"!c:c")),SUMIF(INDIRECT("'"&amp;D33&amp;"'"&amp;"!b:b"),"建筑物成本比率",INDIRECT("'"&amp;D33&amp;"'"&amp;"!c:c"))))</f>
        <v>0.19</v>
      </c>
      <c r="E35" s="1964" t="s">
        <v>1994</v>
      </c>
      <c r="F35" s="159">
        <f ca="1">G19-F34</f>
        <v>59890</v>
      </c>
      <c r="G35" s="134"/>
      <c r="H35" s="134"/>
      <c r="I35" s="134"/>
    </row>
    <row r="36" spans="1:15" ht="15" thickBot="1">
      <c r="A36" s="3214" t="s">
        <v>1995</v>
      </c>
      <c r="B36" s="1965" t="s">
        <v>1996</v>
      </c>
      <c r="C36" s="150"/>
      <c r="D36" s="1966"/>
      <c r="E36" s="1967"/>
      <c r="F36" s="1968"/>
      <c r="G36" s="134"/>
      <c r="H36" s="134"/>
      <c r="I36" s="134"/>
    </row>
    <row r="37" spans="1:15" ht="15" thickBot="1">
      <c r="A37" s="3215"/>
      <c r="B37" s="1852" t="s">
        <v>1997</v>
      </c>
      <c r="C37" s="152"/>
      <c r="D37" s="1295"/>
      <c r="E37" s="1295"/>
      <c r="F37" s="1968"/>
      <c r="G37" s="134"/>
      <c r="H37" s="134"/>
      <c r="I37" s="134"/>
    </row>
    <row r="38" spans="1:15" ht="15" thickBot="1">
      <c r="A38" s="3216"/>
      <c r="B38" s="1969" t="s">
        <v>1998</v>
      </c>
      <c r="C38" s="683"/>
      <c r="D38" s="1970" t="s">
        <v>1999</v>
      </c>
      <c r="E38" s="1295"/>
      <c r="F38" s="1968"/>
      <c r="G38" s="134"/>
      <c r="H38" s="134"/>
      <c r="I38" s="134"/>
    </row>
    <row r="39" spans="1:15" ht="14.4">
      <c r="A39" s="1942" t="s">
        <v>2000</v>
      </c>
      <c r="B39" s="1971" t="s">
        <v>2001</v>
      </c>
      <c r="C39" s="1972" t="s">
        <v>2002</v>
      </c>
      <c r="D39" s="1972" t="s">
        <v>2003</v>
      </c>
      <c r="E39" s="1973" t="s">
        <v>2004</v>
      </c>
      <c r="F39" s="1968"/>
      <c r="G39" s="134"/>
      <c r="H39" s="134"/>
      <c r="I39" s="134"/>
    </row>
    <row r="40" spans="1:15" ht="13.8">
      <c r="A40" s="1974" t="s">
        <v>2005</v>
      </c>
      <c r="B40" s="154"/>
      <c r="C40" s="155"/>
      <c r="D40" s="155"/>
      <c r="E40" s="156"/>
      <c r="F40" s="1968"/>
      <c r="G40" s="134"/>
      <c r="H40" s="134"/>
      <c r="I40" s="134"/>
    </row>
    <row r="41" spans="1:15" ht="13.8">
      <c r="A41" s="1974" t="s">
        <v>2006</v>
      </c>
      <c r="B41" s="154"/>
      <c r="C41" s="155"/>
      <c r="D41" s="155"/>
      <c r="E41" s="156"/>
      <c r="F41" s="1968"/>
      <c r="G41" s="134"/>
      <c r="H41" s="134"/>
      <c r="I41" s="134"/>
    </row>
    <row r="42" spans="1:15" ht="14.4" thickBot="1">
      <c r="A42" s="1975"/>
      <c r="B42" s="157"/>
      <c r="C42" s="158"/>
      <c r="D42" s="158"/>
      <c r="E42" s="159"/>
      <c r="F42" s="1968"/>
      <c r="G42" s="134"/>
      <c r="H42" s="134"/>
      <c r="I42" s="134"/>
    </row>
    <row r="43" spans="1:15" ht="13.2">
      <c r="A43" s="1755"/>
      <c r="B43" s="1755"/>
      <c r="C43" s="1755"/>
      <c r="D43" s="1755"/>
      <c r="E43" s="1755"/>
      <c r="F43" s="1976"/>
      <c r="G43" s="1976"/>
      <c r="H43" s="1976"/>
      <c r="I43" s="1977"/>
    </row>
    <row r="44" spans="1:15" ht="17.399999999999999">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191" t="s">
        <v>2009</v>
      </c>
      <c r="B45" s="3192"/>
      <c r="C45" s="3193"/>
      <c r="D45" s="160">
        <f ca="1">ROUND(H101*F45,0)</f>
        <v>315122</v>
      </c>
      <c r="E45" s="161" t="s">
        <v>2010</v>
      </c>
      <c r="F45" s="162">
        <v>1</v>
      </c>
      <c r="G45" s="163" t="s">
        <v>2011</v>
      </c>
      <c r="H45" s="134"/>
      <c r="I45" s="134"/>
      <c r="J45" s="3272" t="s">
        <v>2012</v>
      </c>
      <c r="K45" s="3272"/>
      <c r="L45" s="3272"/>
      <c r="M45" s="3272"/>
      <c r="N45" s="3272"/>
      <c r="O45" s="3272"/>
    </row>
    <row r="46" spans="1:15" ht="14.25" customHeight="1">
      <c r="A46" s="3188" t="s">
        <v>2013</v>
      </c>
      <c r="B46" s="3189"/>
      <c r="C46" s="3189"/>
      <c r="D46" s="3189"/>
      <c r="E46" s="3189"/>
      <c r="F46" s="3189"/>
      <c r="G46" s="3190"/>
      <c r="H46" s="1984"/>
      <c r="I46" s="164"/>
      <c r="J46" s="2741">
        <v>1</v>
      </c>
      <c r="K46" s="3253" t="s">
        <v>2014</v>
      </c>
      <c r="L46" s="3253"/>
      <c r="M46" s="3273"/>
      <c r="N46" s="3273"/>
      <c r="O46" s="3273"/>
    </row>
    <row r="47" spans="1:15" ht="12" customHeight="1">
      <c r="A47" s="165" t="s">
        <v>2015</v>
      </c>
      <c r="B47" s="166"/>
      <c r="C47" s="167"/>
      <c r="D47" s="1241" t="s">
        <v>2016</v>
      </c>
      <c r="E47" s="308" t="s">
        <v>2017</v>
      </c>
      <c r="F47" s="168" t="s">
        <v>2018</v>
      </c>
      <c r="G47" s="2764" t="s">
        <v>2019</v>
      </c>
      <c r="H47" s="2765"/>
      <c r="I47" s="164"/>
      <c r="J47" s="2741">
        <v>2</v>
      </c>
      <c r="K47" s="3253" t="s">
        <v>2020</v>
      </c>
      <c r="L47" s="3253"/>
      <c r="M47" s="3274">
        <f>'数据-取费表'!B2</f>
        <v>44397</v>
      </c>
      <c r="N47" s="3274"/>
      <c r="O47" s="3274"/>
    </row>
    <row r="48" spans="1:15" ht="26.4">
      <c r="A48" s="3219" t="s">
        <v>2021</v>
      </c>
      <c r="B48" s="3202"/>
      <c r="C48" s="3202"/>
      <c r="D48" s="2539" t="b">
        <f>IF(H48="情况1",0,IF(H48="情况2",D52,IF(H48="情况3",D53,IF(H48="情况4",D54))))</f>
        <v>0</v>
      </c>
      <c r="E48" s="2549" t="str">
        <f>IF(H48="情况4","(销售额-原购置价)×税（费）率","销售额×税（费）率")</f>
        <v>销售额×税（费）率</v>
      </c>
      <c r="F48" s="2766">
        <f>IF(H48="情况1","免征",'数据-取费表'!B41)</f>
        <v>5.5000000000000007E-2</v>
      </c>
      <c r="G48" s="2767" t="s">
        <v>2022</v>
      </c>
      <c r="H48" s="2768"/>
      <c r="I48" s="1984"/>
      <c r="J48" s="2741">
        <v>3</v>
      </c>
      <c r="K48" s="3253" t="s">
        <v>2023</v>
      </c>
      <c r="L48" s="3253"/>
      <c r="M48" s="3275">
        <f ca="1">H101</f>
        <v>315122</v>
      </c>
      <c r="N48" s="3275"/>
      <c r="O48" s="3275"/>
    </row>
    <row r="49" spans="1:35" ht="25.5" customHeight="1">
      <c r="A49" s="2548" t="s">
        <v>2024</v>
      </c>
      <c r="B49" s="3186" t="s">
        <v>2025</v>
      </c>
      <c r="C49" s="3186"/>
      <c r="D49" s="1768">
        <v>0</v>
      </c>
      <c r="E49" s="330" t="s">
        <v>2026</v>
      </c>
      <c r="F49" s="2642" t="s">
        <v>34</v>
      </c>
      <c r="G49" s="3259"/>
      <c r="H49" s="2520" t="s">
        <v>2868</v>
      </c>
      <c r="I49" s="2521"/>
      <c r="J49" s="2741">
        <v>4</v>
      </c>
      <c r="K49" s="3253" t="str">
        <f>IF(项目基本情况!E8="房地产抵押价值","房地产抵押价值","抵押担保权已注销时的房地产抵押价值")</f>
        <v>房地产抵押价值</v>
      </c>
      <c r="L49" s="3253"/>
      <c r="M49" s="3275">
        <f ca="1">IF(项目基本情况!E8="房地产抵押价值",H107,H109)</f>
        <v>315122</v>
      </c>
      <c r="N49" s="3275"/>
      <c r="O49" s="3275"/>
    </row>
    <row r="50" spans="1:35" ht="25.5" customHeight="1">
      <c r="A50" s="2769"/>
      <c r="B50" s="3186" t="s">
        <v>2027</v>
      </c>
      <c r="C50" s="3186"/>
      <c r="D50" s="2770"/>
      <c r="E50" s="338"/>
      <c r="F50" s="2642"/>
      <c r="G50" s="3260"/>
      <c r="H50" s="2522" t="s">
        <v>2869</v>
      </c>
      <c r="I50" s="2521"/>
      <c r="J50" s="3272" t="s">
        <v>2028</v>
      </c>
      <c r="K50" s="3272"/>
      <c r="L50" s="3272"/>
      <c r="M50" s="3272"/>
      <c r="N50" s="3272"/>
      <c r="O50" s="3272"/>
    </row>
    <row r="51" spans="1:35" ht="20.399999999999999" customHeight="1">
      <c r="A51" s="2771"/>
      <c r="B51" s="3186" t="s">
        <v>2029</v>
      </c>
      <c r="C51" s="3186"/>
      <c r="D51" s="1241"/>
      <c r="E51" s="333"/>
      <c r="F51" s="2642"/>
      <c r="G51" s="3261"/>
      <c r="H51" s="2522" t="s">
        <v>2870</v>
      </c>
      <c r="I51" s="2521"/>
      <c r="J51" s="2742" t="s">
        <v>2030</v>
      </c>
      <c r="K51" s="3253" t="s">
        <v>2031</v>
      </c>
      <c r="L51" s="3253"/>
      <c r="M51" s="2742" t="s">
        <v>2032</v>
      </c>
      <c r="N51" s="2742" t="s">
        <v>2033</v>
      </c>
      <c r="O51" s="2742" t="s">
        <v>2034</v>
      </c>
    </row>
    <row r="52" spans="1:35" ht="24" customHeight="1">
      <c r="A52" s="2550" t="s">
        <v>2035</v>
      </c>
      <c r="B52" s="3186" t="s">
        <v>2036</v>
      </c>
      <c r="C52" s="3186"/>
      <c r="D52" s="1241">
        <f ca="1">ROUND(D45*'数据-取费表'!B41/(1+'数据-取费表'!C42),0)</f>
        <v>16506</v>
      </c>
      <c r="E52" s="2549" t="s">
        <v>2037</v>
      </c>
      <c r="F52" s="2772">
        <f>'数据-取费表'!B41</f>
        <v>5.5000000000000007E-2</v>
      </c>
      <c r="G52" s="2773"/>
      <c r="H52" s="2762"/>
      <c r="I52" s="1985"/>
      <c r="J52" s="2741">
        <v>1</v>
      </c>
      <c r="K52" s="3254" t="s">
        <v>2038</v>
      </c>
      <c r="L52" s="3254"/>
      <c r="M52" s="2743" t="b">
        <f>D48</f>
        <v>0</v>
      </c>
      <c r="N52" s="2741" t="str">
        <f>E48</f>
        <v>销售额×税（费）率</v>
      </c>
      <c r="O52" s="2744">
        <f>F48</f>
        <v>5.5000000000000007E-2</v>
      </c>
    </row>
    <row r="53" spans="1:35" ht="12" customHeight="1">
      <c r="A53" s="2550" t="s">
        <v>2039</v>
      </c>
      <c r="B53" s="3212" t="s">
        <v>3029</v>
      </c>
      <c r="C53" s="3213"/>
      <c r="D53" s="1241">
        <f ca="1">ROUND(D45*'数据-取费表'!B41/(1+'数据-取费表'!C42),0)</f>
        <v>16506</v>
      </c>
      <c r="E53" s="2549" t="s">
        <v>2037</v>
      </c>
      <c r="F53" s="2772">
        <f>'数据-取费表'!B41</f>
        <v>5.5000000000000007E-2</v>
      </c>
      <c r="G53" s="2773"/>
      <c r="H53" s="2762"/>
      <c r="I53" s="1985"/>
      <c r="J53" s="2741">
        <v>2</v>
      </c>
      <c r="K53" s="3254" t="s">
        <v>2040</v>
      </c>
      <c r="L53" s="3254"/>
      <c r="M53" s="2743">
        <f t="shared" ref="M53:O54" ca="1" si="0">D55</f>
        <v>158</v>
      </c>
      <c r="N53" s="2741" t="str">
        <f t="shared" si="0"/>
        <v>销售额×税（费）率</v>
      </c>
      <c r="O53" s="2744" t="str">
        <f t="shared" si="0"/>
        <v>免征</v>
      </c>
    </row>
    <row r="54" spans="1:35" ht="12" customHeight="1">
      <c r="A54" s="2550" t="s">
        <v>2041</v>
      </c>
      <c r="B54" s="3212" t="s">
        <v>3030</v>
      </c>
      <c r="C54" s="3213"/>
      <c r="D54" s="1241">
        <f ca="1">C68</f>
        <v>16506</v>
      </c>
      <c r="E54" s="333" t="s">
        <v>2042</v>
      </c>
      <c r="F54" s="2772">
        <f>'数据-取费表'!B41</f>
        <v>5.5000000000000007E-2</v>
      </c>
      <c r="G54" s="2773"/>
      <c r="H54" s="2774"/>
      <c r="I54" s="1985"/>
      <c r="J54" s="2741">
        <v>3</v>
      </c>
      <c r="K54" s="3254" t="s">
        <v>2043</v>
      </c>
      <c r="L54" s="3254"/>
      <c r="M54" s="2743">
        <f t="shared" ca="1" si="0"/>
        <v>178644</v>
      </c>
      <c r="N54" s="2741" t="str">
        <f t="shared" si="0"/>
        <v>增值额×税（费）率</v>
      </c>
      <c r="O54" s="2745" t="str">
        <f t="shared" si="0"/>
        <v>免征</v>
      </c>
    </row>
    <row r="55" spans="1:35" ht="24" customHeight="1">
      <c r="A55" s="3201" t="s">
        <v>2044</v>
      </c>
      <c r="B55" s="3202"/>
      <c r="C55" s="3202"/>
      <c r="D55" s="2539">
        <f ca="1">IF(H55="个人住宅",0,ROUND(D45*I55,0))</f>
        <v>158</v>
      </c>
      <c r="E55" s="2549" t="s">
        <v>2045</v>
      </c>
      <c r="F55" s="2772" t="str">
        <f>IF(H55="正常",I55,"免征")</f>
        <v>免征</v>
      </c>
      <c r="G55" s="2773"/>
      <c r="H55" s="2768"/>
      <c r="I55" s="170">
        <f>'数据-取费表'!B49</f>
        <v>5.0000000000000001E-4</v>
      </c>
      <c r="J55" s="2741">
        <f>IF(H59="非个人房产","",4)</f>
        <v>4</v>
      </c>
      <c r="K55" s="3254" t="str">
        <f>IF(H59="非个人房产","——","个人所得税")</f>
        <v>个人所得税</v>
      </c>
      <c r="L55" s="3254"/>
      <c r="M55" s="2746">
        <f ca="1">D59</f>
        <v>3001</v>
      </c>
      <c r="N55" s="2220" t="str">
        <f>E59</f>
        <v>差额计税</v>
      </c>
      <c r="O55" s="2747">
        <f>F59</f>
        <v>0.01</v>
      </c>
    </row>
    <row r="56" spans="1:35" ht="25.2">
      <c r="A56" s="3201" t="s">
        <v>2046</v>
      </c>
      <c r="B56" s="3202"/>
      <c r="C56" s="3202"/>
      <c r="D56" s="2539">
        <f ca="1">IF(H56="个人住宅",D57,D58)</f>
        <v>178644</v>
      </c>
      <c r="E56" s="2549" t="s">
        <v>2047</v>
      </c>
      <c r="F56" s="2772" t="str">
        <f>IF(H56="正常",F58,"免征")</f>
        <v>免征</v>
      </c>
      <c r="G56" s="2775" t="s">
        <v>2048</v>
      </c>
      <c r="H56" s="2776"/>
      <c r="I56" s="1986"/>
      <c r="J56" s="2741" t="str">
        <f>IF(项目基本情况!K6="上海银行",IF(J55="",4,J55+1),"")</f>
        <v/>
      </c>
      <c r="K56" s="3277" t="str">
        <f>IF(项目基本情况!K6="上海银行","其他处置费用","")</f>
        <v/>
      </c>
      <c r="L56" s="3278"/>
      <c r="M56" s="2743" t="str">
        <f>IF(项目基本情况!K6="上海银行",M69,"")</f>
        <v/>
      </c>
      <c r="N56" s="3277" t="str">
        <f>IF(项目基本情况!K6="上海银行","包含处置中涉及的律师、诉讼、拍卖、评估等费用","")</f>
        <v/>
      </c>
      <c r="O56" s="3280"/>
    </row>
    <row r="57" spans="1:35" ht="13.2">
      <c r="A57" s="2550" t="s">
        <v>2024</v>
      </c>
      <c r="B57" s="3212" t="s">
        <v>2049</v>
      </c>
      <c r="C57" s="3213"/>
      <c r="D57" s="1768">
        <v>0</v>
      </c>
      <c r="E57" s="330" t="s">
        <v>2026</v>
      </c>
      <c r="F57" s="308"/>
      <c r="G57" s="2773"/>
      <c r="H57" s="2777"/>
      <c r="I57" s="1986"/>
      <c r="J57" s="3254">
        <f>IF(AND(J55="",J56=""),4,IF(项目基本情况!K6="上海银行",结果表!J56+1,结果表!J55+1))</f>
        <v>5</v>
      </c>
      <c r="K57" s="3254" t="s">
        <v>2050</v>
      </c>
      <c r="L57" s="2748" t="s">
        <v>2051</v>
      </c>
      <c r="M57" s="2749"/>
      <c r="N57" s="2750">
        <f ca="1">SUMIF(M52:M56,"&lt;9e307")</f>
        <v>181803</v>
      </c>
      <c r="O57" s="2751"/>
      <c r="P57" s="2911">
        <f ca="1">N57/M49</f>
        <v>0.57692893545991708</v>
      </c>
    </row>
    <row r="58" spans="1:35" ht="25.2">
      <c r="A58" s="2550" t="s">
        <v>2035</v>
      </c>
      <c r="B58" s="3212" t="s">
        <v>2052</v>
      </c>
      <c r="C58" s="3186"/>
      <c r="D58" s="2539">
        <f ca="1">IF(H58="转让取得",C81,C97)</f>
        <v>178644</v>
      </c>
      <c r="E58" s="2549" t="s">
        <v>2047</v>
      </c>
      <c r="F58" s="308" t="s">
        <v>34</v>
      </c>
      <c r="G58" s="2773"/>
      <c r="H58" s="2776"/>
      <c r="I58" s="1986"/>
      <c r="J58" s="3254"/>
      <c r="K58" s="3254"/>
      <c r="L58" s="2748" t="s">
        <v>2053</v>
      </c>
      <c r="M58" s="2752"/>
      <c r="N58" s="2753" t="str">
        <f ca="1">NUMBERSTRING(INT(N57*10000),2)&amp;"元整"</f>
        <v>壹拾捌亿壹仟捌佰零叁万元整</v>
      </c>
      <c r="O58" s="2754"/>
    </row>
    <row r="59" spans="1:35" ht="24.6" thickBot="1">
      <c r="A59" s="3257" t="s">
        <v>2054</v>
      </c>
      <c r="B59" s="3258"/>
      <c r="C59" s="3258"/>
      <c r="D59" s="2778">
        <f ca="1">IF(H59="非个人房产","——",IF(H59="个人住宅（满五唯一有凭证）",0,IF(H59="个人其他（无凭证）",ROUND(D45*F59,0),ROUND(C67*F59,0))))</f>
        <v>3001</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2871</v>
      </c>
      <c r="J59" s="3255">
        <f>J57+1</f>
        <v>6</v>
      </c>
      <c r="K59" s="3254" t="s">
        <v>2055</v>
      </c>
      <c r="L59" s="2741" t="s">
        <v>2051</v>
      </c>
      <c r="M59" s="2755"/>
      <c r="N59" s="2756">
        <f ca="1">M49-N57</f>
        <v>133319</v>
      </c>
      <c r="O59" s="2757"/>
    </row>
    <row r="60" spans="1:35" ht="12" customHeight="1">
      <c r="A60" s="1987"/>
      <c r="B60" s="1925"/>
      <c r="C60" s="1925"/>
      <c r="D60" s="1925"/>
      <c r="E60" s="1756"/>
      <c r="F60" s="1986"/>
      <c r="G60" s="1986"/>
      <c r="H60" s="1988"/>
      <c r="I60" s="134"/>
      <c r="J60" s="3256"/>
      <c r="K60" s="3254"/>
      <c r="L60" s="2748" t="s">
        <v>2053</v>
      </c>
      <c r="M60" s="2752"/>
      <c r="N60" s="2753" t="str">
        <f ca="1">NUMBERSTRING(INT(N59*10000),2)&amp;"元整"</f>
        <v>壹拾叁亿叁仟叁佰壹拾玖万元整</v>
      </c>
      <c r="O60" s="2754"/>
    </row>
    <row r="61" spans="1:35" ht="13.8" thickBot="1">
      <c r="A61" s="3199" t="s">
        <v>2056</v>
      </c>
      <c r="B61" s="3199"/>
      <c r="C61" s="3199"/>
      <c r="D61" s="3199"/>
      <c r="E61" s="3199"/>
      <c r="F61" s="1986"/>
      <c r="G61" s="1986"/>
      <c r="H61" s="1988"/>
      <c r="I61" s="134"/>
      <c r="J61" s="2741">
        <f>J59+1</f>
        <v>7</v>
      </c>
      <c r="K61" s="3254" t="s">
        <v>2057</v>
      </c>
      <c r="L61" s="3254"/>
      <c r="M61" s="2758"/>
      <c r="N61" s="2759">
        <f ca="1">ROUND(N59*10000/'数据-汇总表'!E3,0)</f>
        <v>7254</v>
      </c>
      <c r="O61" s="2760"/>
    </row>
    <row r="62" spans="1:35" ht="13.2">
      <c r="A62" s="3217" t="s">
        <v>2058</v>
      </c>
      <c r="B62" s="3218"/>
      <c r="C62" s="2201"/>
      <c r="D62" s="2201" t="s">
        <v>2059</v>
      </c>
      <c r="E62" s="171" t="s">
        <v>2060</v>
      </c>
      <c r="F62" s="1986"/>
      <c r="G62" s="1986"/>
      <c r="H62" s="1988"/>
      <c r="I62" s="134"/>
    </row>
    <row r="63" spans="1:35" ht="13.2">
      <c r="A63" s="178" t="s">
        <v>775</v>
      </c>
      <c r="B63" s="172" t="s">
        <v>2061</v>
      </c>
      <c r="C63" s="2782">
        <f ca="1">ROUND((C64+C65)/(1+'数据-取费表'!C42),0)</f>
        <v>300116</v>
      </c>
      <c r="D63" s="172"/>
      <c r="E63" s="173"/>
      <c r="F63" s="1986"/>
      <c r="G63" s="1986"/>
      <c r="H63" s="1988"/>
      <c r="I63" s="134"/>
      <c r="J63" s="3279" t="s">
        <v>2062</v>
      </c>
      <c r="K63" s="1494" t="s">
        <v>2063</v>
      </c>
      <c r="L63" s="1494">
        <f ca="1">IF(M49&gt;10000,M49*0.5%,IF(AND(M49&gt;1000,M49&lt;=10000),M49*1%,IF(AND(M49&gt;100,M49&lt;=1000),M49*3%,IF(AND(M49&gt;10,M49&lt;=100),M49*5%,M49*8%))))</f>
        <v>1575.6100000000001</v>
      </c>
      <c r="M63" s="308">
        <f ca="1">ROUND(L63,1)</f>
        <v>1575.6</v>
      </c>
      <c r="N63" s="2761"/>
      <c r="Z63" s="1930"/>
      <c r="AI63" s="1931"/>
    </row>
    <row r="64" spans="1:35" ht="14.25" customHeight="1">
      <c r="A64" s="174" t="s">
        <v>770</v>
      </c>
      <c r="B64" s="175" t="s">
        <v>2064</v>
      </c>
      <c r="C64" s="2783">
        <f ca="1">D45</f>
        <v>315122</v>
      </c>
      <c r="D64" s="175" t="s">
        <v>32</v>
      </c>
      <c r="E64" s="177"/>
      <c r="F64" s="1986"/>
      <c r="G64" s="1986"/>
      <c r="H64" s="1988"/>
      <c r="I64" s="134"/>
      <c r="J64" s="3279"/>
      <c r="K64" s="1494" t="s">
        <v>2065</v>
      </c>
      <c r="L64" s="1494">
        <f ca="1">IF(M49&gt;2000,M49*0.5%,IF(AND(M49&gt;1000,M49&lt;=2000),M49*0.6%,IF(AND(M49&gt;500,M49&lt;=1000),M49*0.7%,IF(AND(M49&gt;200,M49&lt;=500),M49*0.8%,IF(AND(M49&gt;100,M49&lt;=200),M49*0.9%,IF(AND(M49&gt;50,M49&lt;=100),M49*1%,IF(AND(M49&gt;20,M49&lt;=50),M49*1.5%,IF(AND(M49&gt;10,M49&lt;=20),M49*2%,IF(AND(M49&gt;1,M49&lt;=10),M49*2.5%)))))))))</f>
        <v>1575.6100000000001</v>
      </c>
      <c r="M64" s="308">
        <f t="shared" ref="M64:M65" ca="1" si="1">ROUND(L64,1)</f>
        <v>1575.6</v>
      </c>
      <c r="N64" s="2762" t="s">
        <v>2066</v>
      </c>
      <c r="Z64" s="1930"/>
      <c r="AI64" s="1931"/>
    </row>
    <row r="65" spans="1:35" ht="14.25" customHeight="1">
      <c r="A65" s="174" t="s">
        <v>771</v>
      </c>
      <c r="B65" s="175" t="s">
        <v>2067</v>
      </c>
      <c r="C65" s="2784"/>
      <c r="D65" s="175"/>
      <c r="E65" s="177"/>
      <c r="F65" s="1986"/>
      <c r="G65" s="1986"/>
      <c r="H65" s="1988"/>
      <c r="I65" s="134"/>
      <c r="J65" s="3279"/>
      <c r="K65" s="1494" t="s">
        <v>2068</v>
      </c>
      <c r="L65" s="1494">
        <f ca="1">IF(M49&gt;1000,M49*0.1%,IF(AND(M49&gt;500,M49&lt;=1000),M49*0.5%,IF(AND(M49&gt;50,M49&lt;=500),M49*1%,IF(AND(M49&gt;1,M49&lt;=50),M49*1.5%))))</f>
        <v>315.12200000000001</v>
      </c>
      <c r="M65" s="308">
        <f t="shared" ca="1" si="1"/>
        <v>315.10000000000002</v>
      </c>
      <c r="N65" s="2762" t="s">
        <v>2066</v>
      </c>
      <c r="Z65" s="1930"/>
      <c r="AI65" s="1931"/>
    </row>
    <row r="66" spans="1:35" ht="14.25" customHeight="1">
      <c r="A66" s="178" t="s">
        <v>772</v>
      </c>
      <c r="B66" s="179" t="s">
        <v>2069</v>
      </c>
      <c r="C66" s="2785"/>
      <c r="D66" s="179" t="s">
        <v>32</v>
      </c>
      <c r="E66" s="1502" t="s">
        <v>1337</v>
      </c>
      <c r="F66" s="1986"/>
      <c r="G66" s="1986"/>
      <c r="H66" s="1988"/>
      <c r="I66" s="134"/>
      <c r="J66" s="3279"/>
      <c r="K66" s="1494" t="s">
        <v>2070</v>
      </c>
      <c r="L66" s="1494">
        <f ca="1">M49*0.5%</f>
        <v>1575.6100000000001</v>
      </c>
      <c r="M66" s="308">
        <f ca="1">IF(L66&gt;0.5,0.5,ROUND(L66,0))</f>
        <v>0.5</v>
      </c>
      <c r="N66" s="2762" t="s">
        <v>2071</v>
      </c>
      <c r="Z66" s="1930"/>
      <c r="AI66" s="1931"/>
    </row>
    <row r="67" spans="1:35" ht="14.25" customHeight="1">
      <c r="A67" s="178" t="s">
        <v>773</v>
      </c>
      <c r="B67" s="179" t="s">
        <v>2072</v>
      </c>
      <c r="C67" s="2786">
        <f ca="1">C63-C66</f>
        <v>300116</v>
      </c>
      <c r="D67" s="175" t="s">
        <v>32</v>
      </c>
      <c r="E67" s="177"/>
      <c r="F67" s="1986"/>
      <c r="G67" s="1986"/>
      <c r="H67" s="1988"/>
      <c r="I67" s="134"/>
      <c r="J67" s="3279"/>
      <c r="K67" s="1494" t="s">
        <v>2073</v>
      </c>
      <c r="L67" s="1494">
        <f ca="1">IF(M49&gt;=10000,(8.25+(M49-10000)*0.01%),IF(AND(M49&gt;=8000,M49&lt;10000),(7.85+(M49-8000)*0.02%),IF(AND(M49&gt;=5000,M49&lt;8000),(6.65+(M49-5000)*0.04%),IF(AND(M49&gt;=2000,M49&lt;5000),(4.25+(PM49-2000)*0.08%),IF(AND(M49&gt;=1000,M49&lt;2000),(2.75+(M49-1000)*0.15%),IF(AND(M49&gt;=100,M49&lt;1000),(0.5+(M49-100)*0.25%),IF(AND(M49&gt;0,M49&lt;100),M49*0.5%)))))))</f>
        <v>38.7622</v>
      </c>
      <c r="M67" s="308">
        <f ca="1">ROUND(L67*0.9,1)</f>
        <v>34.9</v>
      </c>
      <c r="N67" s="2761"/>
      <c r="Z67" s="1930"/>
      <c r="AI67" s="1931"/>
    </row>
    <row r="68" spans="1:35" ht="14.25" customHeight="1" thickBot="1">
      <c r="A68" s="181" t="s">
        <v>774</v>
      </c>
      <c r="B68" s="182" t="s">
        <v>2074</v>
      </c>
      <c r="C68" s="2787">
        <f ca="1">IF(C67&lt;=0,0,ROUND(C67*D68,0))</f>
        <v>16506</v>
      </c>
      <c r="D68" s="2788">
        <f>'数据-取费表'!B41</f>
        <v>5.5000000000000007E-2</v>
      </c>
      <c r="E68" s="184"/>
      <c r="F68" s="1986"/>
      <c r="G68" s="1986"/>
      <c r="H68" s="1988"/>
      <c r="I68" s="134"/>
      <c r="J68" s="3279"/>
      <c r="K68" s="1494" t="s">
        <v>2075</v>
      </c>
      <c r="L68" s="1494">
        <f ca="1">IF(M49&gt;10000,M49*0.5%,IF(AND(M49&gt;5000,M49&lt;=10000),M49*1%,IF(AND(M49&gt;1000,M49&lt;=5000),M49*2%,IF(AND(M49&gt;200,M49&lt;=1000),M49*3%,M49*5%))))</f>
        <v>1575.6100000000001</v>
      </c>
      <c r="M68" s="308">
        <f ca="1">ROUND(L68,1)</f>
        <v>1575.6</v>
      </c>
      <c r="N68" s="2761"/>
      <c r="Z68" s="1930"/>
      <c r="AI68" s="1931"/>
    </row>
    <row r="69" spans="1:35" s="1950" customFormat="1" ht="16.5" customHeight="1">
      <c r="A69" s="1989"/>
      <c r="B69" s="1990"/>
      <c r="C69" s="1991"/>
      <c r="D69" s="1992"/>
      <c r="E69" s="1993"/>
      <c r="F69" s="1756"/>
      <c r="G69" s="1756"/>
      <c r="H69" s="1755"/>
      <c r="I69" s="1925"/>
      <c r="J69" s="3279"/>
      <c r="K69" s="1494" t="s">
        <v>2076</v>
      </c>
      <c r="L69" s="1494"/>
      <c r="M69" s="308">
        <f ca="1">ROUND(SUM(M63:M68),0)</f>
        <v>5077</v>
      </c>
      <c r="N69" s="2763">
        <f ca="1">M69/M49</f>
        <v>1.6111220416219749E-2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4.4" thickBot="1">
      <c r="A70" s="3238" t="s">
        <v>2077</v>
      </c>
      <c r="B70" s="3239"/>
      <c r="C70" s="3239"/>
      <c r="D70" s="3239"/>
      <c r="E70" s="3239"/>
      <c r="F70" s="3239"/>
      <c r="G70" s="3239"/>
      <c r="H70" s="3239"/>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3.8">
      <c r="A71" s="3217" t="s">
        <v>2058</v>
      </c>
      <c r="B71" s="3218"/>
      <c r="C71" s="2201"/>
      <c r="D71" s="2201"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3.8">
      <c r="A72" s="178" t="s">
        <v>775</v>
      </c>
      <c r="B72" s="179" t="s">
        <v>2078</v>
      </c>
      <c r="C72" s="2786">
        <f ca="1">ROUND(D45/(1+'数据-取费表'!C42),0)</f>
        <v>300116</v>
      </c>
      <c r="D72" s="175" t="s">
        <v>32</v>
      </c>
      <c r="E72" s="2546"/>
      <c r="F72" s="2545"/>
      <c r="G72" s="2545"/>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3.8">
      <c r="A73" s="178" t="s">
        <v>772</v>
      </c>
      <c r="B73" s="168" t="s">
        <v>2079</v>
      </c>
      <c r="C73" s="2786">
        <f ca="1">C74+C78</f>
        <v>1501</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28.8">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12" t="s">
        <v>2085</v>
      </c>
      <c r="F76" s="3186"/>
      <c r="G76" s="3186"/>
      <c r="H76" s="323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1501</v>
      </c>
      <c r="D78" s="2795">
        <f>'数据-取费表'!B43</f>
        <v>5.000000000000001E-3</v>
      </c>
      <c r="E78" s="3196" t="s">
        <v>2089</v>
      </c>
      <c r="F78" s="3197"/>
      <c r="G78" s="3197"/>
      <c r="H78" s="320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3.8">
      <c r="A79" s="178" t="s">
        <v>779</v>
      </c>
      <c r="B79" s="179" t="s">
        <v>2090</v>
      </c>
      <c r="C79" s="2786">
        <f ca="1">C72-C73</f>
        <v>298615</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198.94403730846102</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6" thickBot="1">
      <c r="A81" s="181" t="s">
        <v>781</v>
      </c>
      <c r="B81" s="182" t="s">
        <v>2092</v>
      </c>
      <c r="C81" s="2797">
        <f ca="1">ROUND(IF(C79&lt;=0,0,IF(C80&gt;=200%,C79*60%-C73*35%,IF(C80&gt;=100%,C79*50%-C73*15%,IF(C80&gt;=50%,C79*40%-C73*5%,IF(C80&lt;50%,C79*30%,0))))),0)</f>
        <v>178644</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4.4" thickBot="1">
      <c r="A83" s="3238" t="s">
        <v>2093</v>
      </c>
      <c r="B83" s="3239"/>
      <c r="C83" s="3239"/>
      <c r="D83" s="3239"/>
      <c r="E83" s="3239"/>
      <c r="F83" s="3239"/>
      <c r="G83" s="3239"/>
      <c r="H83" s="323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3.8">
      <c r="A84" s="3217" t="s">
        <v>2058</v>
      </c>
      <c r="B84" s="3218"/>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3.8">
      <c r="A85" s="178" t="s">
        <v>775</v>
      </c>
      <c r="B85" s="179" t="s">
        <v>2078</v>
      </c>
      <c r="C85" s="2786">
        <f ca="1">ROUND(D45/(1+'数据-取费表'!C42),0)</f>
        <v>300116</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3.8">
      <c r="A86" s="178" t="s">
        <v>772</v>
      </c>
      <c r="B86" s="168" t="s">
        <v>2079</v>
      </c>
      <c r="C86" s="2786">
        <f ca="1">IF(H88="仅含出让金",C87+C90+C91+C92+C93+C94,C87+C91+C92+C93+C94)</f>
        <v>1501</v>
      </c>
      <c r="D86" s="2799"/>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3.8">
      <c r="A87" s="174" t="s">
        <v>770</v>
      </c>
      <c r="B87" s="175" t="s">
        <v>2094</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4">
      <c r="A88" s="174" t="s">
        <v>776</v>
      </c>
      <c r="B88" s="175" t="s">
        <v>2095</v>
      </c>
      <c r="C88" s="2800"/>
      <c r="D88" s="2795"/>
      <c r="E88" s="199" t="s">
        <v>2096</v>
      </c>
      <c r="F88" s="2542"/>
      <c r="G88" s="200" t="s">
        <v>2097</v>
      </c>
      <c r="H88" s="2002"/>
      <c r="I88" s="1999"/>
      <c r="J88" s="2739" t="s">
        <v>3026</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3.8">
      <c r="A89" s="174" t="s">
        <v>777</v>
      </c>
      <c r="B89" s="175" t="s">
        <v>2086</v>
      </c>
      <c r="C89" s="2794">
        <f>ROUND(C88*D89,0)</f>
        <v>0</v>
      </c>
      <c r="D89" s="2795">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4">
      <c r="A90" s="174" t="s">
        <v>771</v>
      </c>
      <c r="B90" s="175" t="s">
        <v>2099</v>
      </c>
      <c r="C90" s="2800"/>
      <c r="D90" s="2795"/>
      <c r="E90" s="199" t="str">
        <f>IF(H88="-","土地取得成本中已包含该笔费用"," ")</f>
        <v xml:space="preserve"> </v>
      </c>
      <c r="F90" s="2542"/>
      <c r="G90" s="3281" t="s">
        <v>2863</v>
      </c>
      <c r="H90" s="3282"/>
      <c r="I90" s="1999"/>
      <c r="J90" s="2739" t="s">
        <v>3027</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196" t="s">
        <v>2102</v>
      </c>
      <c r="F91" s="3197"/>
      <c r="G91" s="3197"/>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196" t="s">
        <v>2105</v>
      </c>
      <c r="F92" s="3197"/>
      <c r="G92" s="3197"/>
      <c r="H92" s="3206"/>
      <c r="I92" s="1999"/>
      <c r="J92" s="2740" t="s">
        <v>3028</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1501</v>
      </c>
      <c r="D93" s="2795">
        <f>'数据-取费表'!B43</f>
        <v>5.000000000000001E-3</v>
      </c>
      <c r="E93" s="3196" t="s">
        <v>2089</v>
      </c>
      <c r="F93" s="3197"/>
      <c r="G93" s="3197"/>
      <c r="H93" s="320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07" t="s">
        <v>2109</v>
      </c>
      <c r="F94" s="3208"/>
      <c r="G94" s="3208"/>
      <c r="H94" s="3209"/>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3.8">
      <c r="A95" s="178" t="s">
        <v>779</v>
      </c>
      <c r="B95" s="179" t="s">
        <v>2090</v>
      </c>
      <c r="C95" s="2786">
        <f ca="1">ROUND(C85-C86,0)</f>
        <v>298615</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198.94403730846102</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6" thickBot="1">
      <c r="A97" s="181" t="s">
        <v>781</v>
      </c>
      <c r="B97" s="182" t="s">
        <v>2092</v>
      </c>
      <c r="C97" s="2797">
        <f ca="1">ROUND(IF(C95&lt;=0,0,IF(C96&gt;=200%,C95*60%-C86*35%,IF(C96&gt;=100%,C95*50%-C86*15%,IF(C96&gt;=50%,C95*40%-C86*5%,IF(C96&lt;50%,C95*30%,0))))),0)</f>
        <v>178644</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180" t="s">
        <v>2111</v>
      </c>
      <c r="B100" s="3181"/>
      <c r="C100" s="3181"/>
      <c r="D100" s="3198"/>
      <c r="E100" s="3181" t="s">
        <v>2112</v>
      </c>
      <c r="F100" s="3181"/>
      <c r="G100" s="3181"/>
      <c r="H100" s="3198"/>
      <c r="I100" s="134"/>
    </row>
    <row r="101" spans="1:35" ht="18.75" customHeight="1">
      <c r="A101" s="3262" t="s">
        <v>2113</v>
      </c>
      <c r="B101" s="3263"/>
      <c r="C101" s="2803" t="str">
        <f>C4</f>
        <v>成本法</v>
      </c>
      <c r="D101" s="2804" t="str">
        <f>D4</f>
        <v>假设开发法</v>
      </c>
      <c r="E101" s="3276" t="s">
        <v>2114</v>
      </c>
      <c r="F101" s="3230"/>
      <c r="G101" s="2005" t="s">
        <v>2115</v>
      </c>
      <c r="H101" s="2813">
        <f ca="1">H118</f>
        <v>315122</v>
      </c>
      <c r="I101" s="134"/>
    </row>
    <row r="102" spans="1:35" ht="18.75" customHeight="1">
      <c r="A102" s="3232" t="s">
        <v>2116</v>
      </c>
      <c r="B102" s="2802" t="s">
        <v>2115</v>
      </c>
      <c r="C102" s="2803">
        <f ca="1">C19</f>
        <v>393447</v>
      </c>
      <c r="D102" s="2804">
        <f ca="1">D19</f>
        <v>281554</v>
      </c>
      <c r="E102" s="3276"/>
      <c r="F102" s="3230"/>
      <c r="G102" s="2005" t="s">
        <v>2117</v>
      </c>
      <c r="H102" s="2773">
        <f ca="1">I118</f>
        <v>17147</v>
      </c>
      <c r="I102" s="134"/>
    </row>
    <row r="103" spans="1:35" ht="42.75" customHeight="1">
      <c r="A103" s="3232"/>
      <c r="B103" s="2802" t="s">
        <v>2117</v>
      </c>
      <c r="C103" s="2805">
        <f ca="1">C20</f>
        <v>21409</v>
      </c>
      <c r="D103" s="2806">
        <f ca="1">D20</f>
        <v>15320</v>
      </c>
      <c r="E103" s="3270" t="s">
        <v>2118</v>
      </c>
      <c r="F103" s="3271"/>
      <c r="G103" s="2006" t="s">
        <v>2119</v>
      </c>
      <c r="H103" s="2813">
        <f>IF(D36="正常操作",H104+H105+H106,H105+H106)</f>
        <v>0</v>
      </c>
      <c r="I103" s="134"/>
    </row>
    <row r="104" spans="1:35" ht="18.75" customHeight="1">
      <c r="A104" s="3232" t="s">
        <v>2120</v>
      </c>
      <c r="B104" s="2807" t="s">
        <v>2115</v>
      </c>
      <c r="C104" s="2808">
        <f ca="1">H118</f>
        <v>315122</v>
      </c>
      <c r="D104" s="2809"/>
      <c r="E104" s="1852" t="s">
        <v>2121</v>
      </c>
      <c r="F104" s="1844"/>
      <c r="G104" s="2006" t="s">
        <v>2119</v>
      </c>
      <c r="H104" s="2814">
        <f>IF(D36="同一抵押权人同一抵押物续贷",C36&amp;"（续贷，未扣减，详见特别提示）",C36)</f>
        <v>0</v>
      </c>
      <c r="I104" s="134"/>
    </row>
    <row r="105" spans="1:35" ht="18.75" customHeight="1" thickBot="1">
      <c r="A105" s="3233"/>
      <c r="B105" s="2810" t="s">
        <v>2117</v>
      </c>
      <c r="C105" s="2811">
        <f ca="1">I118</f>
        <v>17147</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29" t="str">
        <f>IF(项目基本情况!E8="已注销","——","3.房地产抵押价值")</f>
        <v>3.房地产抵押价值</v>
      </c>
      <c r="F107" s="3230"/>
      <c r="G107" s="2005" t="s">
        <v>2115</v>
      </c>
      <c r="H107" s="2813">
        <f ca="1">IF(E107="——","——",H101-H103)</f>
        <v>315122</v>
      </c>
      <c r="I107" s="134"/>
    </row>
    <row r="108" spans="1:35" ht="18.75" customHeight="1">
      <c r="A108" s="134"/>
      <c r="B108" s="134"/>
      <c r="C108" s="134"/>
      <c r="D108" s="134"/>
      <c r="E108" s="3229"/>
      <c r="F108" s="3230"/>
      <c r="G108" s="2005" t="s">
        <v>2117</v>
      </c>
      <c r="H108" s="2773">
        <f ca="1">ROUND(H107*10000/'数据-汇总表'!E3,0)</f>
        <v>17147</v>
      </c>
      <c r="I108" s="134"/>
    </row>
    <row r="109" spans="1:35" ht="18.75" customHeight="1">
      <c r="A109" s="134"/>
      <c r="B109" s="134"/>
      <c r="C109" s="134"/>
      <c r="D109" s="134"/>
      <c r="E109" s="3229" t="str">
        <f>IF(项目基本情况!E8="已注销及未注销","4.抵押担保权已注销时的房地产抵押价值",IF(项目基本情况!E8="已注销","3.抵押担保权已注销时的房地产抵押价值","——"))</f>
        <v>——</v>
      </c>
      <c r="F109" s="3230"/>
      <c r="G109" s="2005" t="s">
        <v>2115</v>
      </c>
      <c r="H109" s="2816" t="str">
        <f>IF(E109="——","——",H101-H105-H106)</f>
        <v>——</v>
      </c>
      <c r="I109" s="134"/>
    </row>
    <row r="110" spans="1:35" ht="18.75" customHeight="1">
      <c r="A110" s="134"/>
      <c r="B110" s="134"/>
      <c r="C110" s="134"/>
      <c r="D110" s="134"/>
      <c r="E110" s="3229"/>
      <c r="F110" s="3230"/>
      <c r="G110" s="2005" t="s">
        <v>2117</v>
      </c>
      <c r="H110" s="2773" t="str">
        <f>IF(H109="——","——",ROUND(H109*10000/'数据-汇总表'!E3,0))</f>
        <v>——</v>
      </c>
      <c r="I110" s="134"/>
    </row>
    <row r="111" spans="1:35" ht="18.75" customHeight="1">
      <c r="A111" s="134"/>
      <c r="B111" s="134"/>
      <c r="C111" s="134"/>
      <c r="D111" s="134"/>
      <c r="E111" s="3264" t="str">
        <f>IF(项目基本情况!E9="抵押净值",IF(OR(项目基本情况!E8="已注销",项目基本情况!E8="房地产抵押价值"),"4.抵押净值","5.抵押净值"),"——")</f>
        <v>——</v>
      </c>
      <c r="F111" s="3231"/>
      <c r="G111" s="2005" t="s">
        <v>2115</v>
      </c>
      <c r="H111" s="2813" t="str">
        <f>IF(E111="——","——",N59)</f>
        <v>——</v>
      </c>
      <c r="I111" s="134"/>
    </row>
    <row r="112" spans="1:35" ht="18.75" customHeight="1" thickBot="1">
      <c r="A112" s="134"/>
      <c r="B112" s="134"/>
      <c r="C112" s="134"/>
      <c r="D112" s="134"/>
      <c r="E112" s="3265"/>
      <c r="F112" s="3266"/>
      <c r="G112" s="2008" t="s">
        <v>2117</v>
      </c>
      <c r="H112" s="2817" t="str">
        <f>IF(E111="——","——",N61)</f>
        <v>——</v>
      </c>
      <c r="I112" s="134"/>
    </row>
    <row r="113" spans="1:27" ht="18.75" customHeight="1">
      <c r="A113" s="134"/>
      <c r="B113" s="134"/>
      <c r="C113" s="134"/>
      <c r="D113" s="134"/>
      <c r="E113" s="3234" t="s">
        <v>2123</v>
      </c>
      <c r="F113" s="3234"/>
      <c r="G113" s="3234"/>
      <c r="H113" s="3234"/>
      <c r="I113" s="134"/>
    </row>
    <row r="114" spans="1:27" ht="3.75" customHeight="1">
      <c r="A114" s="1925"/>
      <c r="B114" s="1925"/>
      <c r="C114" s="1925"/>
      <c r="D114" s="1925"/>
      <c r="E114" s="1987"/>
      <c r="F114" s="1987"/>
      <c r="G114" s="1987"/>
      <c r="H114" s="1987"/>
      <c r="I114" s="1925"/>
    </row>
    <row r="115" spans="1:27" ht="18.75" customHeight="1">
      <c r="A115" s="3247" t="s">
        <v>2125</v>
      </c>
      <c r="B115" s="3248"/>
      <c r="C115" s="3248"/>
      <c r="D115" s="3248"/>
      <c r="E115" s="3248"/>
      <c r="F115" s="3248"/>
      <c r="G115" s="3248"/>
      <c r="H115" s="3248"/>
      <c r="I115" s="3249"/>
    </row>
    <row r="116" spans="1:27" ht="27" customHeight="1">
      <c r="A116" s="3200" t="s">
        <v>2126</v>
      </c>
      <c r="B116" s="3235" t="s">
        <v>2127</v>
      </c>
      <c r="C116" s="3235" t="s">
        <v>2128</v>
      </c>
      <c r="D116" s="3251" t="s">
        <v>2129</v>
      </c>
      <c r="E116" s="3252"/>
      <c r="F116" s="3243" t="s">
        <v>2130</v>
      </c>
      <c r="G116" s="3243"/>
      <c r="H116" s="3200" t="s">
        <v>2131</v>
      </c>
      <c r="I116" s="3200"/>
    </row>
    <row r="117" spans="1:27" ht="18.75" customHeight="1">
      <c r="A117" s="3200"/>
      <c r="B117" s="3236"/>
      <c r="C117" s="3236"/>
      <c r="D117" s="2544" t="s">
        <v>2132</v>
      </c>
      <c r="E117" s="2544" t="s">
        <v>2133</v>
      </c>
      <c r="F117" s="2544" t="s">
        <v>2132</v>
      </c>
      <c r="G117" s="2544" t="s">
        <v>2134</v>
      </c>
      <c r="H117" s="2544" t="s">
        <v>2132</v>
      </c>
      <c r="I117" s="2544" t="s">
        <v>2134</v>
      </c>
    </row>
    <row r="118" spans="1:27" ht="24.75" customHeight="1">
      <c r="A118" s="2818" t="str">
        <f>项目基本情况!S2</f>
        <v>北京市房地产</v>
      </c>
      <c r="B118" s="2544">
        <f>M18</f>
        <v>183777.08000000002</v>
      </c>
      <c r="C118" s="2544">
        <f>M19</f>
        <v>27615.81</v>
      </c>
      <c r="D118" s="2544">
        <f>ROUND(IF(D32="总价",C34,E118*B118/10000),0)</f>
        <v>255232</v>
      </c>
      <c r="E118" s="2544">
        <f>ROUND(IF(C33="自定义",IF(D32="楼面单价",C34,D118*10000/B118),I118-G118),0)</f>
        <v>13888</v>
      </c>
      <c r="F118" s="2544">
        <f ca="1">ROUND(IF(D32="总价",C35,G118*B118/10000),0)</f>
        <v>59890</v>
      </c>
      <c r="G118" s="2544">
        <f ca="1">ROUND(IF(D32="楼面单价",C35,F118*10000/B118),0)</f>
        <v>3259</v>
      </c>
      <c r="H118" s="2544">
        <f ca="1">ROUND(IF(D32="总价",C32,I118*B118/10000),0)</f>
        <v>315122</v>
      </c>
      <c r="I118" s="2544">
        <f ca="1">ROUND(IF(D32="楼面单价",C32,H118*10000/B118),0)</f>
        <v>17147</v>
      </c>
    </row>
    <row r="119" spans="1:27" ht="31.5" customHeight="1">
      <c r="A119" s="3200" t="s">
        <v>2135</v>
      </c>
      <c r="B119" s="3200"/>
      <c r="C119" s="3200"/>
      <c r="D119" s="3240" t="str">
        <f>NUMBERSTRING(INT(D118*10000),2)&amp;"元整"</f>
        <v>贰拾伍亿伍仟贰佰叁拾贰万元整</v>
      </c>
      <c r="E119" s="3242"/>
      <c r="F119" s="3240" t="str">
        <f ca="1">NUMBERSTRING(INT(F118*10000),2)&amp;"元整"</f>
        <v>伍亿玖仟捌佰玖拾万元整</v>
      </c>
      <c r="G119" s="3242"/>
      <c r="H119" s="3240" t="str">
        <f ca="1">NUMBERSTRING(INT(H118*10000),2)&amp;"元整"</f>
        <v>叁拾壹亿伍仟壹佰贰拾贰万元整</v>
      </c>
      <c r="I119" s="3242"/>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44" t="s">
        <v>2135</v>
      </c>
      <c r="B121" s="3245"/>
      <c r="C121" s="3246"/>
      <c r="D121" s="3240" t="str">
        <f>IF(D120=0,"零元整",NUMBERSTRING(INT(D120*10000),2)&amp;"元整")</f>
        <v>零元整</v>
      </c>
      <c r="E121" s="3241"/>
      <c r="F121" s="3241"/>
      <c r="G121" s="3241"/>
      <c r="H121" s="3241"/>
      <c r="I121" s="3242"/>
      <c r="AA121" s="734"/>
    </row>
    <row r="122" spans="1:27" ht="18.75" customHeight="1">
      <c r="A122" s="3231" t="str">
        <f>IF(项目基本情况!B9="房地产市场价值","",MID(E107,3,LEN(E107)-2))</f>
        <v>房地产抵押价值</v>
      </c>
      <c r="B122" s="3231"/>
      <c r="C122" s="3231"/>
      <c r="D122" s="3267">
        <f ca="1">H107</f>
        <v>315122</v>
      </c>
      <c r="E122" s="3268"/>
      <c r="F122" s="3268"/>
      <c r="G122" s="3268"/>
      <c r="H122" s="3268"/>
      <c r="I122" s="3269"/>
      <c r="AA122" s="734"/>
    </row>
    <row r="123" spans="1:27" ht="18.75" customHeight="1">
      <c r="A123" s="3200" t="s">
        <v>2135</v>
      </c>
      <c r="B123" s="3200"/>
      <c r="C123" s="3200"/>
      <c r="D123" s="3240" t="str">
        <f ca="1">NUMBERSTRING(INT(D122*10000),2)&amp;"元整"</f>
        <v>叁拾壹亿伍仟壹佰贰拾贰万元整</v>
      </c>
      <c r="E123" s="3241"/>
      <c r="F123" s="3241"/>
      <c r="G123" s="3241"/>
      <c r="H123" s="3241"/>
      <c r="I123" s="3242"/>
      <c r="AA123" s="734"/>
    </row>
    <row r="124" spans="1:27" ht="18.75" customHeight="1">
      <c r="A124" s="3231" t="str">
        <f>IF(项目基本情况!B9="房地产市场价值","",MID(E109,3,LEN(E109)-2))</f>
        <v/>
      </c>
      <c r="B124" s="3231"/>
      <c r="C124" s="3231"/>
      <c r="D124" s="3267" t="str">
        <f>H109</f>
        <v>——</v>
      </c>
      <c r="E124" s="3268"/>
      <c r="F124" s="3268"/>
      <c r="G124" s="3268"/>
      <c r="H124" s="3268"/>
      <c r="I124" s="3269"/>
      <c r="AA124" s="734"/>
    </row>
    <row r="125" spans="1:27" ht="18.75" customHeight="1">
      <c r="A125" s="3200" t="s">
        <v>2135</v>
      </c>
      <c r="B125" s="3200"/>
      <c r="C125" s="3200"/>
      <c r="D125" s="3240" t="e">
        <f>NUMBERSTRING(INT(D124*10000),2)&amp;"元整"</f>
        <v>#VALUE!</v>
      </c>
      <c r="E125" s="3241"/>
      <c r="F125" s="3241"/>
      <c r="G125" s="3241"/>
      <c r="H125" s="3241"/>
      <c r="I125" s="3242"/>
      <c r="AA125" s="734"/>
    </row>
    <row r="126" spans="1:27" ht="18.75" customHeight="1">
      <c r="A126" s="3231" t="str">
        <f>IF(项目基本情况!B9="房地产市场价值","",MID(E111,3,LEN(E111)-2))</f>
        <v/>
      </c>
      <c r="B126" s="3231"/>
      <c r="C126" s="3231"/>
      <c r="D126" s="3267" t="str">
        <f>H111</f>
        <v>——</v>
      </c>
      <c r="E126" s="3268"/>
      <c r="F126" s="3268"/>
      <c r="G126" s="3268"/>
      <c r="H126" s="3268"/>
      <c r="I126" s="3269"/>
      <c r="AA126" s="734"/>
    </row>
    <row r="127" spans="1:27" ht="18.75" customHeight="1">
      <c r="A127" s="3200" t="s">
        <v>2135</v>
      </c>
      <c r="B127" s="3200"/>
      <c r="C127" s="3200"/>
      <c r="D127" s="3240" t="e">
        <f>NUMBERSTRING(INT(D126*10000),2)&amp;"元整"</f>
        <v>#VALUE!</v>
      </c>
      <c r="E127" s="3241"/>
      <c r="F127" s="3241"/>
      <c r="G127" s="3241"/>
      <c r="H127" s="3241"/>
      <c r="I127" s="3242"/>
      <c r="AA127" s="734"/>
    </row>
    <row r="128" spans="1:27" ht="21.75" customHeight="1">
      <c r="A128" s="3250" t="s">
        <v>2136</v>
      </c>
      <c r="B128" s="3250"/>
      <c r="C128" s="3250"/>
      <c r="D128" s="3250"/>
      <c r="E128" s="3250"/>
      <c r="F128" s="3250"/>
      <c r="G128" s="3250"/>
      <c r="H128" s="3250"/>
      <c r="I128" s="3250"/>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3" zoomScale="70" zoomScaleNormal="60" zoomScaleSheetLayoutView="70" workbookViewId="0">
      <selection activeCell="M64" sqref="M64"/>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255232</v>
      </c>
      <c r="C2" s="1032"/>
      <c r="D2" s="1032"/>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13888</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30" ht="14.4">
      <c r="A4" s="361" t="s">
        <v>2460</v>
      </c>
      <c r="B4" s="362"/>
      <c r="C4" s="3287" t="s">
        <v>2461</v>
      </c>
      <c r="D4" s="3300"/>
      <c r="E4" s="3301" t="s">
        <v>2462</v>
      </c>
      <c r="F4" s="3302"/>
      <c r="G4" s="3287" t="s">
        <v>2463</v>
      </c>
      <c r="H4" s="3300"/>
      <c r="I4" s="3287" t="s">
        <v>2464</v>
      </c>
      <c r="J4" s="3300"/>
      <c r="K4" s="567" t="s">
        <v>2465</v>
      </c>
      <c r="L4" s="2936"/>
      <c r="M4" s="2937"/>
      <c r="N4" s="2937"/>
      <c r="O4" s="2937"/>
      <c r="P4" s="3303" t="s">
        <v>2466</v>
      </c>
      <c r="Q4" s="3304"/>
      <c r="R4" s="3309" t="s">
        <v>2462</v>
      </c>
      <c r="S4" s="3310"/>
      <c r="T4" s="3309" t="s">
        <v>2463</v>
      </c>
      <c r="U4" s="3310"/>
      <c r="V4" s="3296" t="s">
        <v>2464</v>
      </c>
      <c r="W4" s="3296"/>
      <c r="X4" s="1532"/>
      <c r="Y4" s="3309" t="s">
        <v>2466</v>
      </c>
      <c r="Z4" s="3310"/>
      <c r="AA4" s="3297" t="s">
        <v>2462</v>
      </c>
      <c r="AB4" s="3298" t="s">
        <v>2463</v>
      </c>
      <c r="AC4" s="3297" t="s">
        <v>2464</v>
      </c>
    </row>
    <row r="5" spans="1:30" ht="48" customHeight="1">
      <c r="A5" s="364"/>
      <c r="B5" s="365"/>
      <c r="C5" s="3322" t="s">
        <v>3606</v>
      </c>
      <c r="D5" s="3318"/>
      <c r="E5" s="3325" t="str">
        <f>土地案例!A17</f>
        <v>北京市海淀区学院路北端A、B、C、J地块B4综合性商业金融服务业用地、B23研发设计用地</v>
      </c>
      <c r="F5" s="3326"/>
      <c r="G5" s="3317" t="str">
        <f>土地案例!A21</f>
        <v>北京市海淀区&amp;quot海淀北部地区整体开发&amp;quot西北旺镇HD00-0402-0102地块(永丰产业基地)B1商业用地</v>
      </c>
      <c r="H5" s="3318"/>
      <c r="I5" s="3317" t="str">
        <f>土地案例!A26</f>
        <v>北京市丰台区丽泽金融商务区南区F-22、F-23地块F3其他类多功能用地</v>
      </c>
      <c r="J5" s="3318"/>
      <c r="K5" s="567"/>
      <c r="L5" s="2936"/>
      <c r="M5" s="2937"/>
      <c r="N5" s="2937"/>
      <c r="O5" s="2937"/>
      <c r="P5" s="3305"/>
      <c r="Q5" s="3306"/>
      <c r="R5" s="3311"/>
      <c r="S5" s="3312"/>
      <c r="T5" s="3311"/>
      <c r="U5" s="3312"/>
      <c r="V5" s="3296"/>
      <c r="W5" s="3296"/>
      <c r="X5" s="1532"/>
      <c r="Y5" s="3311"/>
      <c r="Z5" s="3312"/>
      <c r="AA5" s="3298"/>
      <c r="AB5" s="3298"/>
      <c r="AC5" s="3298"/>
    </row>
    <row r="6" spans="1:30" ht="15" thickBot="1">
      <c r="A6" s="366"/>
      <c r="B6" s="367"/>
      <c r="C6" s="3315" t="s">
        <v>2361</v>
      </c>
      <c r="D6" s="3316"/>
      <c r="E6" s="3323" t="s">
        <v>2361</v>
      </c>
      <c r="F6" s="3324"/>
      <c r="G6" s="3315" t="s">
        <v>2361</v>
      </c>
      <c r="H6" s="3316"/>
      <c r="I6" s="3315" t="s">
        <v>2361</v>
      </c>
      <c r="J6" s="3316"/>
      <c r="K6" s="567" t="s">
        <v>2362</v>
      </c>
      <c r="L6" s="2936"/>
      <c r="M6" s="2937"/>
      <c r="N6" s="2937"/>
      <c r="O6" s="2937"/>
      <c r="P6" s="3307"/>
      <c r="Q6" s="3308"/>
      <c r="R6" s="3311"/>
      <c r="S6" s="3312"/>
      <c r="T6" s="3313"/>
      <c r="U6" s="3314"/>
      <c r="V6" s="3296"/>
      <c r="W6" s="3296"/>
      <c r="X6" s="1532"/>
      <c r="Y6" s="3313"/>
      <c r="Z6" s="3314"/>
      <c r="AA6" s="3299"/>
      <c r="AB6" s="3299"/>
      <c r="AC6" s="3299"/>
    </row>
    <row r="7" spans="1:30" s="113" customFormat="1" ht="15" thickBot="1">
      <c r="A7" s="368" t="s">
        <v>2363</v>
      </c>
      <c r="B7" s="369"/>
      <c r="C7" s="370">
        <f>'数据-取费表'!B2</f>
        <v>44397</v>
      </c>
      <c r="D7" s="371">
        <v>100</v>
      </c>
      <c r="E7" s="372" t="str">
        <f>土地案例!AB17</f>
        <v>2019-12-02</v>
      </c>
      <c r="F7" s="373">
        <f>SUMIF(70:70,YEAR(E7)&amp;"-"&amp;INT((MONTH(E7)+2)/3),71:71)</f>
        <v>96.5</v>
      </c>
      <c r="G7" s="2152" t="str">
        <f>土地案例!AB21</f>
        <v>2019-05-28</v>
      </c>
      <c r="H7" s="371">
        <f>SUMIF(70:70,YEAR(G7)&amp;"-"&amp;INT((MONTH(G7)+2)/3),71:71)</f>
        <v>95.5</v>
      </c>
      <c r="I7" s="2152" t="str">
        <f>土地案例!AB26</f>
        <v>2018-07-06</v>
      </c>
      <c r="J7" s="371">
        <f>SUMIF(70:70,YEAR(I7)&amp;"-"&amp;INT((MONTH(I7)+2)/3),71:71)</f>
        <v>94</v>
      </c>
      <c r="K7" s="568"/>
      <c r="L7" s="2938"/>
      <c r="M7" s="2939"/>
      <c r="N7" s="2939"/>
      <c r="O7" s="2939"/>
      <c r="P7" s="3319" t="s">
        <v>2364</v>
      </c>
      <c r="Q7" s="3321"/>
      <c r="R7" s="710" t="s">
        <v>17</v>
      </c>
      <c r="S7" s="711">
        <f t="shared" ref="S7:S15" si="0">F7</f>
        <v>96.5</v>
      </c>
      <c r="T7" s="710" t="s">
        <v>17</v>
      </c>
      <c r="U7" s="711">
        <f t="shared" ref="U7:U15" si="1">H7</f>
        <v>95.5</v>
      </c>
      <c r="V7" s="710" t="s">
        <v>17</v>
      </c>
      <c r="W7" s="711">
        <f t="shared" ref="W7:W15" si="2">J7</f>
        <v>94</v>
      </c>
      <c r="X7" s="712"/>
      <c r="Y7" s="3319" t="s">
        <v>2364</v>
      </c>
      <c r="Z7" s="3320"/>
      <c r="AA7" s="713">
        <f>D7/F7</f>
        <v>1.0362694300518134</v>
      </c>
      <c r="AB7" s="713">
        <f>D7/H7</f>
        <v>1.0471204188481675</v>
      </c>
      <c r="AC7" s="713">
        <f>D7/J7</f>
        <v>1.0638297872340425</v>
      </c>
    </row>
    <row r="8" spans="1:30" s="113" customFormat="1" ht="1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38"/>
      <c r="M8" s="2939"/>
      <c r="N8" s="2939"/>
      <c r="O8" s="2939"/>
      <c r="P8" s="3319" t="s">
        <v>2367</v>
      </c>
      <c r="Q8" s="3320"/>
      <c r="R8" s="710" t="s">
        <v>17</v>
      </c>
      <c r="S8" s="711">
        <f t="shared" si="0"/>
        <v>100</v>
      </c>
      <c r="T8" s="710" t="s">
        <v>17</v>
      </c>
      <c r="U8" s="711">
        <f t="shared" si="1"/>
        <v>100</v>
      </c>
      <c r="V8" s="710" t="s">
        <v>17</v>
      </c>
      <c r="W8" s="711">
        <f t="shared" si="2"/>
        <v>100</v>
      </c>
      <c r="X8" s="712"/>
      <c r="Y8" s="3319" t="s">
        <v>2367</v>
      </c>
      <c r="Z8" s="3320"/>
      <c r="AA8" s="713">
        <f t="shared" ref="AA8:AA45" si="3">D8/F8</f>
        <v>1</v>
      </c>
      <c r="AB8" s="713">
        <f t="shared" ref="AB8:AB45" si="4">D8/H8</f>
        <v>1</v>
      </c>
      <c r="AC8" s="713">
        <f t="shared" ref="AC8:AC45" si="5">D8/J8</f>
        <v>1</v>
      </c>
    </row>
    <row r="9" spans="1:30" s="113" customFormat="1" ht="14.4">
      <c r="A9" s="375" t="s">
        <v>2368</v>
      </c>
      <c r="B9" s="67" t="s">
        <v>2369</v>
      </c>
      <c r="C9" s="2155" t="s">
        <v>3577</v>
      </c>
      <c r="D9" s="131">
        <v>100</v>
      </c>
      <c r="E9" s="2155" t="s">
        <v>3577</v>
      </c>
      <c r="F9" s="131">
        <f>SUMIF(75:75,E9,76:76)-SUMIF(75:75,C9,76:76)+100</f>
        <v>100</v>
      </c>
      <c r="G9" s="2155" t="s">
        <v>3577</v>
      </c>
      <c r="H9" s="131">
        <f>SUMIF(75:75,G9,76:76)-SUMIF(75:75,C9,76:76)+100</f>
        <v>100</v>
      </c>
      <c r="I9" s="2155" t="s">
        <v>3577</v>
      </c>
      <c r="J9" s="131">
        <f>SUMIF(75:75,I9,76:76)-SUMIF(75:75,C9,76:76)+100</f>
        <v>100</v>
      </c>
      <c r="K9" s="568"/>
      <c r="L9" s="2938"/>
      <c r="M9" s="2939"/>
      <c r="N9" s="2939"/>
      <c r="O9" s="2993"/>
      <c r="P9" s="3290"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30" s="386" customFormat="1" ht="28.8">
      <c r="A10" s="380"/>
      <c r="B10" s="381" t="s">
        <v>2372</v>
      </c>
      <c r="C10" s="391"/>
      <c r="D10" s="132">
        <v>100</v>
      </c>
      <c r="E10" s="424"/>
      <c r="F10" s="132">
        <f>ROUND(100/'数据-取费表'!G16,0)</f>
        <v>104</v>
      </c>
      <c r="G10" s="422"/>
      <c r="H10" s="132">
        <f>ROUND(100/'数据-取费表'!G16,0)</f>
        <v>104</v>
      </c>
      <c r="I10" s="422"/>
      <c r="J10" s="132">
        <f>ROUND(100/'数据-取费表'!G16,0)</f>
        <v>104</v>
      </c>
      <c r="K10" s="628"/>
      <c r="L10" s="2940"/>
      <c r="M10" s="2941"/>
      <c r="N10" s="2941"/>
      <c r="O10" s="2994"/>
      <c r="P10" s="3290"/>
      <c r="Q10" s="1520" t="str">
        <f t="shared" si="6"/>
        <v>土地使用年限（年）</v>
      </c>
      <c r="R10" s="710" t="s">
        <v>17</v>
      </c>
      <c r="S10" s="711">
        <f t="shared" si="0"/>
        <v>104</v>
      </c>
      <c r="T10" s="710" t="s">
        <v>17</v>
      </c>
      <c r="U10" s="711">
        <f t="shared" si="1"/>
        <v>104</v>
      </c>
      <c r="V10" s="710" t="s">
        <v>17</v>
      </c>
      <c r="W10" s="711">
        <f t="shared" si="2"/>
        <v>104</v>
      </c>
      <c r="X10" s="712"/>
      <c r="Y10" s="3187"/>
      <c r="Z10" s="55" t="str">
        <f t="shared" si="7"/>
        <v>土地使用年限（年）</v>
      </c>
      <c r="AA10" s="713">
        <f t="shared" si="3"/>
        <v>0.96153846153846156</v>
      </c>
      <c r="AB10" s="713">
        <f t="shared" si="4"/>
        <v>0.96153846153846156</v>
      </c>
      <c r="AC10" s="713">
        <f t="shared" si="5"/>
        <v>0.96153846153846156</v>
      </c>
    </row>
    <row r="11" spans="1:30" ht="15">
      <c r="A11" s="387"/>
      <c r="B11" s="381" t="s">
        <v>2373</v>
      </c>
      <c r="C11" s="388">
        <f>'数据-汇总表'!I6</f>
        <v>3.96</v>
      </c>
      <c r="D11" s="132">
        <v>100</v>
      </c>
      <c r="E11" s="388">
        <v>4.04</v>
      </c>
      <c r="F11" s="132">
        <f>LOOKUP(E11,80:80,81:81)-LOOKUP(C11,80:80,81:81)+100</f>
        <v>100</v>
      </c>
      <c r="G11" s="389">
        <v>3</v>
      </c>
      <c r="H11" s="132">
        <f>LOOKUP(G11,80:80,81:81)-LOOKUP(C11,80:80,81:81)+100</f>
        <v>100</v>
      </c>
      <c r="I11" s="388">
        <v>3.04</v>
      </c>
      <c r="J11" s="132">
        <f>LOOKUP(I11,80:80,81:81)-LOOKUP(C11,80:80,81:81)+100</f>
        <v>100</v>
      </c>
      <c r="K11" s="629">
        <v>2</v>
      </c>
      <c r="L11" s="2942"/>
      <c r="M11" s="2937"/>
      <c r="N11" s="2937"/>
      <c r="O11" s="2995"/>
      <c r="P11" s="3290"/>
      <c r="Q11" s="1520" t="str">
        <f t="shared" si="6"/>
        <v>容积率</v>
      </c>
      <c r="R11" s="710" t="s">
        <v>17</v>
      </c>
      <c r="S11" s="711">
        <f t="shared" si="0"/>
        <v>100</v>
      </c>
      <c r="T11" s="710" t="s">
        <v>17</v>
      </c>
      <c r="U11" s="711">
        <f t="shared" si="1"/>
        <v>100</v>
      </c>
      <c r="V11" s="710" t="s">
        <v>17</v>
      </c>
      <c r="W11" s="711">
        <f t="shared" si="2"/>
        <v>100</v>
      </c>
      <c r="X11" s="712"/>
      <c r="Y11" s="3187"/>
      <c r="Z11" s="55" t="str">
        <f t="shared" si="7"/>
        <v>容积率</v>
      </c>
      <c r="AA11" s="713">
        <f t="shared" si="3"/>
        <v>1</v>
      </c>
      <c r="AB11" s="713">
        <f t="shared" si="4"/>
        <v>1</v>
      </c>
      <c r="AC11" s="713">
        <f t="shared" si="5"/>
        <v>1</v>
      </c>
    </row>
    <row r="12" spans="1:30" s="113" customFormat="1" ht="15">
      <c r="A12" s="390"/>
      <c r="B12" s="3079" t="s">
        <v>3644</v>
      </c>
      <c r="C12" s="391" t="s">
        <v>3646</v>
      </c>
      <c r="D12" s="392">
        <v>100</v>
      </c>
      <c r="E12" s="424" t="s">
        <v>3639</v>
      </c>
      <c r="F12" s="132">
        <f>SUMIF(82:82,E12,83:83)-SUMIF(82:82,C12,83:83)+100</f>
        <v>101</v>
      </c>
      <c r="G12" s="424" t="s">
        <v>3639</v>
      </c>
      <c r="H12" s="132">
        <f>SUMIF(82:82,G12,83:83)-SUMIF(82:82,C12,83:83)+100</f>
        <v>101</v>
      </c>
      <c r="I12" s="424" t="s">
        <v>3639</v>
      </c>
      <c r="J12" s="132">
        <f>SUMIF(82:82,I12,83:83)-SUMIF(82:82,C12,83:83)+100</f>
        <v>101</v>
      </c>
      <c r="K12" s="628"/>
      <c r="L12" s="2938"/>
      <c r="M12" s="2939"/>
      <c r="N12" s="2939"/>
      <c r="O12" s="2993"/>
      <c r="P12" s="3290"/>
      <c r="Q12" s="1520" t="str">
        <f t="shared" si="6"/>
        <v>代建比例</v>
      </c>
      <c r="R12" s="710" t="s">
        <v>17</v>
      </c>
      <c r="S12" s="711">
        <f t="shared" si="0"/>
        <v>101</v>
      </c>
      <c r="T12" s="710" t="s">
        <v>17</v>
      </c>
      <c r="U12" s="711">
        <f t="shared" si="1"/>
        <v>101</v>
      </c>
      <c r="V12" s="710" t="s">
        <v>17</v>
      </c>
      <c r="W12" s="711">
        <f t="shared" si="2"/>
        <v>101</v>
      </c>
      <c r="X12" s="712"/>
      <c r="Y12" s="3187"/>
      <c r="Z12" s="55" t="str">
        <f t="shared" si="7"/>
        <v>代建比例</v>
      </c>
      <c r="AA12" s="713">
        <f>D12/F12</f>
        <v>0.99009900990099009</v>
      </c>
      <c r="AB12" s="713">
        <f>D12/H12</f>
        <v>0.99009900990099009</v>
      </c>
      <c r="AC12" s="713">
        <f>D12/J12</f>
        <v>0.99009900990099009</v>
      </c>
    </row>
    <row r="13" spans="1:30" ht="15">
      <c r="A13" s="387"/>
      <c r="B13" s="3079" t="s">
        <v>3638</v>
      </c>
      <c r="C13" s="391" t="s">
        <v>3646</v>
      </c>
      <c r="D13" s="394">
        <v>100</v>
      </c>
      <c r="E13" s="3082" t="s">
        <v>3657</v>
      </c>
      <c r="F13" s="132">
        <f>SUMIF(84:84,E13,85:85)-SUMIF(84:84,C13,85:85)+100</f>
        <v>96</v>
      </c>
      <c r="G13" s="424" t="s">
        <v>3639</v>
      </c>
      <c r="H13" s="394">
        <f>SUMIF(84:84,G13,85:85)-SUMIF(84:84,C13,85:85)+100</f>
        <v>101</v>
      </c>
      <c r="I13" s="3080" t="s">
        <v>3658</v>
      </c>
      <c r="J13" s="394">
        <f>SUMIF(84:84,I13,85:85)-SUMIF(84:84,C13,85:85)+100</f>
        <v>92</v>
      </c>
      <c r="K13" s="628"/>
      <c r="L13" s="2943"/>
      <c r="M13" s="2937"/>
      <c r="N13" s="2937"/>
      <c r="O13" s="2995"/>
      <c r="P13" s="3290"/>
      <c r="Q13" s="1520" t="str">
        <f t="shared" si="6"/>
        <v>自持比例</v>
      </c>
      <c r="R13" s="710" t="s">
        <v>17</v>
      </c>
      <c r="S13" s="711">
        <f t="shared" si="0"/>
        <v>96</v>
      </c>
      <c r="T13" s="710" t="s">
        <v>17</v>
      </c>
      <c r="U13" s="711">
        <f t="shared" si="1"/>
        <v>101</v>
      </c>
      <c r="V13" s="710" t="s">
        <v>17</v>
      </c>
      <c r="W13" s="711">
        <f t="shared" si="2"/>
        <v>92</v>
      </c>
      <c r="X13" s="712"/>
      <c r="Y13" s="3187"/>
      <c r="Z13" s="55" t="str">
        <f t="shared" si="7"/>
        <v>自持比例</v>
      </c>
      <c r="AA13" s="713">
        <f>D13/F13</f>
        <v>1.0416666666666667</v>
      </c>
      <c r="AB13" s="713">
        <f>D13/H13</f>
        <v>0.99009900990099009</v>
      </c>
      <c r="AC13" s="713">
        <f>D13/J13</f>
        <v>1.0869565217391304</v>
      </c>
    </row>
    <row r="14" spans="1:30" ht="15.6"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290"/>
      <c r="Q14" s="1520">
        <f t="shared" si="6"/>
        <v>111</v>
      </c>
      <c r="R14" s="710" t="s">
        <v>17</v>
      </c>
      <c r="S14" s="711">
        <f t="shared" si="0"/>
        <v>100</v>
      </c>
      <c r="T14" s="710" t="s">
        <v>17</v>
      </c>
      <c r="U14" s="711">
        <f t="shared" si="1"/>
        <v>100</v>
      </c>
      <c r="V14" s="710" t="s">
        <v>17</v>
      </c>
      <c r="W14" s="711">
        <f t="shared" si="2"/>
        <v>100</v>
      </c>
      <c r="X14" s="712"/>
      <c r="Y14" s="3187"/>
      <c r="Z14" s="55">
        <f t="shared" si="7"/>
        <v>111</v>
      </c>
      <c r="AA14" s="713">
        <f>D14/F14</f>
        <v>1</v>
      </c>
      <c r="AB14" s="713">
        <f>D14/H14</f>
        <v>1</v>
      </c>
      <c r="AC14" s="713">
        <f>D14/J14</f>
        <v>1</v>
      </c>
    </row>
    <row r="15" spans="1:30" ht="96.6" hidden="1">
      <c r="A15" s="399" t="s">
        <v>2374</v>
      </c>
      <c r="B15" s="65" t="s">
        <v>1940</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292" t="s">
        <v>2375</v>
      </c>
      <c r="Q15" s="1529" t="str">
        <f t="shared" si="6"/>
        <v>居住社区成熟度</v>
      </c>
      <c r="R15" s="714" t="s">
        <v>17</v>
      </c>
      <c r="S15" s="715">
        <f t="shared" si="0"/>
        <v>100</v>
      </c>
      <c r="T15" s="714" t="s">
        <v>17</v>
      </c>
      <c r="U15" s="715">
        <f t="shared" si="1"/>
        <v>100</v>
      </c>
      <c r="V15" s="714" t="s">
        <v>17</v>
      </c>
      <c r="W15" s="715">
        <f t="shared" si="2"/>
        <v>100</v>
      </c>
      <c r="X15" s="1532"/>
      <c r="Y15" s="3292" t="s">
        <v>2375</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3"/>
      <c r="M16" s="2937"/>
      <c r="N16" s="2937"/>
      <c r="O16" s="2995"/>
      <c r="P16" s="3293"/>
      <c r="Q16" s="1529"/>
      <c r="R16" s="714"/>
      <c r="S16" s="715"/>
      <c r="T16" s="714"/>
      <c r="U16" s="715"/>
      <c r="V16" s="714"/>
      <c r="W16" s="715"/>
      <c r="X16" s="1532"/>
      <c r="Y16" s="3293"/>
      <c r="Z16" s="1533"/>
      <c r="AA16" s="1530">
        <v>1</v>
      </c>
      <c r="AB16" s="1530">
        <v>1</v>
      </c>
      <c r="AC16" s="1530">
        <v>1</v>
      </c>
    </row>
    <row r="17" spans="1:29" ht="82.8">
      <c r="A17" s="387"/>
      <c r="B17" s="410" t="s">
        <v>2468</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102</v>
      </c>
      <c r="K17" s="629">
        <v>2</v>
      </c>
      <c r="L17" s="2943"/>
      <c r="M17" s="2937"/>
      <c r="N17" s="2937"/>
      <c r="O17" s="2995"/>
      <c r="P17" s="3293"/>
      <c r="Q17" s="1529" t="str">
        <f>B17</f>
        <v>商业繁华度</v>
      </c>
      <c r="R17" s="714" t="s">
        <v>17</v>
      </c>
      <c r="S17" s="715">
        <f>F17</f>
        <v>100</v>
      </c>
      <c r="T17" s="714" t="s">
        <v>17</v>
      </c>
      <c r="U17" s="715">
        <f>H17</f>
        <v>100</v>
      </c>
      <c r="V17" s="714" t="s">
        <v>17</v>
      </c>
      <c r="W17" s="715">
        <f>J17</f>
        <v>102</v>
      </c>
      <c r="X17" s="1532"/>
      <c r="Y17" s="3293"/>
      <c r="Z17" s="1533" t="str">
        <f>Q17</f>
        <v>商业繁华度</v>
      </c>
      <c r="AA17" s="1530">
        <f t="shared" si="3"/>
        <v>1</v>
      </c>
      <c r="AB17" s="1530">
        <f t="shared" si="4"/>
        <v>1</v>
      </c>
      <c r="AC17" s="1530">
        <f t="shared" si="5"/>
        <v>0.98039215686274506</v>
      </c>
    </row>
    <row r="18" spans="1:29" ht="15">
      <c r="A18" s="387"/>
      <c r="B18" s="415"/>
      <c r="C18" s="2079" t="s">
        <v>3579</v>
      </c>
      <c r="D18" s="409"/>
      <c r="E18" s="2081" t="s">
        <v>3579</v>
      </c>
      <c r="F18" s="409"/>
      <c r="G18" s="2081" t="s">
        <v>3579</v>
      </c>
      <c r="H18" s="407"/>
      <c r="I18" s="2080" t="s">
        <v>3580</v>
      </c>
      <c r="J18" s="407"/>
      <c r="K18" s="628"/>
      <c r="L18" s="2943"/>
      <c r="M18" s="2937"/>
      <c r="N18" s="2937"/>
      <c r="O18" s="2995"/>
      <c r="P18" s="3293"/>
      <c r="Q18" s="1529"/>
      <c r="R18" s="714"/>
      <c r="S18" s="715"/>
      <c r="T18" s="714"/>
      <c r="U18" s="715"/>
      <c r="V18" s="714"/>
      <c r="W18" s="715"/>
      <c r="X18" s="1532"/>
      <c r="Y18" s="3293"/>
      <c r="Z18" s="1533"/>
      <c r="AA18" s="1530">
        <v>1</v>
      </c>
      <c r="AB18" s="1530">
        <v>1</v>
      </c>
      <c r="AC18" s="1530">
        <v>1</v>
      </c>
    </row>
    <row r="19" spans="1:29" ht="82.8">
      <c r="A19" s="387"/>
      <c r="B19" s="410" t="s">
        <v>2502</v>
      </c>
      <c r="C19" s="2133" t="str">
        <f>估价对象房地状况!C17</f>
        <v>估价对象位于XX商圈，周边办公楼项目较多，入驻率高，办公集聚程度较好</v>
      </c>
      <c r="D19" s="414">
        <v>100</v>
      </c>
      <c r="E19" s="416"/>
      <c r="F19" s="414">
        <f>SUMIF(92:92,E20,93:93)-SUMIF(92:92,C20,93:93)+100</f>
        <v>110</v>
      </c>
      <c r="G19" s="416"/>
      <c r="H19" s="409">
        <f>SUMIF(92:92,G20,93:93)-SUMIF(92:92,C20,93:93)+100</f>
        <v>110</v>
      </c>
      <c r="I19" s="418"/>
      <c r="J19" s="409">
        <f>SUMIF(92:92,I20,93:93)-SUMIF(92:92,C20,93:93)+100</f>
        <v>110</v>
      </c>
      <c r="K19" s="629">
        <v>10</v>
      </c>
      <c r="L19" s="2943"/>
      <c r="M19" s="2937"/>
      <c r="N19" s="2937"/>
      <c r="O19" s="2995"/>
      <c r="P19" s="3293"/>
      <c r="Q19" s="1529" t="str">
        <f>B19</f>
        <v>办公集聚程度</v>
      </c>
      <c r="R19" s="714" t="s">
        <v>17</v>
      </c>
      <c r="S19" s="715">
        <f>F19</f>
        <v>110</v>
      </c>
      <c r="T19" s="714" t="s">
        <v>17</v>
      </c>
      <c r="U19" s="715">
        <f>H19</f>
        <v>110</v>
      </c>
      <c r="V19" s="714" t="s">
        <v>17</v>
      </c>
      <c r="W19" s="715">
        <f>J19</f>
        <v>110</v>
      </c>
      <c r="X19" s="1532"/>
      <c r="Y19" s="3293"/>
      <c r="Z19" s="1533" t="str">
        <f>Q19</f>
        <v>办公集聚程度</v>
      </c>
      <c r="AA19" s="1530">
        <f t="shared" si="3"/>
        <v>0.90909090909090906</v>
      </c>
      <c r="AB19" s="1530">
        <f t="shared" si="4"/>
        <v>0.90909090909090906</v>
      </c>
      <c r="AC19" s="1530">
        <f t="shared" si="5"/>
        <v>0.90909090909090906</v>
      </c>
    </row>
    <row r="20" spans="1:29" ht="15">
      <c r="A20" s="387"/>
      <c r="B20" s="415"/>
      <c r="C20" s="406" t="s">
        <v>3579</v>
      </c>
      <c r="D20" s="407"/>
      <c r="E20" s="2076" t="s">
        <v>3580</v>
      </c>
      <c r="F20" s="407"/>
      <c r="G20" s="2076" t="s">
        <v>3580</v>
      </c>
      <c r="H20" s="407"/>
      <c r="I20" s="2076" t="s">
        <v>3580</v>
      </c>
      <c r="J20" s="407"/>
      <c r="K20" s="628"/>
      <c r="L20" s="2943"/>
      <c r="M20" s="2937"/>
      <c r="N20" s="2937"/>
      <c r="O20" s="2995"/>
      <c r="P20" s="3293"/>
      <c r="Q20" s="1529"/>
      <c r="R20" s="714"/>
      <c r="S20" s="715"/>
      <c r="T20" s="714"/>
      <c r="U20" s="715"/>
      <c r="V20" s="714"/>
      <c r="W20" s="715"/>
      <c r="X20" s="1532"/>
      <c r="Y20" s="3293"/>
      <c r="Z20" s="1533"/>
      <c r="AA20" s="1530">
        <v>1</v>
      </c>
      <c r="AB20" s="1530">
        <v>1</v>
      </c>
      <c r="AC20" s="1530">
        <v>1</v>
      </c>
    </row>
    <row r="21" spans="1:29" ht="96.6">
      <c r="A21" s="387"/>
      <c r="B21" s="410" t="s">
        <v>2524</v>
      </c>
      <c r="C21" s="207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43"/>
      <c r="M21" s="2937"/>
      <c r="N21" s="2937"/>
      <c r="O21" s="2995"/>
      <c r="P21" s="3293"/>
      <c r="Q21" s="1529" t="str">
        <f>B21</f>
        <v>交通便捷度</v>
      </c>
      <c r="R21" s="714" t="s">
        <v>17</v>
      </c>
      <c r="S21" s="715">
        <f>F21</f>
        <v>98</v>
      </c>
      <c r="T21" s="714" t="s">
        <v>17</v>
      </c>
      <c r="U21" s="715">
        <f>H21</f>
        <v>100</v>
      </c>
      <c r="V21" s="714" t="s">
        <v>17</v>
      </c>
      <c r="W21" s="715">
        <f>J21</f>
        <v>100</v>
      </c>
      <c r="X21" s="1532"/>
      <c r="Y21" s="3293"/>
      <c r="Z21" s="1533" t="str">
        <f>Q21</f>
        <v>交通便捷度</v>
      </c>
      <c r="AA21" s="1530">
        <f t="shared" si="3"/>
        <v>1.0204081632653061</v>
      </c>
      <c r="AB21" s="1530">
        <f t="shared" si="4"/>
        <v>1</v>
      </c>
      <c r="AC21" s="1530">
        <f t="shared" si="5"/>
        <v>1</v>
      </c>
    </row>
    <row r="22" spans="1:29" ht="15">
      <c r="A22" s="387"/>
      <c r="B22" s="1287"/>
      <c r="C22" s="406" t="s">
        <v>3580</v>
      </c>
      <c r="D22" s="409"/>
      <c r="E22" s="2076" t="s">
        <v>3579</v>
      </c>
      <c r="F22" s="407"/>
      <c r="G22" s="406" t="s">
        <v>3580</v>
      </c>
      <c r="H22" s="407"/>
      <c r="I22" s="406" t="s">
        <v>3580</v>
      </c>
      <c r="J22" s="407"/>
      <c r="K22" s="628"/>
      <c r="L22" s="2943"/>
      <c r="M22" s="2937"/>
      <c r="N22" s="2937"/>
      <c r="O22" s="2995"/>
      <c r="P22" s="3293"/>
      <c r="Q22" s="1529"/>
      <c r="R22" s="714"/>
      <c r="S22" s="715"/>
      <c r="T22" s="714"/>
      <c r="U22" s="715"/>
      <c r="V22" s="714"/>
      <c r="W22" s="715"/>
      <c r="X22" s="1532"/>
      <c r="Y22" s="3293"/>
      <c r="Z22" s="1533"/>
      <c r="AA22" s="1530">
        <v>1</v>
      </c>
      <c r="AB22" s="1530">
        <v>1</v>
      </c>
      <c r="AC22" s="1530">
        <v>1</v>
      </c>
    </row>
    <row r="23" spans="1:29" ht="28.8">
      <c r="A23" s="364"/>
      <c r="B23" s="410" t="s">
        <v>2562</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1</v>
      </c>
      <c r="L23" s="2943"/>
      <c r="M23" s="2937"/>
      <c r="N23" s="2937"/>
      <c r="O23" s="2995"/>
      <c r="P23" s="3293"/>
      <c r="Q23" s="1529" t="str">
        <f t="shared" ref="Q23:Q37" si="8">B23</f>
        <v>区域土地利用方向</v>
      </c>
      <c r="R23" s="714" t="s">
        <v>17</v>
      </c>
      <c r="S23" s="715">
        <f>F23</f>
        <v>100</v>
      </c>
      <c r="T23" s="714" t="s">
        <v>17</v>
      </c>
      <c r="U23" s="715">
        <f>H23</f>
        <v>100</v>
      </c>
      <c r="V23" s="714" t="s">
        <v>17</v>
      </c>
      <c r="W23" s="715">
        <f>J23</f>
        <v>100</v>
      </c>
      <c r="X23" s="1532"/>
      <c r="Y23" s="3293"/>
      <c r="Z23" s="1533" t="str">
        <f>Q23</f>
        <v>区域土地利用方向</v>
      </c>
      <c r="AA23" s="1530">
        <f t="shared" si="3"/>
        <v>1</v>
      </c>
      <c r="AB23" s="1530">
        <f t="shared" si="4"/>
        <v>1</v>
      </c>
      <c r="AC23" s="1530">
        <f t="shared" si="5"/>
        <v>1</v>
      </c>
    </row>
    <row r="24" spans="1:29" ht="15">
      <c r="A24" s="364"/>
      <c r="B24" s="415"/>
      <c r="C24" s="573" t="s">
        <v>3580</v>
      </c>
      <c r="D24" s="407"/>
      <c r="E24" s="573" t="s">
        <v>3580</v>
      </c>
      <c r="F24" s="407"/>
      <c r="G24" s="573" t="s">
        <v>3580</v>
      </c>
      <c r="H24" s="407"/>
      <c r="I24" s="573" t="s">
        <v>3580</v>
      </c>
      <c r="J24" s="407"/>
      <c r="K24" s="745"/>
      <c r="L24" s="2943"/>
      <c r="M24" s="2937"/>
      <c r="N24" s="2937"/>
      <c r="O24" s="2995"/>
      <c r="P24" s="3293"/>
      <c r="Q24" s="1529"/>
      <c r="R24" s="714"/>
      <c r="S24" s="715"/>
      <c r="T24" s="714"/>
      <c r="U24" s="715"/>
      <c r="V24" s="714"/>
      <c r="W24" s="715"/>
      <c r="X24" s="1532"/>
      <c r="Y24" s="3293"/>
      <c r="Z24" s="1533"/>
      <c r="AA24" s="1530"/>
      <c r="AB24" s="1530"/>
      <c r="AC24" s="1530"/>
    </row>
    <row r="25" spans="1:29" ht="55.2">
      <c r="A25" s="364"/>
      <c r="B25" s="1287" t="s">
        <v>2563</v>
      </c>
      <c r="C25" s="2133"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3"/>
      <c r="M25" s="2937"/>
      <c r="N25" s="2937"/>
      <c r="O25" s="2995"/>
      <c r="P25" s="3293"/>
      <c r="Q25" s="1529" t="str">
        <f t="shared" si="8"/>
        <v>自然及人文环境状况</v>
      </c>
      <c r="R25" s="714" t="s">
        <v>17</v>
      </c>
      <c r="S25" s="715">
        <f>F25</f>
        <v>100</v>
      </c>
      <c r="T25" s="714" t="s">
        <v>17</v>
      </c>
      <c r="U25" s="715">
        <f>H25</f>
        <v>98</v>
      </c>
      <c r="V25" s="714" t="s">
        <v>17</v>
      </c>
      <c r="W25" s="715">
        <f>J25</f>
        <v>100</v>
      </c>
      <c r="X25" s="1532"/>
      <c r="Y25" s="3293"/>
      <c r="Z25" s="1533" t="str">
        <f>Q25</f>
        <v>自然及人文环境状况</v>
      </c>
      <c r="AA25" s="1530">
        <f t="shared" si="3"/>
        <v>1</v>
      </c>
      <c r="AB25" s="1530">
        <f t="shared" si="4"/>
        <v>1.0204081632653061</v>
      </c>
      <c r="AC25" s="1530">
        <f t="shared" si="5"/>
        <v>1</v>
      </c>
    </row>
    <row r="26" spans="1:29" ht="15">
      <c r="A26" s="364"/>
      <c r="B26" s="415"/>
      <c r="C26" s="406" t="s">
        <v>3580</v>
      </c>
      <c r="D26" s="407"/>
      <c r="E26" s="2082" t="s">
        <v>3580</v>
      </c>
      <c r="F26" s="407"/>
      <c r="G26" s="2082" t="s">
        <v>3579</v>
      </c>
      <c r="H26" s="407"/>
      <c r="I26" s="2082" t="s">
        <v>3580</v>
      </c>
      <c r="J26" s="407"/>
      <c r="K26" s="628"/>
      <c r="L26" s="2943"/>
      <c r="M26" s="2937"/>
      <c r="N26" s="2937"/>
      <c r="O26" s="2995"/>
      <c r="P26" s="3293"/>
      <c r="Q26" s="1529"/>
      <c r="R26" s="714"/>
      <c r="S26" s="715"/>
      <c r="T26" s="714"/>
      <c r="U26" s="715"/>
      <c r="V26" s="714"/>
      <c r="W26" s="715"/>
      <c r="X26" s="1532"/>
      <c r="Y26" s="3293"/>
      <c r="Z26" s="1533"/>
      <c r="AA26" s="1530">
        <v>1</v>
      </c>
      <c r="AB26" s="1530">
        <v>1</v>
      </c>
      <c r="AC26" s="1530">
        <v>1</v>
      </c>
    </row>
    <row r="27" spans="1:29" s="113" customFormat="1" ht="41.4">
      <c r="A27" s="605"/>
      <c r="B27" s="1287" t="s">
        <v>2469</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8"/>
      <c r="M27" s="2939"/>
      <c r="N27" s="2939"/>
      <c r="O27" s="2993"/>
      <c r="P27" s="3293"/>
      <c r="Q27" s="1520" t="str">
        <f t="shared" si="8"/>
        <v>公共配套设施</v>
      </c>
      <c r="R27" s="710" t="s">
        <v>17</v>
      </c>
      <c r="S27" s="711">
        <f>F27</f>
        <v>100</v>
      </c>
      <c r="T27" s="710" t="s">
        <v>17</v>
      </c>
      <c r="U27" s="711">
        <f>H27</f>
        <v>100</v>
      </c>
      <c r="V27" s="710" t="s">
        <v>17</v>
      </c>
      <c r="W27" s="711">
        <f>J27</f>
        <v>100</v>
      </c>
      <c r="X27" s="712"/>
      <c r="Y27" s="3293"/>
      <c r="Z27" s="55" t="str">
        <f>Q27</f>
        <v>公共配套设施</v>
      </c>
      <c r="AA27" s="1530">
        <f>D27/F27</f>
        <v>1</v>
      </c>
      <c r="AB27" s="1530">
        <f>D27/H27</f>
        <v>1</v>
      </c>
      <c r="AC27" s="1530">
        <f>D27/J27</f>
        <v>1</v>
      </c>
    </row>
    <row r="28" spans="1:29" s="113" customFormat="1" ht="15">
      <c r="A28" s="605"/>
      <c r="B28" s="415"/>
      <c r="C28" s="2156" t="s">
        <v>3580</v>
      </c>
      <c r="D28" s="407"/>
      <c r="E28" s="2156" t="s">
        <v>3580</v>
      </c>
      <c r="F28" s="407"/>
      <c r="G28" s="2156" t="s">
        <v>3580</v>
      </c>
      <c r="H28" s="407"/>
      <c r="I28" s="2156" t="s">
        <v>3580</v>
      </c>
      <c r="J28" s="407"/>
      <c r="K28" s="628"/>
      <c r="L28" s="2938"/>
      <c r="M28" s="2939"/>
      <c r="N28" s="2939"/>
      <c r="O28" s="2993"/>
      <c r="P28" s="3293"/>
      <c r="Q28" s="1520"/>
      <c r="R28" s="710"/>
      <c r="S28" s="711"/>
      <c r="T28" s="710"/>
      <c r="U28" s="711"/>
      <c r="V28" s="710"/>
      <c r="W28" s="711"/>
      <c r="X28" s="712"/>
      <c r="Y28" s="3293"/>
      <c r="Z28" s="55"/>
      <c r="AA28" s="1530">
        <v>1</v>
      </c>
      <c r="AB28" s="1530">
        <v>1</v>
      </c>
      <c r="AC28" s="1530">
        <v>1</v>
      </c>
    </row>
    <row r="29" spans="1:29" s="113" customFormat="1" ht="41.4">
      <c r="A29" s="605"/>
      <c r="B29" s="1287" t="s">
        <v>2470</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8"/>
      <c r="M29" s="2939"/>
      <c r="N29" s="2939"/>
      <c r="O29" s="2993"/>
      <c r="P29" s="3293"/>
      <c r="Q29" s="1520"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0">
        <f>D29/F29</f>
        <v>1</v>
      </c>
      <c r="AB29" s="1530">
        <f>D29/H29</f>
        <v>1</v>
      </c>
      <c r="AC29" s="1530">
        <f>D29/J29</f>
        <v>1</v>
      </c>
    </row>
    <row r="30" spans="1:29" s="113" customFormat="1" ht="15">
      <c r="A30" s="605"/>
      <c r="B30" s="415"/>
      <c r="C30" s="2156" t="s">
        <v>3662</v>
      </c>
      <c r="D30" s="407"/>
      <c r="E30" s="2156" t="s">
        <v>3662</v>
      </c>
      <c r="F30" s="407"/>
      <c r="G30" s="2156" t="s">
        <v>3662</v>
      </c>
      <c r="H30" s="407"/>
      <c r="I30" s="2156" t="s">
        <v>3662</v>
      </c>
      <c r="J30" s="407"/>
      <c r="K30" s="628"/>
      <c r="L30" s="2938"/>
      <c r="M30" s="2939"/>
      <c r="N30" s="2939"/>
      <c r="O30" s="2993"/>
      <c r="P30" s="3293"/>
      <c r="Q30" s="1520"/>
      <c r="R30" s="710"/>
      <c r="S30" s="711"/>
      <c r="T30" s="710"/>
      <c r="U30" s="711"/>
      <c r="V30" s="710"/>
      <c r="W30" s="711"/>
      <c r="X30" s="712"/>
      <c r="Y30" s="3293"/>
      <c r="Z30" s="55"/>
      <c r="AA30" s="1530">
        <v>1</v>
      </c>
      <c r="AB30" s="1530">
        <v>1</v>
      </c>
      <c r="AC30" s="1530">
        <v>1</v>
      </c>
    </row>
    <row r="31" spans="1:29" ht="15">
      <c r="A31" s="387"/>
      <c r="B31" s="415" t="s">
        <v>2471</v>
      </c>
      <c r="C31" s="573" t="s">
        <v>3659</v>
      </c>
      <c r="D31" s="394">
        <v>100</v>
      </c>
      <c r="E31" s="590" t="s">
        <v>3659</v>
      </c>
      <c r="F31" s="394">
        <f>SUMIF(104:104,E31,105:105)-SUMIF(104:104,C31,105:105)+100</f>
        <v>100</v>
      </c>
      <c r="G31" s="590" t="s">
        <v>3661</v>
      </c>
      <c r="H31" s="394">
        <f>SUMIF(104:104,G31,105:105)-SUMIF(104:104,C31,105:105)+100</f>
        <v>101</v>
      </c>
      <c r="I31" s="590" t="s">
        <v>3660</v>
      </c>
      <c r="J31" s="394">
        <f>SUMIF(104:104,I31,105:105)-SUMIF(104:104,C31,105:105)+100</f>
        <v>99</v>
      </c>
      <c r="K31" s="629">
        <v>1</v>
      </c>
      <c r="L31" s="2943"/>
      <c r="M31" s="2937"/>
      <c r="N31" s="2937"/>
      <c r="O31" s="2995"/>
      <c r="P31" s="3293"/>
      <c r="Q31" s="1529" t="str">
        <f t="shared" si="8"/>
        <v>临街状况</v>
      </c>
      <c r="R31" s="714" t="s">
        <v>17</v>
      </c>
      <c r="S31" s="715">
        <f t="shared" ref="S31:S45" si="10">F31</f>
        <v>100</v>
      </c>
      <c r="T31" s="714" t="s">
        <v>17</v>
      </c>
      <c r="U31" s="715">
        <f t="shared" ref="U31:U45" si="11">H31</f>
        <v>101</v>
      </c>
      <c r="V31" s="714" t="s">
        <v>17</v>
      </c>
      <c r="W31" s="715">
        <f t="shared" ref="W31:W45" si="12">J31</f>
        <v>99</v>
      </c>
      <c r="X31" s="1532"/>
      <c r="Y31" s="3293"/>
      <c r="Z31" s="1533" t="str">
        <f t="shared" ref="Z31:Z45" si="13">Q31</f>
        <v>临街状况</v>
      </c>
      <c r="AA31" s="1530">
        <f t="shared" si="3"/>
        <v>1</v>
      </c>
      <c r="AB31" s="1530">
        <f t="shared" si="4"/>
        <v>0.99009900990099009</v>
      </c>
      <c r="AC31" s="1530">
        <f t="shared" si="5"/>
        <v>1.0101010101010102</v>
      </c>
    </row>
    <row r="32" spans="1:29" ht="28.8">
      <c r="A32" s="387"/>
      <c r="B32" s="1287" t="s">
        <v>2506</v>
      </c>
      <c r="C32" s="3078" t="s">
        <v>3637</v>
      </c>
      <c r="D32" s="409">
        <v>100</v>
      </c>
      <c r="E32" s="3081" t="s">
        <v>3645</v>
      </c>
      <c r="F32" s="409">
        <f>SUMIF(106:106,E33,107:107)-SUMIF(106:106,C33,107:107)+100</f>
        <v>100</v>
      </c>
      <c r="G32" s="3081" t="s">
        <v>3643</v>
      </c>
      <c r="H32" s="409">
        <f>SUMIF(106:106,G33,107:107)-SUMIF(106:106,C33,107:107)+100</f>
        <v>100</v>
      </c>
      <c r="I32" s="3078" t="s">
        <v>3640</v>
      </c>
      <c r="J32" s="409">
        <f>SUMIF(106:106,I33,107:107)-SUMIF(106:106,C33,107:107)+100</f>
        <v>100</v>
      </c>
      <c r="K32" s="629"/>
      <c r="L32" s="2943"/>
      <c r="M32" s="2937"/>
      <c r="N32" s="2937"/>
      <c r="O32" s="2995"/>
      <c r="P32" s="3293"/>
      <c r="Q32" s="1529" t="str">
        <f t="shared" si="8"/>
        <v>毗邻道路的类型与等级</v>
      </c>
      <c r="R32" s="714" t="s">
        <v>17</v>
      </c>
      <c r="S32" s="715">
        <f t="shared" si="10"/>
        <v>100</v>
      </c>
      <c r="T32" s="714" t="s">
        <v>17</v>
      </c>
      <c r="U32" s="715">
        <f t="shared" si="11"/>
        <v>100</v>
      </c>
      <c r="V32" s="714" t="s">
        <v>17</v>
      </c>
      <c r="W32" s="715">
        <f t="shared" si="12"/>
        <v>100</v>
      </c>
      <c r="X32" s="1532"/>
      <c r="Y32" s="3293"/>
      <c r="Z32" s="1533" t="str">
        <f t="shared" si="13"/>
        <v>毗邻道路的类型与等级</v>
      </c>
      <c r="AA32" s="1530">
        <f t="shared" si="3"/>
        <v>1</v>
      </c>
      <c r="AB32" s="1530">
        <f t="shared" si="4"/>
        <v>1</v>
      </c>
      <c r="AC32" s="1530">
        <f t="shared" si="5"/>
        <v>1</v>
      </c>
    </row>
    <row r="33" spans="1:29" ht="15">
      <c r="A33" s="387"/>
      <c r="B33" s="415"/>
      <c r="C33" s="406" t="s">
        <v>3623</v>
      </c>
      <c r="D33" s="407"/>
      <c r="E33" s="2082" t="s">
        <v>3623</v>
      </c>
      <c r="F33" s="407"/>
      <c r="G33" s="2082" t="s">
        <v>3623</v>
      </c>
      <c r="H33" s="407"/>
      <c r="I33" s="406" t="s">
        <v>3623</v>
      </c>
      <c r="J33" s="407"/>
      <c r="K33" s="570"/>
      <c r="L33" s="2943"/>
      <c r="M33" s="2937"/>
      <c r="N33" s="2937"/>
      <c r="O33" s="2995"/>
      <c r="P33" s="3293"/>
      <c r="Q33" s="1529"/>
      <c r="R33" s="714"/>
      <c r="S33" s="715"/>
      <c r="T33" s="714"/>
      <c r="U33" s="715"/>
      <c r="V33" s="714"/>
      <c r="W33" s="715"/>
      <c r="X33" s="1532"/>
      <c r="Y33" s="3293"/>
      <c r="Z33" s="1533"/>
      <c r="AA33" s="1530">
        <v>1</v>
      </c>
      <c r="AB33" s="1530">
        <v>1</v>
      </c>
      <c r="AC33" s="1530">
        <v>1</v>
      </c>
    </row>
    <row r="34" spans="1:29" ht="15.6" thickBot="1">
      <c r="A34" s="387"/>
      <c r="B34" s="381" t="s">
        <v>2564</v>
      </c>
      <c r="C34" s="573" t="s">
        <v>526</v>
      </c>
      <c r="D34" s="394">
        <v>100</v>
      </c>
      <c r="E34" s="590" t="s">
        <v>523</v>
      </c>
      <c r="F34" s="394">
        <f>SUMIF(108:108,E34,109:109)-SUMIF(108:108,C34,109:109)+100</f>
        <v>110</v>
      </c>
      <c r="G34" s="590" t="s">
        <v>56</v>
      </c>
      <c r="H34" s="394">
        <f>SUMIF(108:108,G34,109:109)-SUMIF(108:108,C34,109:109)+100</f>
        <v>105</v>
      </c>
      <c r="I34" s="573" t="s">
        <v>137</v>
      </c>
      <c r="J34" s="394">
        <f>SUMIF(108:108,I34,109:109)-SUMIF(108:108,C34,109:109)+100</f>
        <v>115</v>
      </c>
      <c r="K34" s="569">
        <v>5</v>
      </c>
      <c r="L34" s="2943"/>
      <c r="M34" s="2937"/>
      <c r="N34" s="2937"/>
      <c r="O34" s="2995"/>
      <c r="P34" s="3293"/>
      <c r="Q34" s="1529" t="str">
        <f t="shared" si="8"/>
        <v>土地级别</v>
      </c>
      <c r="R34" s="714" t="s">
        <v>17</v>
      </c>
      <c r="S34" s="715">
        <f t="shared" si="10"/>
        <v>110</v>
      </c>
      <c r="T34" s="714" t="s">
        <v>17</v>
      </c>
      <c r="U34" s="715">
        <f t="shared" si="11"/>
        <v>105</v>
      </c>
      <c r="V34" s="714" t="s">
        <v>17</v>
      </c>
      <c r="W34" s="715">
        <f t="shared" si="12"/>
        <v>115</v>
      </c>
      <c r="X34" s="1532"/>
      <c r="Y34" s="3293"/>
      <c r="Z34" s="1533" t="str">
        <f t="shared" si="13"/>
        <v>土地级别</v>
      </c>
      <c r="AA34" s="1530">
        <f t="shared" si="3"/>
        <v>0.90909090909090906</v>
      </c>
      <c r="AB34" s="1530">
        <f t="shared" si="4"/>
        <v>0.95238095238095233</v>
      </c>
      <c r="AC34" s="1530">
        <f t="shared" si="5"/>
        <v>0.86956521739130432</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293"/>
      <c r="Q35" s="1529">
        <f t="shared" si="8"/>
        <v>111</v>
      </c>
      <c r="R35" s="714" t="s">
        <v>17</v>
      </c>
      <c r="S35" s="715">
        <f t="shared" si="10"/>
        <v>100</v>
      </c>
      <c r="T35" s="714" t="s">
        <v>17</v>
      </c>
      <c r="U35" s="715">
        <f t="shared" si="11"/>
        <v>100</v>
      </c>
      <c r="V35" s="714" t="s">
        <v>17</v>
      </c>
      <c r="W35" s="715">
        <f t="shared" si="12"/>
        <v>100</v>
      </c>
      <c r="X35" s="1532"/>
      <c r="Y35" s="3293"/>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294" t="s">
        <v>2380</v>
      </c>
      <c r="Q36" s="1529">
        <f t="shared" si="8"/>
        <v>111</v>
      </c>
      <c r="R36" s="714" t="s">
        <v>17</v>
      </c>
      <c r="S36" s="715">
        <f t="shared" si="10"/>
        <v>100</v>
      </c>
      <c r="T36" s="714" t="s">
        <v>17</v>
      </c>
      <c r="U36" s="715">
        <f t="shared" si="11"/>
        <v>100</v>
      </c>
      <c r="V36" s="714" t="s">
        <v>17</v>
      </c>
      <c r="W36" s="715">
        <f t="shared" si="12"/>
        <v>100</v>
      </c>
      <c r="X36" s="1532"/>
      <c r="Y36" s="3295" t="s">
        <v>2380</v>
      </c>
      <c r="Z36" s="1533">
        <f t="shared" si="13"/>
        <v>111</v>
      </c>
      <c r="AA36" s="1530">
        <f t="shared" si="3"/>
        <v>1</v>
      </c>
      <c r="AB36" s="1530">
        <f t="shared" si="4"/>
        <v>1</v>
      </c>
      <c r="AC36" s="1530">
        <f t="shared" si="5"/>
        <v>1</v>
      </c>
    </row>
    <row r="37" spans="1:29" s="430" customFormat="1" ht="15.6"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295"/>
      <c r="Q37" s="1529">
        <f t="shared" si="8"/>
        <v>111</v>
      </c>
      <c r="R37" s="717" t="s">
        <v>17</v>
      </c>
      <c r="S37" s="718">
        <f t="shared" si="10"/>
        <v>100</v>
      </c>
      <c r="T37" s="717" t="s">
        <v>17</v>
      </c>
      <c r="U37" s="718">
        <f t="shared" si="11"/>
        <v>100</v>
      </c>
      <c r="V37" s="717" t="s">
        <v>17</v>
      </c>
      <c r="W37" s="718">
        <f t="shared" si="12"/>
        <v>100</v>
      </c>
      <c r="X37" s="719"/>
      <c r="Y37" s="3295"/>
      <c r="Z37" s="720">
        <f t="shared" si="13"/>
        <v>111</v>
      </c>
      <c r="AA37" s="1530">
        <f t="shared" si="3"/>
        <v>1</v>
      </c>
      <c r="AB37" s="1530">
        <f t="shared" si="4"/>
        <v>1</v>
      </c>
      <c r="AC37" s="1530">
        <f t="shared" si="5"/>
        <v>1</v>
      </c>
    </row>
    <row r="38" spans="1:29" ht="15.6">
      <c r="A38" s="431" t="s">
        <v>2378</v>
      </c>
      <c r="B38" s="415" t="s">
        <v>2565</v>
      </c>
      <c r="C38" s="635">
        <f>'数据-基础表'!A3</f>
        <v>33619.79</v>
      </c>
      <c r="D38" s="426">
        <v>100</v>
      </c>
      <c r="E38" s="635">
        <f>土地案例!H17</f>
        <v>70601.070000000007</v>
      </c>
      <c r="F38" s="426">
        <f>LOOKUP(E38,117:117,118:118)-LOOKUP(C38,117:117,118:118)+100</f>
        <v>101</v>
      </c>
      <c r="G38" s="635">
        <f>土地案例!H21</f>
        <v>32158.94</v>
      </c>
      <c r="H38" s="426">
        <f>LOOKUP(G38,117:117,118:118)-LOOKUP(C38,117:117,118:118)+100</f>
        <v>100</v>
      </c>
      <c r="I38" s="487">
        <f>土地案例!H26</f>
        <v>39410.74</v>
      </c>
      <c r="J38" s="426">
        <f>LOOKUP(I38,117:117,118:118)-LOOKUP(C38,117:117,118:118)+100</f>
        <v>100</v>
      </c>
      <c r="K38" s="570"/>
      <c r="L38" s="2943"/>
      <c r="M38" s="2937"/>
      <c r="N38" s="2937"/>
      <c r="O38" s="2995"/>
      <c r="P38" s="3295"/>
      <c r="Q38" s="1529" t="str">
        <f>B38</f>
        <v>宗地面积</v>
      </c>
      <c r="R38" s="714" t="s">
        <v>17</v>
      </c>
      <c r="S38" s="715">
        <f t="shared" si="10"/>
        <v>101</v>
      </c>
      <c r="T38" s="714" t="s">
        <v>17</v>
      </c>
      <c r="U38" s="715">
        <f t="shared" si="11"/>
        <v>100</v>
      </c>
      <c r="V38" s="714" t="s">
        <v>17</v>
      </c>
      <c r="W38" s="715">
        <f t="shared" si="12"/>
        <v>100</v>
      </c>
      <c r="X38" s="1532"/>
      <c r="Y38" s="3295"/>
      <c r="Z38" s="1533" t="str">
        <f t="shared" si="13"/>
        <v>宗地面积</v>
      </c>
      <c r="AA38" s="1530">
        <f t="shared" si="3"/>
        <v>0.99009900990099009</v>
      </c>
      <c r="AB38" s="1530">
        <f t="shared" si="4"/>
        <v>1</v>
      </c>
      <c r="AC38" s="1530">
        <f t="shared" si="5"/>
        <v>1</v>
      </c>
    </row>
    <row r="39" spans="1:29" ht="15">
      <c r="A39" s="431"/>
      <c r="B39" s="381" t="s">
        <v>2566</v>
      </c>
      <c r="C39" s="2084" t="s">
        <v>3607</v>
      </c>
      <c r="D39" s="394">
        <v>100</v>
      </c>
      <c r="E39" s="2084" t="s">
        <v>3611</v>
      </c>
      <c r="F39" s="394">
        <f>SUMIF(119:119,E39,120:120)-SUMIF(119:119,C39,120:120)+100</f>
        <v>98</v>
      </c>
      <c r="G39" s="2084" t="s">
        <v>3609</v>
      </c>
      <c r="H39" s="394">
        <f>SUMIF(119:119,G39,120:120)-SUMIF(119:119,C39,120:120)+100</f>
        <v>99</v>
      </c>
      <c r="I39" s="2084" t="s">
        <v>3609</v>
      </c>
      <c r="J39" s="394">
        <f>SUMIF(119:119,I39,120:120)-SUMIF(119:119,C39,120:120)+100</f>
        <v>99</v>
      </c>
      <c r="K39" s="569">
        <v>1</v>
      </c>
      <c r="L39" s="2943"/>
      <c r="M39" s="2937"/>
      <c r="N39" s="2937"/>
      <c r="O39" s="2995"/>
      <c r="P39" s="3295"/>
      <c r="Q39" s="1529" t="str">
        <f t="shared" ref="Q39:Q45" si="14">B39</f>
        <v>宗地形状</v>
      </c>
      <c r="R39" s="714" t="s">
        <v>17</v>
      </c>
      <c r="S39" s="715">
        <f t="shared" si="10"/>
        <v>98</v>
      </c>
      <c r="T39" s="714" t="s">
        <v>17</v>
      </c>
      <c r="U39" s="715">
        <f t="shared" si="11"/>
        <v>99</v>
      </c>
      <c r="V39" s="714" t="s">
        <v>17</v>
      </c>
      <c r="W39" s="715">
        <f t="shared" si="12"/>
        <v>99</v>
      </c>
      <c r="X39" s="1532"/>
      <c r="Y39" s="3295"/>
      <c r="Z39" s="1533" t="str">
        <f t="shared" si="13"/>
        <v>宗地形状</v>
      </c>
      <c r="AA39" s="1530">
        <f t="shared" si="3"/>
        <v>1.0204081632653061</v>
      </c>
      <c r="AB39" s="1530">
        <f t="shared" si="4"/>
        <v>1.0101010101010102</v>
      </c>
      <c r="AC39" s="1530">
        <f t="shared" si="5"/>
        <v>1.0101010101010102</v>
      </c>
    </row>
    <row r="40" spans="1:29" ht="15">
      <c r="A40" s="431"/>
      <c r="B40" s="381" t="s">
        <v>2567</v>
      </c>
      <c r="C40" s="2084" t="s">
        <v>3615</v>
      </c>
      <c r="D40" s="394">
        <v>100</v>
      </c>
      <c r="E40" s="2084" t="s">
        <v>3617</v>
      </c>
      <c r="F40" s="394">
        <f>SUMIF(121:121,E40,122:122)-SUMIF(121:121,C40,122:122)+100</f>
        <v>99</v>
      </c>
      <c r="G40" s="2084" t="s">
        <v>3615</v>
      </c>
      <c r="H40" s="394">
        <f>SUMIF(121:121,G40,122:122)-SUMIF(121:121,C40,122:122)+100</f>
        <v>100</v>
      </c>
      <c r="I40" s="2084" t="s">
        <v>3615</v>
      </c>
      <c r="J40" s="394">
        <f>SUMIF(121:121,I40,122:122)-SUMIF(121:121,C40,122:122)+100</f>
        <v>100</v>
      </c>
      <c r="K40" s="569">
        <v>1</v>
      </c>
      <c r="L40" s="2943"/>
      <c r="M40" s="2937"/>
      <c r="N40" s="2937"/>
      <c r="O40" s="2995"/>
      <c r="P40" s="3295"/>
      <c r="Q40" s="1529" t="str">
        <f t="shared" si="14"/>
        <v>临街宽度及深度</v>
      </c>
      <c r="R40" s="714" t="s">
        <v>17</v>
      </c>
      <c r="S40" s="715">
        <f t="shared" si="10"/>
        <v>99</v>
      </c>
      <c r="T40" s="714" t="s">
        <v>17</v>
      </c>
      <c r="U40" s="715">
        <f t="shared" si="11"/>
        <v>100</v>
      </c>
      <c r="V40" s="714" t="s">
        <v>17</v>
      </c>
      <c r="W40" s="715">
        <f t="shared" si="12"/>
        <v>100</v>
      </c>
      <c r="X40" s="1532"/>
      <c r="Y40" s="3295"/>
      <c r="Z40" s="1533" t="str">
        <f t="shared" si="13"/>
        <v>临街宽度及深度</v>
      </c>
      <c r="AA40" s="1530">
        <f t="shared" si="3"/>
        <v>1.0101010101010102</v>
      </c>
      <c r="AB40" s="1530">
        <f t="shared" si="4"/>
        <v>1</v>
      </c>
      <c r="AC40" s="1530">
        <f t="shared" si="5"/>
        <v>1</v>
      </c>
    </row>
    <row r="41" spans="1:29" s="113" customFormat="1" ht="15">
      <c r="A41" s="432"/>
      <c r="B41" s="381" t="s">
        <v>2568</v>
      </c>
      <c r="C41" s="2158" t="s">
        <v>3641</v>
      </c>
      <c r="D41" s="132">
        <v>100</v>
      </c>
      <c r="E41" s="2158" t="s">
        <v>3642</v>
      </c>
      <c r="F41" s="394">
        <f>SUMIF(123:123,E41,124:124)-SUMIF(123:123,C41,124:124)+100</f>
        <v>97</v>
      </c>
      <c r="G41" s="2158" t="s">
        <v>3641</v>
      </c>
      <c r="H41" s="394">
        <f>SUMIF(123:123,G41,124:124)-SUMIF(123:123,C41,124:124)+100</f>
        <v>100</v>
      </c>
      <c r="I41" s="2158" t="s">
        <v>3642</v>
      </c>
      <c r="J41" s="394">
        <f>SUMIF(123:123,I41,124:124)-SUMIF(123:123,C41,124:124)+100</f>
        <v>97</v>
      </c>
      <c r="K41" s="569">
        <v>1</v>
      </c>
      <c r="L41" s="2938"/>
      <c r="M41" s="2939"/>
      <c r="N41" s="2939"/>
      <c r="O41" s="2993"/>
      <c r="P41" s="3295"/>
      <c r="Q41" s="1529" t="str">
        <f t="shared" si="14"/>
        <v>宗地开发程度</v>
      </c>
      <c r="R41" s="710" t="s">
        <v>17</v>
      </c>
      <c r="S41" s="711">
        <f t="shared" si="10"/>
        <v>97</v>
      </c>
      <c r="T41" s="710" t="s">
        <v>17</v>
      </c>
      <c r="U41" s="711">
        <f t="shared" si="11"/>
        <v>100</v>
      </c>
      <c r="V41" s="710" t="s">
        <v>17</v>
      </c>
      <c r="W41" s="711">
        <f t="shared" si="12"/>
        <v>97</v>
      </c>
      <c r="X41" s="712"/>
      <c r="Y41" s="3295"/>
      <c r="Z41" s="55" t="str">
        <f t="shared" si="13"/>
        <v>宗地开发程度</v>
      </c>
      <c r="AA41" s="713">
        <f t="shared" si="3"/>
        <v>1.0309278350515463</v>
      </c>
      <c r="AB41" s="713">
        <f t="shared" si="4"/>
        <v>1</v>
      </c>
      <c r="AC41" s="713">
        <f t="shared" si="5"/>
        <v>1.0309278350515463</v>
      </c>
    </row>
    <row r="42" spans="1:29" ht="15.6" thickBot="1">
      <c r="A42" s="431"/>
      <c r="B42" s="381" t="s">
        <v>2569</v>
      </c>
      <c r="C42" s="2084" t="s">
        <v>3580</v>
      </c>
      <c r="D42" s="394">
        <v>100</v>
      </c>
      <c r="E42" s="2084" t="s">
        <v>3580</v>
      </c>
      <c r="F42" s="394">
        <f>SUMIF(125:125,E42,126:126)-SUMIF(125:125,C42,126:126)+100</f>
        <v>100</v>
      </c>
      <c r="G42" s="2084" t="s">
        <v>3580</v>
      </c>
      <c r="H42" s="394">
        <f>SUMIF(125:125,G42,126:126)-SUMIF(125:125,C42,126:126)+100</f>
        <v>100</v>
      </c>
      <c r="I42" s="2084" t="s">
        <v>3580</v>
      </c>
      <c r="J42" s="394">
        <f>SUMIF(125:125,I42,126:126)-SUMIF(125:125,C42,126:126)+100</f>
        <v>100</v>
      </c>
      <c r="K42" s="569">
        <v>1</v>
      </c>
      <c r="L42" s="2943"/>
      <c r="M42" s="2937"/>
      <c r="N42" s="2937"/>
      <c r="O42" s="2995"/>
      <c r="P42" s="3295" t="s">
        <v>2380</v>
      </c>
      <c r="Q42" s="1529" t="str">
        <f t="shared" si="14"/>
        <v>工程地质条件</v>
      </c>
      <c r="R42" s="714" t="s">
        <v>17</v>
      </c>
      <c r="S42" s="715">
        <f t="shared" si="10"/>
        <v>100</v>
      </c>
      <c r="T42" s="714" t="s">
        <v>17</v>
      </c>
      <c r="U42" s="715">
        <f t="shared" si="11"/>
        <v>100</v>
      </c>
      <c r="V42" s="714" t="s">
        <v>17</v>
      </c>
      <c r="W42" s="715">
        <f t="shared" si="12"/>
        <v>100</v>
      </c>
      <c r="X42" s="1532"/>
      <c r="Y42" s="3295" t="s">
        <v>2380</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295"/>
      <c r="Q43" s="1529">
        <f t="shared" si="14"/>
        <v>111</v>
      </c>
      <c r="R43" s="714" t="s">
        <v>17</v>
      </c>
      <c r="S43" s="715">
        <f t="shared" si="10"/>
        <v>100</v>
      </c>
      <c r="T43" s="714" t="s">
        <v>17</v>
      </c>
      <c r="U43" s="715">
        <f t="shared" si="11"/>
        <v>100</v>
      </c>
      <c r="V43" s="714" t="s">
        <v>17</v>
      </c>
      <c r="W43" s="715">
        <f t="shared" si="12"/>
        <v>100</v>
      </c>
      <c r="X43" s="1532"/>
      <c r="Y43" s="3295"/>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295"/>
      <c r="Q44" s="1529">
        <f t="shared" si="14"/>
        <v>111</v>
      </c>
      <c r="R44" s="714" t="s">
        <v>17</v>
      </c>
      <c r="S44" s="715">
        <f t="shared" si="10"/>
        <v>100</v>
      </c>
      <c r="T44" s="714" t="s">
        <v>17</v>
      </c>
      <c r="U44" s="715">
        <f t="shared" si="11"/>
        <v>100</v>
      </c>
      <c r="V44" s="714" t="s">
        <v>17</v>
      </c>
      <c r="W44" s="715">
        <f t="shared" si="12"/>
        <v>100</v>
      </c>
      <c r="X44" s="1532"/>
      <c r="Y44" s="3295"/>
      <c r="Z44" s="1533">
        <f t="shared" si="13"/>
        <v>111</v>
      </c>
      <c r="AA44" s="1530">
        <f t="shared" si="3"/>
        <v>1</v>
      </c>
      <c r="AB44" s="1530">
        <f t="shared" si="4"/>
        <v>1</v>
      </c>
      <c r="AC44" s="1530">
        <f t="shared" si="5"/>
        <v>1</v>
      </c>
    </row>
    <row r="45" spans="1:29" s="430" customFormat="1" ht="15.6"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295"/>
      <c r="Q45" s="1529">
        <f t="shared" si="14"/>
        <v>111</v>
      </c>
      <c r="R45" s="717" t="s">
        <v>17</v>
      </c>
      <c r="S45" s="718">
        <f t="shared" si="10"/>
        <v>100</v>
      </c>
      <c r="T45" s="717" t="s">
        <v>17</v>
      </c>
      <c r="U45" s="718">
        <f t="shared" si="11"/>
        <v>100</v>
      </c>
      <c r="V45" s="717" t="s">
        <v>17</v>
      </c>
      <c r="W45" s="718">
        <f t="shared" si="12"/>
        <v>100</v>
      </c>
      <c r="X45" s="719"/>
      <c r="Y45" s="3295"/>
      <c r="Z45" s="720">
        <f t="shared" si="13"/>
        <v>111</v>
      </c>
      <c r="AA45" s="1530">
        <f t="shared" si="3"/>
        <v>1</v>
      </c>
      <c r="AB45" s="1530">
        <f t="shared" si="4"/>
        <v>1</v>
      </c>
      <c r="AC45" s="1530">
        <f t="shared" si="5"/>
        <v>1</v>
      </c>
    </row>
    <row r="46" spans="1:29" ht="14.4">
      <c r="A46" s="438" t="s">
        <v>2535</v>
      </c>
      <c r="B46" s="2160" t="s">
        <v>2570</v>
      </c>
      <c r="C46" s="638" t="s">
        <v>1</v>
      </c>
      <c r="D46" s="440"/>
      <c r="E46" s="441">
        <f>ROUND(土地案例!AM17,0)</f>
        <v>23147</v>
      </c>
      <c r="F46" s="442"/>
      <c r="G46" s="443">
        <f>ROUND(土地案例!AM21,0)</f>
        <v>27343</v>
      </c>
      <c r="H46" s="444"/>
      <c r="I46" s="441">
        <f>ROUND(土地案例!AM26,0)</f>
        <v>26563</v>
      </c>
      <c r="J46" s="444"/>
      <c r="K46" s="723"/>
      <c r="L46" s="2945"/>
      <c r="M46" s="2946"/>
      <c r="N46" s="2937"/>
      <c r="O46" s="2946"/>
      <c r="P46" s="3290" t="str">
        <f>A46</f>
        <v>成交单价</v>
      </c>
      <c r="Q46" s="3290"/>
      <c r="R46" s="3296">
        <f>E46</f>
        <v>23147</v>
      </c>
      <c r="S46" s="3296"/>
      <c r="T46" s="3296">
        <f>G46</f>
        <v>27343</v>
      </c>
      <c r="U46" s="3296"/>
      <c r="V46" s="3296">
        <f>I46</f>
        <v>26563</v>
      </c>
      <c r="W46" s="3296"/>
      <c r="X46" s="699"/>
      <c r="Y46" s="721"/>
      <c r="Z46" s="699"/>
      <c r="AA46" s="699"/>
      <c r="AB46" s="699"/>
      <c r="AC46" s="699"/>
    </row>
    <row r="47" spans="1:29" ht="15" thickBot="1">
      <c r="A47" s="445" t="s">
        <v>2484</v>
      </c>
      <c r="B47" s="639"/>
      <c r="C47" s="448">
        <f>R48</f>
        <v>22929</v>
      </c>
      <c r="D47" s="2530" t="s">
        <v>2872</v>
      </c>
      <c r="E47" s="448">
        <f>R47</f>
        <v>21105</v>
      </c>
      <c r="F47" s="2531"/>
      <c r="G47" s="447">
        <f>T47</f>
        <v>23845</v>
      </c>
      <c r="H47" s="2531"/>
      <c r="I47" s="448">
        <f>V47</f>
        <v>23838</v>
      </c>
      <c r="J47" s="2531"/>
      <c r="K47" s="2533">
        <f>F47+H47+J47</f>
        <v>0</v>
      </c>
      <c r="L47" s="2945"/>
      <c r="M47" s="2946"/>
      <c r="N47" s="2946"/>
      <c r="O47" s="2946"/>
      <c r="P47" s="3290" t="str">
        <f>A47</f>
        <v>比较价值（元/平方米）</v>
      </c>
      <c r="Q47" s="3290"/>
      <c r="R47" s="3283">
        <f>ROUND(PRODUCT(R46,AA7:AA45),0)</f>
        <v>21105</v>
      </c>
      <c r="S47" s="3283"/>
      <c r="T47" s="3283">
        <f>ROUND(PRODUCT(T46,AB7:AB45),0)</f>
        <v>23845</v>
      </c>
      <c r="U47" s="3283"/>
      <c r="V47" s="3283">
        <f>ROUND(PRODUCT(V46,AC7:AC45),0)</f>
        <v>23838</v>
      </c>
      <c r="W47" s="3283"/>
      <c r="X47" s="699"/>
      <c r="Y47" s="699"/>
      <c r="Z47" s="699"/>
      <c r="AA47" s="699"/>
      <c r="AB47" s="699"/>
      <c r="AC47" s="699"/>
    </row>
    <row r="48" spans="1:29" ht="15" thickBot="1">
      <c r="A48" s="449" t="s">
        <v>2571</v>
      </c>
      <c r="B48" s="450"/>
      <c r="C48" s="451">
        <f>R48</f>
        <v>22929</v>
      </c>
      <c r="D48" s="451"/>
      <c r="E48" s="451"/>
      <c r="F48" s="451"/>
      <c r="G48" s="451"/>
      <c r="H48" s="451"/>
      <c r="I48" s="451"/>
      <c r="J48" s="451"/>
      <c r="K48" s="724"/>
      <c r="L48" s="2945"/>
      <c r="M48" s="2946"/>
      <c r="N48" s="2946"/>
      <c r="O48" s="2946"/>
      <c r="P48" s="3284" t="str">
        <f>A48</f>
        <v>估价对象XX用房的比较价值（楼面单价，元/平方米）</v>
      </c>
      <c r="Q48" s="3285"/>
      <c r="R48" s="3286">
        <f>ROUND(IF(D47="简单平均",AVERAGE(R47:W47),R47*F47+T47*H47+V47*J47),0)</f>
        <v>22929</v>
      </c>
      <c r="S48" s="3286"/>
      <c r="T48" s="3286"/>
      <c r="U48" s="3286"/>
      <c r="V48" s="3286"/>
      <c r="W48" s="3286"/>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2486</v>
      </c>
      <c r="D51" s="455"/>
      <c r="E51" s="456">
        <f>IF(E46&lt;E47,E47/E46-1,E46/E47-1)</f>
        <v>9.6754323619995253E-2</v>
      </c>
      <c r="F51" s="457" t="str">
        <f>IF(OR(E51&gt;=0.3,E51&lt;=-0.3),"超过30%","")</f>
        <v/>
      </c>
      <c r="G51" s="456">
        <f>IF(G46&lt;G47,G47/G46-1,G46/G47-1)</f>
        <v>0.1466974208429439</v>
      </c>
      <c r="H51" s="457" t="str">
        <f>IF(OR(G51&gt;=0.3,G51&lt;=-0.3),"超过30%","")</f>
        <v/>
      </c>
      <c r="I51" s="456">
        <f>IF(I46&lt;I47,I47/I46-1,I46/I47-1)</f>
        <v>0.11431328131554652</v>
      </c>
      <c r="J51" s="457"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2487</v>
      </c>
      <c r="D52" s="458"/>
      <c r="E52" s="456">
        <f>IF(E47&lt;G47,G47/E47-1,E47/G47-1)</f>
        <v>0.12982705520018945</v>
      </c>
      <c r="F52" s="457" t="str">
        <f>IF(OR(E52&gt;=0.2,E52&lt;=-0.2),"超过20%","")</f>
        <v/>
      </c>
      <c r="G52" s="456">
        <f>IF(G47&lt;I47,I47/G47-1,G47/I47-1)</f>
        <v>2.9364879603988037E-4</v>
      </c>
      <c r="H52" s="457" t="str">
        <f>IF(OR(G52&gt;=0.2,G52&lt;=-0.2),"超过20%","")</f>
        <v/>
      </c>
      <c r="I52" s="456">
        <f>IF(I47&lt;E47,E47/I47-1,I47/E47-1)</f>
        <v>0.12949538024164897</v>
      </c>
      <c r="J52" s="457"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2488</v>
      </c>
      <c r="D53" s="458"/>
      <c r="E53" s="456">
        <f>IF(E46&lt;G46,G46/E46-1,E46/G46-1)</f>
        <v>0.18127619129908834</v>
      </c>
      <c r="F53" s="457" t="str">
        <f>IF(OR(E53&gt;=0.3,E53&lt;=-0.3),"超过30%","")</f>
        <v/>
      </c>
      <c r="G53" s="456">
        <f>IF(G46&lt;I46,I46/G46-1,G46/I46-1)</f>
        <v>2.9364153145352567E-2</v>
      </c>
      <c r="H53" s="457" t="str">
        <f>IF(OR(G53&gt;=0.3,G53&lt;=-0.3),"超过30%","")</f>
        <v/>
      </c>
      <c r="I53" s="456">
        <f>IF(I46&lt;E46,E46/I46-1,I46/E46-1)</f>
        <v>0.1475785198945867</v>
      </c>
      <c r="J53" s="457"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4.4"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2572</v>
      </c>
      <c r="B55" s="641" t="s">
        <v>2573</v>
      </c>
      <c r="C55" s="2161" t="s">
        <v>2574</v>
      </c>
      <c r="D55" s="2162" t="s">
        <v>2575</v>
      </c>
      <c r="E55" s="642" t="s">
        <v>2576</v>
      </c>
      <c r="F55" s="1015" t="s">
        <v>2577</v>
      </c>
      <c r="G55" s="3287" t="s">
        <v>2578</v>
      </c>
      <c r="H55" s="3288"/>
      <c r="I55" s="140" t="s">
        <v>2579</v>
      </c>
      <c r="J55" s="2163">
        <f>项目基本情况!F35</f>
        <v>0</v>
      </c>
      <c r="K55" s="2164" t="s">
        <v>2580</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2581</v>
      </c>
      <c r="B56" s="645">
        <f>C48</f>
        <v>22929</v>
      </c>
      <c r="C56" s="646">
        <v>1</v>
      </c>
      <c r="D56" s="1069">
        <v>1</v>
      </c>
      <c r="E56" s="646">
        <f>'数据-汇总表'!E8+'数据-汇总表'!E9</f>
        <v>108974.32</v>
      </c>
      <c r="F56" s="1011">
        <f t="shared" ref="F56:F65" si="15">ROUND(B56*E56/10000,0)</f>
        <v>249867</v>
      </c>
      <c r="G56" s="3289"/>
      <c r="H56" s="3290"/>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2582</v>
      </c>
      <c r="B57" s="224">
        <f>ROUND($C$48*C57*D57,0)</f>
        <v>4013</v>
      </c>
      <c r="C57" s="176">
        <f t="shared" ref="C57:C65" si="16">IF($C$55="北京市系数",I57,J57)</f>
        <v>0.7</v>
      </c>
      <c r="D57" s="1070">
        <v>0.25</v>
      </c>
      <c r="E57" s="650">
        <v>8262.14</v>
      </c>
      <c r="F57" s="1011">
        <f t="shared" si="15"/>
        <v>3316</v>
      </c>
      <c r="G57" s="3291" t="s">
        <v>2583</v>
      </c>
      <c r="H57" s="1012" t="str">
        <f>项目基本情况!B37</f>
        <v>七级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2584</v>
      </c>
      <c r="B58" s="224">
        <f t="shared" ref="B58:B65" si="17">ROUND($C$48*C58*D58,0)</f>
        <v>2293</v>
      </c>
      <c r="C58" s="176">
        <f t="shared" si="16"/>
        <v>0.4</v>
      </c>
      <c r="D58" s="1070">
        <v>0.25</v>
      </c>
      <c r="E58" s="650">
        <v>8937.14</v>
      </c>
      <c r="F58" s="1011">
        <f t="shared" si="15"/>
        <v>2049</v>
      </c>
      <c r="G58" s="3291"/>
      <c r="H58" s="1012" t="str">
        <f>项目基本情况!B37</f>
        <v>七级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2585</v>
      </c>
      <c r="B59" s="224">
        <f t="shared" si="17"/>
        <v>1605</v>
      </c>
      <c r="C59" s="176">
        <f t="shared" si="16"/>
        <v>0.28000000000000003</v>
      </c>
      <c r="D59" s="1070">
        <v>0.25</v>
      </c>
      <c r="E59" s="650"/>
      <c r="F59" s="1011">
        <f t="shared" si="15"/>
        <v>0</v>
      </c>
      <c r="G59" s="3291"/>
      <c r="H59" s="1012" t="str">
        <f>项目基本情况!B37</f>
        <v>七级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2586</v>
      </c>
      <c r="B60" s="224">
        <f t="shared" si="17"/>
        <v>1433</v>
      </c>
      <c r="C60" s="176">
        <f t="shared" si="16"/>
        <v>0.25</v>
      </c>
      <c r="D60" s="1070">
        <v>0.25</v>
      </c>
      <c r="E60" s="650"/>
      <c r="F60" s="1011">
        <f t="shared" si="15"/>
        <v>0</v>
      </c>
      <c r="G60" s="3291"/>
      <c r="H60" s="1012" t="str">
        <f>项目基本情况!B37</f>
        <v>七级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2587</v>
      </c>
      <c r="B61" s="224">
        <f t="shared" si="17"/>
        <v>1433</v>
      </c>
      <c r="C61" s="176">
        <f t="shared" si="16"/>
        <v>0.25</v>
      </c>
      <c r="D61" s="1070">
        <v>0.25</v>
      </c>
      <c r="E61" s="223">
        <f>'数据-汇总表'!E11</f>
        <v>0</v>
      </c>
      <c r="F61" s="1011">
        <f t="shared" si="15"/>
        <v>0</v>
      </c>
      <c r="G61" s="2165" t="s">
        <v>2588</v>
      </c>
      <c r="H61" s="1012" t="str">
        <f>项目基本情况!C37</f>
        <v>七级</v>
      </c>
      <c r="I61" s="1016">
        <f>SUMIF(修正!A45:A56,H61,修正!F45:F56)</f>
        <v>0.25</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2589</v>
      </c>
      <c r="B62" s="224">
        <f t="shared" si="17"/>
        <v>1433</v>
      </c>
      <c r="C62" s="176">
        <f t="shared" si="16"/>
        <v>0.25</v>
      </c>
      <c r="D62" s="1070">
        <v>0.25</v>
      </c>
      <c r="E62" s="223">
        <f>'数据-汇总表'!E12</f>
        <v>0</v>
      </c>
      <c r="F62" s="1011">
        <f t="shared" si="15"/>
        <v>0</v>
      </c>
      <c r="G62" s="1017" t="s">
        <v>2590</v>
      </c>
      <c r="H62" s="1012" t="str">
        <f>IF(G62="商业",项目基本情况!B37,IF(G62="办公",项目基本情况!C37,IF(G62="住宅",项目基本情况!D37,项目基本情况!E37)))</f>
        <v>七级</v>
      </c>
      <c r="I62" s="1016">
        <f>SUMIF(修正!A45:A56,H62,修正!G45:G56)</f>
        <v>0.25</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2591</v>
      </c>
      <c r="B63" s="224">
        <f t="shared" si="17"/>
        <v>0</v>
      </c>
      <c r="C63" s="176">
        <f t="shared" si="16"/>
        <v>0</v>
      </c>
      <c r="D63" s="1070">
        <v>0.25</v>
      </c>
      <c r="E63" s="223">
        <f>'数据-汇总表'!E13</f>
        <v>43656.97</v>
      </c>
      <c r="F63" s="1011">
        <f t="shared" si="15"/>
        <v>0</v>
      </c>
      <c r="G63" s="1017" t="s">
        <v>2592</v>
      </c>
      <c r="H63" s="1012">
        <f>IF(G63="商业",项目基本情况!B37,IF(G63="办公",项目基本情况!C37,IF(G63="住宅",项目基本情况!D37,项目基本情况!E37)))</f>
        <v>0</v>
      </c>
      <c r="I63" s="1016">
        <f>SUMIF(修正!A45:A56,H63,修正!H45:H56)</f>
        <v>0</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2593</v>
      </c>
      <c r="B64" s="224">
        <f t="shared" si="17"/>
        <v>1146</v>
      </c>
      <c r="C64" s="176">
        <f t="shared" si="16"/>
        <v>0.2</v>
      </c>
      <c r="D64" s="1070">
        <v>0.25</v>
      </c>
      <c r="E64" s="223">
        <f>'数据-汇总表'!E14</f>
        <v>0</v>
      </c>
      <c r="F64" s="1011">
        <f t="shared" si="15"/>
        <v>0</v>
      </c>
      <c r="G64" s="2165" t="s">
        <v>2583</v>
      </c>
      <c r="H64" s="1012" t="str">
        <f>项目基本情况!B37</f>
        <v>七级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4.4" thickBot="1">
      <c r="A65" s="649" t="s">
        <v>2594</v>
      </c>
      <c r="B65" s="224">
        <f t="shared" si="17"/>
        <v>1146</v>
      </c>
      <c r="C65" s="176">
        <f t="shared" si="16"/>
        <v>0.2</v>
      </c>
      <c r="D65" s="1070">
        <v>0.25</v>
      </c>
      <c r="E65" s="223">
        <f>'数据-汇总表'!E15</f>
        <v>0</v>
      </c>
      <c r="F65" s="1011">
        <f t="shared" si="15"/>
        <v>0</v>
      </c>
      <c r="G65" s="2166" t="s">
        <v>2588</v>
      </c>
      <c r="H65" s="1022" t="str">
        <f>项目基本情况!C37</f>
        <v>七级</v>
      </c>
      <c r="I65" s="1018">
        <f>SUMIF(修正!A45:A56,H65,修正!H45:H56)</f>
        <v>0.2</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thickBot="1">
      <c r="A66" s="651" t="s">
        <v>2595</v>
      </c>
      <c r="B66" s="652" t="s">
        <v>28</v>
      </c>
      <c r="C66" s="652" t="s">
        <v>29</v>
      </c>
      <c r="D66" s="652" t="s">
        <v>997</v>
      </c>
      <c r="E66" s="652">
        <f>IF(B46="楼面地价",SUM(E56:E65),'数据-汇总表'!D3)</f>
        <v>169830.57</v>
      </c>
      <c r="F66" s="653">
        <f>IF(B46="楼面地价",SUM(F56:F65),ROUND(C48*E66/10000,0))</f>
        <v>255232</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6"/>
      <c r="Q68" s="2946"/>
      <c r="R68" s="2946"/>
      <c r="S68" s="2946"/>
      <c r="T68" s="2946"/>
      <c r="U68" s="2946"/>
      <c r="V68" s="2946"/>
      <c r="W68" s="2946"/>
      <c r="X68" s="2946"/>
      <c r="Y68" s="2946"/>
      <c r="Z68" s="2946"/>
      <c r="AA68" s="2946"/>
      <c r="AB68" s="2946"/>
      <c r="AC68" s="2946"/>
    </row>
    <row r="69" spans="1:29" ht="22.2" thickBot="1">
      <c r="A69" s="703" t="s">
        <v>2489</v>
      </c>
      <c r="B69" s="699"/>
      <c r="C69" s="704"/>
      <c r="D69" s="704"/>
      <c r="E69" s="704"/>
      <c r="F69" s="705"/>
      <c r="G69" s="705"/>
      <c r="H69" s="704"/>
      <c r="I69" s="704"/>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4.4">
      <c r="A70" s="2167" t="s">
        <v>2596</v>
      </c>
      <c r="B70" s="1263"/>
      <c r="C70" s="1337" t="str">
        <f>YEAR(C68)&amp;"-"&amp;ROUNDUP(MONTH(C68)/3,0)</f>
        <v>2021-3</v>
      </c>
      <c r="D70" s="1337" t="str">
        <f>YEAR(D68)&amp;"-"&amp;ROUNDUP(MONTH(D68)/3,0)</f>
        <v>2021-2</v>
      </c>
      <c r="E70" s="1337" t="str">
        <f t="shared" ref="E70:O70" si="19">YEAR(E68)&amp;"-"&amp;ROUNDUP(MONTH(E68)/3,0)</f>
        <v>2021-1</v>
      </c>
      <c r="F70" s="1337" t="str">
        <f t="shared" si="19"/>
        <v>2020-4</v>
      </c>
      <c r="G70" s="1337" t="str">
        <f t="shared" si="19"/>
        <v>2020-3</v>
      </c>
      <c r="H70" s="1337" t="str">
        <f t="shared" si="19"/>
        <v>2020-2</v>
      </c>
      <c r="I70" s="1337" t="str">
        <f t="shared" si="19"/>
        <v>2020-1</v>
      </c>
      <c r="J70" s="1337" t="str">
        <f t="shared" si="19"/>
        <v>2019-4</v>
      </c>
      <c r="K70" s="1337" t="str">
        <f t="shared" si="19"/>
        <v>2019-3</v>
      </c>
      <c r="L70" s="1337" t="str">
        <f t="shared" si="19"/>
        <v>2019-2</v>
      </c>
      <c r="M70" s="1337" t="str">
        <f t="shared" si="19"/>
        <v>2019-1</v>
      </c>
      <c r="N70" s="1337" t="str">
        <f t="shared" si="19"/>
        <v>2018-4</v>
      </c>
      <c r="O70" s="1337"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68" t="s">
        <v>1343</v>
      </c>
      <c r="B71" s="294" t="str">
        <f>"北京市平均增长率"&amp;TEXT(SUMIF(基准地价修正!N21:N25,A71,基准地价修正!P21:P25),"0.00%")</f>
        <v>北京市平均增长率1.07%</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0"/>
      <c r="Q71" s="2880"/>
      <c r="R71" s="2880"/>
      <c r="S71" s="2880"/>
      <c r="T71" s="2880"/>
      <c r="U71" s="2880"/>
      <c r="V71" s="2880"/>
      <c r="W71" s="2880"/>
      <c r="X71" s="2880"/>
      <c r="Y71" s="2880"/>
      <c r="Z71" s="2880"/>
      <c r="AA71" s="2880"/>
      <c r="AB71" s="2880"/>
      <c r="AC71" s="2880"/>
    </row>
    <row r="72" spans="1:29" s="113" customFormat="1" ht="15" thickBot="1">
      <c r="A72" s="472" t="s">
        <v>2400</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4.4">
      <c r="A73" s="478" t="s">
        <v>2365</v>
      </c>
      <c r="B73" s="467"/>
      <c r="C73" s="479" t="s">
        <v>2467</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4.4"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ht="14.4">
      <c r="A75" s="484" t="s">
        <v>2403</v>
      </c>
      <c r="B75" s="485" t="s">
        <v>2369</v>
      </c>
      <c r="C75" s="3059" t="s">
        <v>3578</v>
      </c>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4.4"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9.4" thickTop="1">
      <c r="A77" s="491"/>
      <c r="B77" s="495" t="s">
        <v>2372</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4.4"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28.2" thickTop="1">
      <c r="A79" s="491"/>
      <c r="B79" s="503" t="s">
        <v>2373</v>
      </c>
      <c r="C79" s="504" t="str">
        <f>C80&amp;"（含）"&amp;"-"&amp;D80</f>
        <v>0（含）-1.5</v>
      </c>
      <c r="D79" s="504" t="str">
        <f t="shared" ref="D79:L79" si="21">D80&amp;"（含）"&amp;"-"&amp;E80</f>
        <v>1.5（含）-3</v>
      </c>
      <c r="E79" s="504" t="str">
        <f t="shared" si="21"/>
        <v>3（含）-4.5</v>
      </c>
      <c r="F79" s="504" t="str">
        <f t="shared" si="21"/>
        <v>4.5（含）-6</v>
      </c>
      <c r="G79" s="504" t="str">
        <f t="shared" si="21"/>
        <v>6（含）-7.5</v>
      </c>
      <c r="H79" s="504" t="str">
        <f t="shared" si="21"/>
        <v>7.5（含）-9</v>
      </c>
      <c r="I79" s="504" t="str">
        <f t="shared" si="21"/>
        <v>9（含）-10.5</v>
      </c>
      <c r="J79" s="504" t="str">
        <f t="shared" si="21"/>
        <v>10.5（含）-12</v>
      </c>
      <c r="K79" s="504" t="str">
        <f t="shared" si="21"/>
        <v>12（含）-13.5</v>
      </c>
      <c r="L79" s="504" t="str">
        <f t="shared" si="21"/>
        <v>13.5（含）-15</v>
      </c>
      <c r="M79" s="407" t="str">
        <f>M80&amp;"（含）"&amp;"-"&amp;P80</f>
        <v>15（含）-</v>
      </c>
      <c r="N79" s="2975"/>
      <c r="O79" s="2975"/>
      <c r="P79" s="2999"/>
      <c r="Q79" s="2960"/>
      <c r="R79" s="2946"/>
      <c r="S79" s="2946"/>
      <c r="T79" s="2946"/>
      <c r="U79" s="2946"/>
      <c r="V79" s="2946"/>
      <c r="W79" s="2946"/>
      <c r="X79" s="2946"/>
      <c r="Y79" s="2946"/>
      <c r="Z79" s="2946"/>
      <c r="AA79" s="2946"/>
      <c r="AB79" s="2946"/>
      <c r="AC79" s="2946"/>
    </row>
    <row r="80" spans="1:29">
      <c r="A80" s="491"/>
      <c r="B80" s="505"/>
      <c r="C80" s="506">
        <v>0</v>
      </c>
      <c r="D80" s="506">
        <v>1.5</v>
      </c>
      <c r="E80" s="506">
        <f>D80+1.5</f>
        <v>3</v>
      </c>
      <c r="F80" s="506">
        <f t="shared" ref="F80:M80" si="22">E80+1.5</f>
        <v>4.5</v>
      </c>
      <c r="G80" s="506">
        <f t="shared" si="22"/>
        <v>6</v>
      </c>
      <c r="H80" s="506">
        <f t="shared" si="22"/>
        <v>7.5</v>
      </c>
      <c r="I80" s="506">
        <f t="shared" si="22"/>
        <v>9</v>
      </c>
      <c r="J80" s="506">
        <f t="shared" si="22"/>
        <v>10.5</v>
      </c>
      <c r="K80" s="506">
        <f t="shared" si="22"/>
        <v>12</v>
      </c>
      <c r="L80" s="506">
        <f t="shared" si="22"/>
        <v>13.5</v>
      </c>
      <c r="M80" s="506">
        <f t="shared" si="22"/>
        <v>15</v>
      </c>
      <c r="N80" s="2974"/>
      <c r="O80" s="2974"/>
      <c r="P80" s="2999"/>
      <c r="Q80" s="2960"/>
      <c r="R80" s="2946"/>
      <c r="S80" s="2946"/>
      <c r="T80" s="2946"/>
      <c r="U80" s="2946"/>
      <c r="V80" s="2946"/>
      <c r="W80" s="2946"/>
      <c r="X80" s="2946"/>
      <c r="Y80" s="2946"/>
      <c r="Z80" s="2946"/>
      <c r="AA80" s="2946"/>
      <c r="AB80" s="2946"/>
      <c r="AC80" s="2946"/>
    </row>
    <row r="81" spans="1:29" ht="14.4" thickBot="1">
      <c r="A81" s="491"/>
      <c r="B81" s="492"/>
      <c r="C81" s="501">
        <v>100</v>
      </c>
      <c r="D81" s="501">
        <f t="shared" ref="D81:M81" si="23">IF($B$46="单位面积地价",C81+$K11,C81-$K11)</f>
        <v>98</v>
      </c>
      <c r="E81" s="501">
        <f t="shared" si="23"/>
        <v>96</v>
      </c>
      <c r="F81" s="501">
        <f t="shared" si="23"/>
        <v>94</v>
      </c>
      <c r="G81" s="501">
        <f t="shared" si="23"/>
        <v>92</v>
      </c>
      <c r="H81" s="501">
        <f t="shared" si="23"/>
        <v>90</v>
      </c>
      <c r="I81" s="501">
        <f t="shared" si="23"/>
        <v>88</v>
      </c>
      <c r="J81" s="501">
        <f t="shared" si="23"/>
        <v>86</v>
      </c>
      <c r="K81" s="501">
        <f t="shared" si="23"/>
        <v>84</v>
      </c>
      <c r="L81" s="501">
        <f t="shared" si="23"/>
        <v>82</v>
      </c>
      <c r="M81" s="501">
        <f t="shared" si="23"/>
        <v>80</v>
      </c>
      <c r="N81" s="2975"/>
      <c r="O81" s="2975"/>
      <c r="P81" s="2999"/>
      <c r="Q81" s="2960"/>
      <c r="R81" s="2946"/>
      <c r="S81" s="2946"/>
      <c r="T81" s="2946"/>
      <c r="U81" s="2946"/>
      <c r="V81" s="2946"/>
      <c r="W81" s="2946"/>
      <c r="X81" s="2946"/>
      <c r="Y81" s="2946"/>
      <c r="Z81" s="2946"/>
      <c r="AA81" s="2946"/>
      <c r="AB81" s="2946"/>
      <c r="AC81" s="2946"/>
    </row>
    <row r="82" spans="1:29" s="430" customFormat="1" ht="14.4" thickTop="1">
      <c r="A82" s="510"/>
      <c r="B82" s="495" t="str">
        <f>B12</f>
        <v>代建比例</v>
      </c>
      <c r="C82" s="511" t="s">
        <v>3647</v>
      </c>
      <c r="D82" s="511" t="s">
        <v>3648</v>
      </c>
      <c r="E82" s="511" t="s">
        <v>3649</v>
      </c>
      <c r="F82" s="511" t="s">
        <v>3650</v>
      </c>
      <c r="G82" s="511" t="s">
        <v>3651</v>
      </c>
      <c r="H82" s="512" t="s">
        <v>3652</v>
      </c>
      <c r="I82" s="512" t="s">
        <v>3653</v>
      </c>
      <c r="J82" s="512" t="s">
        <v>3654</v>
      </c>
      <c r="K82" s="512" t="s">
        <v>3655</v>
      </c>
      <c r="L82" s="513" t="s">
        <v>3656</v>
      </c>
      <c r="M82" s="514"/>
      <c r="N82" s="2976"/>
      <c r="O82" s="2976"/>
      <c r="P82" s="3000"/>
      <c r="Q82" s="2967"/>
      <c r="R82" s="2968"/>
      <c r="S82" s="2968"/>
      <c r="T82" s="2968"/>
      <c r="U82" s="2968"/>
      <c r="V82" s="2968"/>
      <c r="W82" s="2968"/>
      <c r="X82" s="2968"/>
      <c r="Y82" s="2968"/>
      <c r="Z82" s="2968"/>
      <c r="AA82" s="2968"/>
      <c r="AB82" s="2968"/>
      <c r="AC82" s="2968"/>
    </row>
    <row r="83" spans="1:29" s="430" customFormat="1" ht="14.4" thickBot="1">
      <c r="A83" s="510"/>
      <c r="B83" s="500"/>
      <c r="C83" s="517">
        <v>100</v>
      </c>
      <c r="D83" s="493">
        <f>C83-1</f>
        <v>99</v>
      </c>
      <c r="E83" s="493">
        <f t="shared" ref="E83:L83" si="24">D83-1</f>
        <v>98</v>
      </c>
      <c r="F83" s="493">
        <f t="shared" si="24"/>
        <v>97</v>
      </c>
      <c r="G83" s="493">
        <f t="shared" si="24"/>
        <v>96</v>
      </c>
      <c r="H83" s="493">
        <f t="shared" si="24"/>
        <v>95</v>
      </c>
      <c r="I83" s="493">
        <f t="shared" si="24"/>
        <v>94</v>
      </c>
      <c r="J83" s="493">
        <f t="shared" si="24"/>
        <v>93</v>
      </c>
      <c r="K83" s="493">
        <f t="shared" si="24"/>
        <v>92</v>
      </c>
      <c r="L83" s="493">
        <f t="shared" si="24"/>
        <v>91</v>
      </c>
      <c r="M83" s="494"/>
      <c r="N83" s="2975"/>
      <c r="O83" s="2975"/>
      <c r="P83" s="3000"/>
      <c r="Q83" s="2967"/>
      <c r="R83" s="2968"/>
      <c r="S83" s="2968"/>
      <c r="T83" s="2968"/>
      <c r="U83" s="2968"/>
      <c r="V83" s="2968"/>
      <c r="W83" s="2968"/>
      <c r="X83" s="2968"/>
      <c r="Y83" s="2968"/>
      <c r="Z83" s="2968"/>
      <c r="AA83" s="2968"/>
      <c r="AB83" s="2968"/>
      <c r="AC83" s="2968"/>
    </row>
    <row r="84" spans="1:29" s="430" customFormat="1" ht="14.4" thickTop="1">
      <c r="A84" s="510"/>
      <c r="B84" s="495" t="str">
        <f>B13</f>
        <v>自持比例</v>
      </c>
      <c r="C84" s="511" t="s">
        <v>3647</v>
      </c>
      <c r="D84" s="511" t="s">
        <v>3648</v>
      </c>
      <c r="E84" s="511" t="s">
        <v>3649</v>
      </c>
      <c r="F84" s="511" t="s">
        <v>3650</v>
      </c>
      <c r="G84" s="511" t="s">
        <v>3651</v>
      </c>
      <c r="H84" s="512" t="s">
        <v>3652</v>
      </c>
      <c r="I84" s="512" t="s">
        <v>3653</v>
      </c>
      <c r="J84" s="512" t="s">
        <v>3654</v>
      </c>
      <c r="K84" s="512" t="s">
        <v>3655</v>
      </c>
      <c r="L84" s="513" t="s">
        <v>3656</v>
      </c>
      <c r="M84" s="514"/>
      <c r="N84" s="2976"/>
      <c r="O84" s="2976"/>
      <c r="P84" s="2944"/>
      <c r="Q84" s="2970"/>
      <c r="R84" s="2968"/>
      <c r="S84" s="2968"/>
      <c r="T84" s="2968"/>
      <c r="U84" s="2968"/>
      <c r="V84" s="2968"/>
      <c r="W84" s="2968"/>
      <c r="X84" s="2968"/>
      <c r="Y84" s="2968"/>
      <c r="Z84" s="2968"/>
      <c r="AA84" s="2968"/>
      <c r="AB84" s="2968"/>
      <c r="AC84" s="2968"/>
    </row>
    <row r="85" spans="1:29" s="430" customFormat="1" ht="14.4" thickBot="1">
      <c r="A85" s="510"/>
      <c r="B85" s="500"/>
      <c r="C85" s="517">
        <v>100</v>
      </c>
      <c r="D85" s="493">
        <f>C85-1</f>
        <v>99</v>
      </c>
      <c r="E85" s="493">
        <f t="shared" ref="E85:L85" si="25">D85-1</f>
        <v>98</v>
      </c>
      <c r="F85" s="493">
        <f t="shared" si="25"/>
        <v>97</v>
      </c>
      <c r="G85" s="493">
        <f t="shared" si="25"/>
        <v>96</v>
      </c>
      <c r="H85" s="493">
        <f t="shared" si="25"/>
        <v>95</v>
      </c>
      <c r="I85" s="493">
        <f t="shared" si="25"/>
        <v>94</v>
      </c>
      <c r="J85" s="493">
        <f t="shared" si="25"/>
        <v>93</v>
      </c>
      <c r="K85" s="493">
        <f t="shared" si="25"/>
        <v>92</v>
      </c>
      <c r="L85" s="493">
        <f t="shared" si="25"/>
        <v>91</v>
      </c>
      <c r="M85" s="520"/>
      <c r="N85" s="2976"/>
      <c r="O85" s="2976"/>
      <c r="P85" s="3000"/>
      <c r="Q85" s="2967"/>
      <c r="R85" s="2968"/>
      <c r="S85" s="2968"/>
      <c r="T85" s="2968"/>
      <c r="U85" s="2968"/>
      <c r="V85" s="2968"/>
      <c r="W85" s="2968"/>
      <c r="X85" s="2968"/>
      <c r="Y85" s="2968"/>
      <c r="Z85" s="2968"/>
      <c r="AA85" s="2968"/>
      <c r="AB85" s="2968"/>
      <c r="AC85" s="2968"/>
    </row>
    <row r="86" spans="1:29" s="430" customFormat="1" ht="14.4"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4.4"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ht="14.4">
      <c r="A88" s="484" t="s">
        <v>2374</v>
      </c>
      <c r="B88" s="485" t="s">
        <v>2411</v>
      </c>
      <c r="C88" s="530" t="s">
        <v>2412</v>
      </c>
      <c r="D88" s="530" t="s">
        <v>2413</v>
      </c>
      <c r="E88" s="530" t="s">
        <v>2414</v>
      </c>
      <c r="F88" s="530" t="s">
        <v>2415</v>
      </c>
      <c r="G88" s="530" t="s">
        <v>2416</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 thickTop="1">
      <c r="A90" s="491"/>
      <c r="B90" s="495" t="s">
        <v>2597</v>
      </c>
      <c r="C90" s="535" t="s">
        <v>2412</v>
      </c>
      <c r="D90" s="535" t="s">
        <v>2413</v>
      </c>
      <c r="E90" s="535" t="s">
        <v>2414</v>
      </c>
      <c r="F90" s="535" t="s">
        <v>2415</v>
      </c>
      <c r="G90" s="535" t="s">
        <v>2416</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4.4" thickBot="1">
      <c r="A91" s="491"/>
      <c r="B91" s="500"/>
      <c r="C91" s="501">
        <v>100</v>
      </c>
      <c r="D91" s="501">
        <f>C91-$K17</f>
        <v>98</v>
      </c>
      <c r="E91" s="501">
        <f>D91-$K17</f>
        <v>96</v>
      </c>
      <c r="F91" s="501">
        <f>E91-$K17</f>
        <v>94</v>
      </c>
      <c r="G91" s="501">
        <f>F91-$K17</f>
        <v>92</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 thickTop="1">
      <c r="A92" s="491"/>
      <c r="B92" s="495" t="s">
        <v>2512</v>
      </c>
      <c r="C92" s="535" t="s">
        <v>2412</v>
      </c>
      <c r="D92" s="535" t="s">
        <v>2413</v>
      </c>
      <c r="E92" s="535" t="s">
        <v>2414</v>
      </c>
      <c r="F92" s="535" t="s">
        <v>2415</v>
      </c>
      <c r="G92" s="535" t="s">
        <v>2416</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4.4" thickBot="1">
      <c r="A93" s="491"/>
      <c r="B93" s="500"/>
      <c r="C93" s="501">
        <v>100</v>
      </c>
      <c r="D93" s="501">
        <f>C93-$K19</f>
        <v>90</v>
      </c>
      <c r="E93" s="501">
        <f>D93-$K19</f>
        <v>80</v>
      </c>
      <c r="F93" s="501">
        <f>E93-$K19</f>
        <v>70</v>
      </c>
      <c r="G93" s="501">
        <f>F93-$K19</f>
        <v>60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 thickTop="1">
      <c r="A94" s="491"/>
      <c r="B94" s="495" t="s">
        <v>2417</v>
      </c>
      <c r="C94" s="535" t="s">
        <v>2412</v>
      </c>
      <c r="D94" s="535" t="s">
        <v>2413</v>
      </c>
      <c r="E94" s="535" t="s">
        <v>2414</v>
      </c>
      <c r="F94" s="535" t="s">
        <v>2415</v>
      </c>
      <c r="G94" s="535" t="s">
        <v>2416</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4.4" thickBot="1">
      <c r="A95" s="491"/>
      <c r="B95" s="500"/>
      <c r="C95" s="501">
        <v>100</v>
      </c>
      <c r="D95" s="501">
        <f>C95-$K21</f>
        <v>98</v>
      </c>
      <c r="E95" s="501">
        <f>D95-$K21</f>
        <v>96</v>
      </c>
      <c r="F95" s="501">
        <f>E95-$K21</f>
        <v>94</v>
      </c>
      <c r="G95" s="501">
        <f>F95-$K21</f>
        <v>92</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29.4" thickTop="1">
      <c r="A96" s="536"/>
      <c r="B96" s="495" t="s">
        <v>2598</v>
      </c>
      <c r="C96" s="535" t="s">
        <v>2412</v>
      </c>
      <c r="D96" s="535" t="s">
        <v>2413</v>
      </c>
      <c r="E96" s="535" t="s">
        <v>2414</v>
      </c>
      <c r="F96" s="535" t="s">
        <v>2415</v>
      </c>
      <c r="G96" s="535" t="s">
        <v>2416</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4.4" thickBot="1">
      <c r="A97" s="536"/>
      <c r="B97" s="500"/>
      <c r="C97" s="539">
        <v>100</v>
      </c>
      <c r="D97" s="501">
        <f>C97-$K23</f>
        <v>99</v>
      </c>
      <c r="E97" s="501">
        <f>D97-$K23</f>
        <v>98</v>
      </c>
      <c r="F97" s="501">
        <f>E97-$K23</f>
        <v>97</v>
      </c>
      <c r="G97" s="501">
        <f>F97-$K23</f>
        <v>96</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9.4" thickTop="1">
      <c r="A98" s="536"/>
      <c r="B98" s="495" t="s">
        <v>2599</v>
      </c>
      <c r="C98" s="530" t="s">
        <v>2412</v>
      </c>
      <c r="D98" s="530" t="s">
        <v>2413</v>
      </c>
      <c r="E98" s="530" t="s">
        <v>2414</v>
      </c>
      <c r="F98" s="530" t="s">
        <v>2415</v>
      </c>
      <c r="G98" s="530" t="s">
        <v>2416</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4.4" thickBot="1">
      <c r="A99" s="536"/>
      <c r="B99" s="500"/>
      <c r="C99" s="501">
        <v>100</v>
      </c>
      <c r="D99" s="501">
        <f>C99-$K25</f>
        <v>98</v>
      </c>
      <c r="E99" s="501">
        <f>D99-$K25</f>
        <v>96</v>
      </c>
      <c r="F99" s="501">
        <f>E99-$K25</f>
        <v>94</v>
      </c>
      <c r="G99" s="501">
        <f>F99-$K25</f>
        <v>92</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 thickTop="1">
      <c r="A100" s="510"/>
      <c r="B100" s="495" t="s">
        <v>2469</v>
      </c>
      <c r="C100" s="530" t="s">
        <v>2412</v>
      </c>
      <c r="D100" s="530" t="s">
        <v>2413</v>
      </c>
      <c r="E100" s="530" t="s">
        <v>2414</v>
      </c>
      <c r="F100" s="530" t="s">
        <v>2415</v>
      </c>
      <c r="G100" s="530" t="s">
        <v>2416</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4.4" thickBot="1">
      <c r="A101" s="510"/>
      <c r="B101" s="500"/>
      <c r="C101" s="501">
        <v>100</v>
      </c>
      <c r="D101" s="501">
        <f>C101-$K27</f>
        <v>98</v>
      </c>
      <c r="E101" s="501">
        <f>D101-$K27</f>
        <v>96</v>
      </c>
      <c r="F101" s="501">
        <f>E101-$K27</f>
        <v>94</v>
      </c>
      <c r="G101" s="501">
        <f>F101-$K27</f>
        <v>92</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 thickTop="1">
      <c r="A102" s="510"/>
      <c r="B102" s="503" t="s">
        <v>2470</v>
      </c>
      <c r="C102" s="616" t="s">
        <v>2490</v>
      </c>
      <c r="D102" s="616" t="s">
        <v>2491</v>
      </c>
      <c r="E102" s="616" t="s">
        <v>2492</v>
      </c>
      <c r="F102" s="616" t="s">
        <v>2493</v>
      </c>
      <c r="G102" s="616" t="s">
        <v>2494</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4.4" thickBot="1">
      <c r="A103" s="510"/>
      <c r="B103" s="503"/>
      <c r="C103" s="501">
        <v>100</v>
      </c>
      <c r="D103" s="501">
        <f>C103-$K29</f>
        <v>99</v>
      </c>
      <c r="E103" s="501">
        <f>D103-$K29</f>
        <v>98</v>
      </c>
      <c r="F103" s="501">
        <f>E103-$K29</f>
        <v>97</v>
      </c>
      <c r="G103" s="501">
        <f>F103-$K29</f>
        <v>96</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 thickTop="1">
      <c r="A104" s="491"/>
      <c r="B104" s="495" t="str">
        <f>B31</f>
        <v>临街状况</v>
      </c>
      <c r="C104" s="496" t="s">
        <v>2600</v>
      </c>
      <c r="D104" s="496" t="s">
        <v>2601</v>
      </c>
      <c r="E104" s="496" t="s">
        <v>2602</v>
      </c>
      <c r="F104" s="496" t="s">
        <v>2603</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4.4" thickBot="1">
      <c r="A105" s="491"/>
      <c r="B105" s="500"/>
      <c r="C105" s="501">
        <v>100</v>
      </c>
      <c r="D105" s="501">
        <f>C105-$K31</f>
        <v>99</v>
      </c>
      <c r="E105" s="501">
        <f t="shared" ref="E105:M105" si="26">D105-$K31</f>
        <v>98</v>
      </c>
      <c r="F105" s="501">
        <f t="shared" si="26"/>
        <v>97</v>
      </c>
      <c r="G105" s="501">
        <f t="shared" si="26"/>
        <v>96</v>
      </c>
      <c r="H105" s="501">
        <f t="shared" si="26"/>
        <v>95</v>
      </c>
      <c r="I105" s="501">
        <f t="shared" si="26"/>
        <v>94</v>
      </c>
      <c r="J105" s="501">
        <f t="shared" si="26"/>
        <v>93</v>
      </c>
      <c r="K105" s="501">
        <f t="shared" si="26"/>
        <v>92</v>
      </c>
      <c r="L105" s="501">
        <f t="shared" si="26"/>
        <v>91</v>
      </c>
      <c r="M105" s="501">
        <f t="shared" si="26"/>
        <v>90</v>
      </c>
      <c r="N105" s="2975"/>
      <c r="O105" s="2975"/>
      <c r="P105" s="2999"/>
      <c r="Q105" s="2960"/>
      <c r="R105" s="2946"/>
      <c r="S105" s="2946"/>
      <c r="T105" s="2946"/>
      <c r="U105" s="2946"/>
      <c r="V105" s="2946"/>
      <c r="W105" s="2946"/>
      <c r="X105" s="2946"/>
      <c r="Y105" s="2946"/>
      <c r="Z105" s="2946"/>
      <c r="AA105" s="2946"/>
      <c r="AB105" s="2946"/>
      <c r="AC105" s="2946"/>
    </row>
    <row r="106" spans="1:29" ht="29.4" thickTop="1">
      <c r="A106" s="491"/>
      <c r="B106" s="495" t="s">
        <v>2506</v>
      </c>
      <c r="C106" s="3074" t="s">
        <v>3620</v>
      </c>
      <c r="D106" s="3074" t="s">
        <v>3621</v>
      </c>
      <c r="E106" s="3074" t="s">
        <v>3622</v>
      </c>
      <c r="F106" s="3074" t="s">
        <v>3624</v>
      </c>
      <c r="G106" s="3074" t="s">
        <v>3626</v>
      </c>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4.4" thickBot="1">
      <c r="A107" s="491"/>
      <c r="B107" s="500"/>
      <c r="C107" s="501">
        <v>100</v>
      </c>
      <c r="D107" s="501">
        <f>C107-$K32</f>
        <v>100</v>
      </c>
      <c r="E107" s="501">
        <f t="shared" ref="E107:M107" si="27">D107-$K32</f>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2975"/>
      <c r="O107" s="2975"/>
      <c r="P107" s="2999"/>
      <c r="Q107" s="2960"/>
      <c r="R107" s="2946"/>
      <c r="S107" s="2946"/>
      <c r="T107" s="2946"/>
      <c r="U107" s="2946"/>
      <c r="V107" s="2946"/>
      <c r="W107" s="2946"/>
      <c r="X107" s="2946"/>
      <c r="Y107" s="2946"/>
      <c r="Z107" s="2946"/>
      <c r="AA107" s="2946"/>
      <c r="AB107" s="2946"/>
      <c r="AC107" s="2946"/>
    </row>
    <row r="108" spans="1:29" ht="15" thickTop="1">
      <c r="A108" s="491"/>
      <c r="B108" s="495" t="s">
        <v>2564</v>
      </c>
      <c r="C108" s="3073" t="s">
        <v>3627</v>
      </c>
      <c r="D108" s="3073" t="s">
        <v>3628</v>
      </c>
      <c r="E108" s="3073" t="s">
        <v>3629</v>
      </c>
      <c r="F108" s="3073" t="s">
        <v>3630</v>
      </c>
      <c r="G108" s="3073" t="s">
        <v>3631</v>
      </c>
      <c r="H108" s="3073" t="s">
        <v>3632</v>
      </c>
      <c r="I108" s="3073" t="s">
        <v>3633</v>
      </c>
      <c r="J108" s="3073" t="s">
        <v>3634</v>
      </c>
      <c r="K108" s="3077" t="s">
        <v>3635</v>
      </c>
      <c r="L108" s="542"/>
      <c r="M108" s="543"/>
      <c r="N108" s="2974"/>
      <c r="O108" s="2974"/>
      <c r="P108" s="2999"/>
      <c r="Q108" s="2960"/>
      <c r="R108" s="2946"/>
      <c r="S108" s="2946"/>
      <c r="T108" s="2946"/>
      <c r="U108" s="2946"/>
      <c r="V108" s="2946"/>
      <c r="W108" s="2946"/>
      <c r="X108" s="2946"/>
      <c r="Y108" s="2946"/>
      <c r="Z108" s="2946"/>
      <c r="AA108" s="2946"/>
      <c r="AB108" s="2946"/>
      <c r="AC108" s="2946"/>
    </row>
    <row r="109" spans="1:29" ht="14.4" thickBot="1">
      <c r="A109" s="491"/>
      <c r="B109" s="500"/>
      <c r="C109" s="501">
        <v>100</v>
      </c>
      <c r="D109" s="501">
        <f>C109-$K34</f>
        <v>95</v>
      </c>
      <c r="E109" s="501">
        <f t="shared" ref="E109:M109" si="28">D109-$K34</f>
        <v>90</v>
      </c>
      <c r="F109" s="501">
        <f t="shared" si="28"/>
        <v>85</v>
      </c>
      <c r="G109" s="501">
        <f t="shared" si="28"/>
        <v>80</v>
      </c>
      <c r="H109" s="501">
        <f t="shared" si="28"/>
        <v>75</v>
      </c>
      <c r="I109" s="501">
        <f t="shared" si="28"/>
        <v>70</v>
      </c>
      <c r="J109" s="501">
        <f t="shared" si="28"/>
        <v>65</v>
      </c>
      <c r="K109" s="501">
        <f t="shared" si="28"/>
        <v>60</v>
      </c>
      <c r="L109" s="501">
        <f t="shared" si="28"/>
        <v>55</v>
      </c>
      <c r="M109" s="501">
        <f t="shared" si="28"/>
        <v>50</v>
      </c>
      <c r="N109" s="2975"/>
      <c r="O109" s="2975"/>
      <c r="P109" s="2999"/>
      <c r="Q109" s="2960"/>
      <c r="R109" s="2946"/>
      <c r="S109" s="2946"/>
      <c r="T109" s="2946"/>
      <c r="U109" s="2946"/>
      <c r="V109" s="2946"/>
      <c r="W109" s="2946"/>
      <c r="X109" s="2946"/>
      <c r="Y109" s="2946"/>
      <c r="Z109" s="2946"/>
      <c r="AA109" s="2946"/>
      <c r="AB109" s="2946"/>
      <c r="AC109" s="2946"/>
    </row>
    <row r="110" spans="1:29" ht="14.4"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4.4"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4.4"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4.4"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4.4"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4.4"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ht="27.6">
      <c r="A116" s="484" t="s">
        <v>2378</v>
      </c>
      <c r="B116" s="485" t="s">
        <v>2604</v>
      </c>
      <c r="C116" s="486" t="str">
        <f>C117&amp;"(含)"&amp;"-"&amp;D117</f>
        <v>0(含)-30000</v>
      </c>
      <c r="D116" s="486" t="str">
        <f t="shared" ref="D116:M116" si="29">D117&amp;"(含)"&amp;"-"&amp;E117</f>
        <v>30000(含)-60000</v>
      </c>
      <c r="E116" s="486" t="str">
        <f t="shared" si="29"/>
        <v>60000(含)-90000</v>
      </c>
      <c r="F116" s="486" t="str">
        <f t="shared" si="29"/>
        <v>90000(含)-120000</v>
      </c>
      <c r="G116" s="486" t="str">
        <f t="shared" si="29"/>
        <v>120000(含)-</v>
      </c>
      <c r="H116" s="486" t="str">
        <f t="shared" si="29"/>
        <v>(含)-</v>
      </c>
      <c r="I116" s="486" t="str">
        <f t="shared" si="29"/>
        <v>(含)-</v>
      </c>
      <c r="J116" s="486" t="str">
        <f t="shared" si="29"/>
        <v>(含)-</v>
      </c>
      <c r="K116" s="486" t="str">
        <f t="shared" si="29"/>
        <v>(含)-</v>
      </c>
      <c r="L116" s="486" t="str">
        <f t="shared" si="29"/>
        <v>(含)-</v>
      </c>
      <c r="M116" s="486" t="str">
        <f t="shared" si="29"/>
        <v>(含)-</v>
      </c>
      <c r="N116" s="2974"/>
      <c r="O116" s="2974"/>
      <c r="P116" s="2999"/>
      <c r="Q116" s="2960"/>
      <c r="R116" s="2946"/>
      <c r="S116" s="2946"/>
      <c r="T116" s="2946"/>
      <c r="U116" s="2946"/>
      <c r="V116" s="2946"/>
      <c r="W116" s="2946"/>
      <c r="X116" s="2946"/>
      <c r="Y116" s="2946"/>
      <c r="Z116" s="2946"/>
      <c r="AA116" s="2946"/>
      <c r="AB116" s="2946"/>
      <c r="AC116" s="2946"/>
    </row>
    <row r="117" spans="1:29">
      <c r="A117" s="491"/>
      <c r="B117" s="503"/>
      <c r="C117" s="552">
        <v>0</v>
      </c>
      <c r="D117" s="552">
        <f>C117+30000</f>
        <v>30000</v>
      </c>
      <c r="E117" s="552">
        <f t="shared" ref="E117:G117" si="30">D117+30000</f>
        <v>60000</v>
      </c>
      <c r="F117" s="552">
        <f t="shared" si="30"/>
        <v>90000</v>
      </c>
      <c r="G117" s="552">
        <f t="shared" si="30"/>
        <v>120000</v>
      </c>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4.4" thickBot="1">
      <c r="A118" s="491"/>
      <c r="B118" s="500"/>
      <c r="C118" s="527">
        <v>100</v>
      </c>
      <c r="D118" s="548">
        <f>C118+1</f>
        <v>101</v>
      </c>
      <c r="E118" s="548">
        <f t="shared" ref="E118:G118" si="31">D118+1</f>
        <v>102</v>
      </c>
      <c r="F118" s="548">
        <f t="shared" si="31"/>
        <v>103</v>
      </c>
      <c r="G118" s="548">
        <f t="shared" si="31"/>
        <v>104</v>
      </c>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2605</v>
      </c>
      <c r="C119" s="3073" t="s">
        <v>3608</v>
      </c>
      <c r="D119" s="3073" t="s">
        <v>3610</v>
      </c>
      <c r="E119" s="3073" t="s">
        <v>3612</v>
      </c>
      <c r="F119" s="3073" t="s">
        <v>3613</v>
      </c>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4.4" thickBot="1">
      <c r="A120" s="491"/>
      <c r="B120" s="500"/>
      <c r="C120" s="501">
        <v>100</v>
      </c>
      <c r="D120" s="501">
        <f t="shared" ref="D120:M120" si="32">C120-$K39</f>
        <v>99</v>
      </c>
      <c r="E120" s="501">
        <f t="shared" si="32"/>
        <v>98</v>
      </c>
      <c r="F120" s="501">
        <f t="shared" si="32"/>
        <v>97</v>
      </c>
      <c r="G120" s="501">
        <f t="shared" si="32"/>
        <v>96</v>
      </c>
      <c r="H120" s="501">
        <f t="shared" si="32"/>
        <v>95</v>
      </c>
      <c r="I120" s="501">
        <f t="shared" si="32"/>
        <v>94</v>
      </c>
      <c r="J120" s="501">
        <f t="shared" si="32"/>
        <v>93</v>
      </c>
      <c r="K120" s="501">
        <f t="shared" si="32"/>
        <v>92</v>
      </c>
      <c r="L120" s="501">
        <f t="shared" si="32"/>
        <v>91</v>
      </c>
      <c r="M120" s="502">
        <f t="shared" si="32"/>
        <v>90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2606</v>
      </c>
      <c r="C121" s="3074" t="s">
        <v>3614</v>
      </c>
      <c r="D121" s="3074" t="s">
        <v>3616</v>
      </c>
      <c r="E121" s="3074" t="s">
        <v>3618</v>
      </c>
      <c r="F121" s="3073" t="s">
        <v>3619</v>
      </c>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4.4" thickBot="1">
      <c r="A122" s="491"/>
      <c r="B122" s="500"/>
      <c r="C122" s="501">
        <v>100</v>
      </c>
      <c r="D122" s="501">
        <f t="shared" ref="D122:M122" si="33">C122-$K40</f>
        <v>99</v>
      </c>
      <c r="E122" s="501">
        <f t="shared" si="33"/>
        <v>98</v>
      </c>
      <c r="F122" s="501">
        <f t="shared" si="33"/>
        <v>97</v>
      </c>
      <c r="G122" s="501">
        <f t="shared" si="33"/>
        <v>96</v>
      </c>
      <c r="H122" s="501">
        <f t="shared" si="33"/>
        <v>95</v>
      </c>
      <c r="I122" s="501">
        <f t="shared" si="33"/>
        <v>94</v>
      </c>
      <c r="J122" s="501">
        <f t="shared" si="33"/>
        <v>93</v>
      </c>
      <c r="K122" s="501">
        <f t="shared" si="33"/>
        <v>92</v>
      </c>
      <c r="L122" s="501">
        <f t="shared" si="33"/>
        <v>91</v>
      </c>
      <c r="M122" s="502">
        <f t="shared" si="33"/>
        <v>90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2607</v>
      </c>
      <c r="C123" s="3075" t="s">
        <v>2490</v>
      </c>
      <c r="D123" s="3075" t="s">
        <v>2491</v>
      </c>
      <c r="E123" s="3075" t="s">
        <v>2492</v>
      </c>
      <c r="F123" s="3075" t="s">
        <v>2493</v>
      </c>
      <c r="G123" s="3075" t="s">
        <v>2494</v>
      </c>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4.4" thickBot="1">
      <c r="A124" s="510"/>
      <c r="B124" s="500"/>
      <c r="C124" s="501">
        <v>100</v>
      </c>
      <c r="D124" s="501">
        <f>C124-$K41</f>
        <v>99</v>
      </c>
      <c r="E124" s="501">
        <f t="shared" ref="E124:M124" si="34">D124-$K41</f>
        <v>98</v>
      </c>
      <c r="F124" s="501">
        <f t="shared" si="34"/>
        <v>97</v>
      </c>
      <c r="G124" s="501">
        <f t="shared" si="34"/>
        <v>96</v>
      </c>
      <c r="H124" s="501">
        <f t="shared" si="34"/>
        <v>95</v>
      </c>
      <c r="I124" s="501">
        <f t="shared" si="34"/>
        <v>94</v>
      </c>
      <c r="J124" s="501">
        <f t="shared" si="34"/>
        <v>93</v>
      </c>
      <c r="K124" s="501">
        <f t="shared" si="34"/>
        <v>92</v>
      </c>
      <c r="L124" s="501">
        <f t="shared" si="34"/>
        <v>91</v>
      </c>
      <c r="M124" s="502">
        <f t="shared" si="34"/>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2608</v>
      </c>
      <c r="C125" s="3076" t="s">
        <v>2412</v>
      </c>
      <c r="D125" s="3076" t="s">
        <v>2413</v>
      </c>
      <c r="E125" s="3076" t="s">
        <v>2414</v>
      </c>
      <c r="F125" s="3076" t="s">
        <v>2415</v>
      </c>
      <c r="G125" s="3076" t="s">
        <v>2416</v>
      </c>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4.4" thickBot="1">
      <c r="A126" s="491"/>
      <c r="B126" s="500"/>
      <c r="C126" s="501">
        <v>100</v>
      </c>
      <c r="D126" s="501">
        <f t="shared" ref="D126:M126" si="35">C126-$K42</f>
        <v>99</v>
      </c>
      <c r="E126" s="501">
        <f t="shared" si="35"/>
        <v>98</v>
      </c>
      <c r="F126" s="501">
        <f t="shared" si="35"/>
        <v>97</v>
      </c>
      <c r="G126" s="501">
        <f t="shared" si="35"/>
        <v>96</v>
      </c>
      <c r="H126" s="501">
        <f t="shared" si="35"/>
        <v>95</v>
      </c>
      <c r="I126" s="501">
        <f t="shared" si="35"/>
        <v>94</v>
      </c>
      <c r="J126" s="501">
        <f t="shared" si="35"/>
        <v>93</v>
      </c>
      <c r="K126" s="501">
        <f t="shared" si="35"/>
        <v>92</v>
      </c>
      <c r="L126" s="501">
        <f t="shared" si="35"/>
        <v>91</v>
      </c>
      <c r="M126" s="502">
        <f t="shared" si="35"/>
        <v>90</v>
      </c>
      <c r="N126" s="2975"/>
      <c r="O126" s="2975"/>
      <c r="P126" s="2999"/>
      <c r="Q126" s="2960"/>
      <c r="R126" s="2946"/>
      <c r="S126" s="2946"/>
      <c r="T126" s="2946"/>
      <c r="U126" s="2946"/>
      <c r="V126" s="2946"/>
      <c r="W126" s="2946"/>
      <c r="X126" s="2946"/>
      <c r="Y126" s="2946"/>
      <c r="Z126" s="2946"/>
      <c r="AA126" s="2946"/>
      <c r="AB126" s="2946"/>
      <c r="AC126" s="2946"/>
    </row>
    <row r="127" spans="1:29" ht="14.4"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4.4"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4.4"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4.4"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4.4"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4.4"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6" customWidth="1"/>
    <col min="2" max="9" width="10" style="946" customWidth="1"/>
    <col min="10" max="16384" width="9" style="946"/>
  </cols>
  <sheetData>
    <row r="36" spans="1:9">
      <c r="A36" s="945" t="s">
        <v>818</v>
      </c>
      <c r="B36" s="945" t="s">
        <v>819</v>
      </c>
    </row>
    <row r="37" spans="1:9" ht="27.75" customHeight="1">
      <c r="A37" s="945"/>
      <c r="B37" s="3094" t="str">
        <f>项目基本情况!B1</f>
        <v>北京市房地产抵押价值预评估</v>
      </c>
      <c r="C37" s="3094"/>
      <c r="D37" s="3094"/>
      <c r="E37" s="3094"/>
      <c r="F37" s="3094"/>
      <c r="G37" s="3094"/>
      <c r="H37" s="3094"/>
      <c r="I37" s="3094"/>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1" sqref="K31"/>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2144</v>
      </c>
      <c r="B1" s="1647"/>
      <c r="C1" s="204"/>
      <c r="D1" s="204"/>
      <c r="E1" s="204"/>
      <c r="F1" s="204"/>
      <c r="G1" s="1282">
        <f>MATCH(B1,'数据-取费表'!A6:A16,0)+5</f>
        <v>11</v>
      </c>
    </row>
    <row r="2" spans="1:9" s="206" customFormat="1" ht="18" customHeight="1">
      <c r="A2" s="207" t="s">
        <v>2145</v>
      </c>
      <c r="B2" s="208">
        <f ca="1">IF(D2="——",C52,C52-E2)</f>
        <v>393447</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21409</v>
      </c>
      <c r="C3" s="205" t="s">
        <v>2148</v>
      </c>
      <c r="D3" s="205"/>
      <c r="E3" s="205"/>
      <c r="F3" s="205"/>
      <c r="G3" s="205"/>
    </row>
    <row r="4" spans="1:9" s="214" customFormat="1" ht="16.2">
      <c r="A4" s="211" t="s">
        <v>2149</v>
      </c>
      <c r="B4" s="212"/>
      <c r="C4" s="212"/>
      <c r="D4" s="212"/>
      <c r="E4" s="212"/>
      <c r="F4" s="212"/>
      <c r="G4" s="213"/>
    </row>
    <row r="5" spans="1:9" s="220" customFormat="1" ht="13.5" customHeight="1">
      <c r="A5" s="261" t="s">
        <v>2150</v>
      </c>
      <c r="B5" s="216" t="s">
        <v>2151</v>
      </c>
      <c r="C5" s="217">
        <f>C6+C7+C8</f>
        <v>266693</v>
      </c>
      <c r="D5" s="217" t="s">
        <v>2152</v>
      </c>
      <c r="E5" s="218" t="s">
        <v>2153</v>
      </c>
      <c r="F5" s="218" t="s">
        <v>2154</v>
      </c>
      <c r="G5" s="219"/>
    </row>
    <row r="6" spans="1:9" s="220" customFormat="1" ht="13.5" customHeight="1">
      <c r="A6" s="880" t="s">
        <v>2155</v>
      </c>
      <c r="B6" s="221" t="s">
        <v>2156</v>
      </c>
      <c r="C6" s="222">
        <f>'土地比较法-住宅、综合'!B2</f>
        <v>255232</v>
      </c>
      <c r="D6" s="223"/>
      <c r="E6" s="224"/>
      <c r="F6" s="224"/>
      <c r="G6" s="225"/>
    </row>
    <row r="7" spans="1:9" s="220" customFormat="1" ht="13.5" customHeight="1">
      <c r="A7" s="880" t="s">
        <v>2157</v>
      </c>
      <c r="B7" s="221" t="s">
        <v>2158</v>
      </c>
      <c r="C7" s="226">
        <f>ROUND(C6*F7,0)</f>
        <v>7785</v>
      </c>
      <c r="D7" s="226"/>
      <c r="E7" s="224"/>
      <c r="F7" s="227">
        <f>IF(项目基本情况!B8="出让",0,'数据-取费表'!B48+'数据-取费表'!B49)</f>
        <v>3.0499999999999999E-2</v>
      </c>
      <c r="G7" s="225"/>
    </row>
    <row r="8" spans="1:9" s="229" customFormat="1">
      <c r="A8" s="880" t="s">
        <v>2159</v>
      </c>
      <c r="B8" s="221" t="s">
        <v>2160</v>
      </c>
      <c r="C8" s="226">
        <f>IF(G8="已包含在土地购买价格中","0",IF(B1="",'数据-取费表'!B29,IF(G9="全部缴纳",C9+C10,H9)))</f>
        <v>3676</v>
      </c>
      <c r="D8" s="228"/>
      <c r="E8" s="226"/>
      <c r="F8" s="227"/>
      <c r="G8" s="2034" t="s">
        <v>3581</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t="s">
        <v>3582</v>
      </c>
      <c r="H9" s="1293"/>
      <c r="I9" s="2036" t="s">
        <v>2162</v>
      </c>
    </row>
    <row r="10" spans="1:9" s="220" customFormat="1" ht="13.5" customHeight="1">
      <c r="A10" s="881" t="s">
        <v>801</v>
      </c>
      <c r="B10" s="230" t="s">
        <v>2163</v>
      </c>
      <c r="C10" s="231">
        <f ca="1">ROUND(D10*E10/10000,0)</f>
        <v>3676</v>
      </c>
      <c r="D10" s="948">
        <f ca="1">IF(B1="",'数据-汇总表'!E6,IF(INDIRECT("'数据-取费表'!c"&amp;$G$1)="住宅",INDIRECT("'数据-取费表'!s"&amp;$G$1),INDIRECT("'数据-取费表'!k"&amp;$G$1)+INDIRECT("'数据-取费表'!s"&amp;$G$1)))</f>
        <v>183777.08000000002</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183777.08000000002</v>
      </c>
      <c r="E19" s="217">
        <f>'数据-取费表'!B31</f>
        <v>200</v>
      </c>
      <c r="F19" s="237"/>
      <c r="G19" s="2034" t="s">
        <v>3583</v>
      </c>
    </row>
    <row r="20" spans="1:7" s="220" customFormat="1" ht="13.5" customHeight="1">
      <c r="A20" s="261" t="s">
        <v>2176</v>
      </c>
      <c r="B20" s="216" t="s">
        <v>2177</v>
      </c>
      <c r="C20" s="238">
        <f>ROUND((C5+C19)*F20,0)</f>
        <v>5334</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16543</v>
      </c>
      <c r="D22" s="241">
        <f ca="1">C26</f>
        <v>5.9999999999999995E-4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16382</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161</v>
      </c>
      <c r="D25" s="244"/>
      <c r="E25" s="247"/>
      <c r="F25" s="245"/>
      <c r="G25" s="248" t="s">
        <v>2193</v>
      </c>
    </row>
    <row r="26" spans="1:7" s="220" customFormat="1">
      <c r="A26" s="882" t="s">
        <v>795</v>
      </c>
      <c r="B26" s="221" t="s">
        <v>2194</v>
      </c>
      <c r="C26" s="244">
        <f ca="1">ROUND(IF('数据-取费表'!B22&lt;=1,F21*F22*'数据-取费表'!B23/2,F21*(POWER((1+F22),'数据-取费表'!B23/2)-1)),4)</f>
        <v>5.9999999999999995E-4</v>
      </c>
      <c r="D26" s="244"/>
      <c r="E26" s="247"/>
      <c r="F26" s="245"/>
      <c r="G26" s="249"/>
    </row>
    <row r="27" spans="1:7" s="220" customFormat="1" ht="26.4">
      <c r="A27" s="261" t="s">
        <v>2195</v>
      </c>
      <c r="B27" s="250" t="s">
        <v>2196</v>
      </c>
      <c r="C27" s="251">
        <f ca="1">C28</f>
        <v>22850</v>
      </c>
      <c r="D27" s="241">
        <f ca="1">C29</f>
        <v>1.6999999999999999E-3</v>
      </c>
      <c r="E27" s="242" t="s">
        <v>2197</v>
      </c>
      <c r="F27" s="252">
        <f ca="1">IF(B1="",'数据-取费表'!Q16,INDIRECT("'数据-取费表'!q"&amp;$G$1))</f>
        <v>0.12</v>
      </c>
      <c r="G27" s="253" t="s">
        <v>2198</v>
      </c>
    </row>
    <row r="28" spans="1:7" s="220" customFormat="1" ht="13.5" customHeight="1">
      <c r="A28" s="882" t="s">
        <v>791</v>
      </c>
      <c r="B28" s="254" t="s">
        <v>2199</v>
      </c>
      <c r="C28" s="255">
        <f ca="1">ROUND((C5+C19+C20)*F27*'数据-取费表'!B21/'数据-取费表'!B20,0)</f>
        <v>22850</v>
      </c>
      <c r="D28" s="241"/>
      <c r="E28" s="242"/>
      <c r="F28" s="252"/>
      <c r="G28" s="253"/>
    </row>
    <row r="29" spans="1:7" s="220" customFormat="1" ht="13.5" customHeight="1">
      <c r="A29" s="882" t="s">
        <v>792</v>
      </c>
      <c r="B29" s="254" t="s">
        <v>2200</v>
      </c>
      <c r="C29" s="244">
        <f ca="1">ROUND(C21*F27*'数据-取费表'!B21/'数据-取费表'!B20,4)</f>
        <v>1.6999999999999999E-3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336561</v>
      </c>
      <c r="D31" s="236"/>
      <c r="E31" s="217"/>
      <c r="F31" s="256"/>
      <c r="G31" s="240" t="s">
        <v>2205</v>
      </c>
    </row>
    <row r="32" spans="1:7" s="214" customFormat="1" ht="16.2">
      <c r="A32" s="258" t="s">
        <v>2206</v>
      </c>
      <c r="B32" s="259"/>
      <c r="C32" s="259"/>
      <c r="D32" s="259"/>
      <c r="E32" s="259"/>
      <c r="F32" s="259"/>
      <c r="G32" s="260"/>
    </row>
    <row r="33" spans="1:7" s="220" customFormat="1" ht="13.5" customHeight="1">
      <c r="A33" s="261" t="s">
        <v>782</v>
      </c>
      <c r="B33" s="216" t="s">
        <v>2207</v>
      </c>
      <c r="C33" s="262">
        <f ca="1">SUM(C34:C38)</f>
        <v>44830</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40614</v>
      </c>
      <c r="D34" s="223"/>
      <c r="E34" s="226"/>
      <c r="F34" s="263">
        <f ca="1">IF('数据-取费表'!B24=0,1,IF(B1="",'数据-取费表'!N16,INDIRECT("'数据-取费表'!n"&amp;$G$1)))</f>
        <v>0.65</v>
      </c>
      <c r="G34" s="225" t="s">
        <v>2209</v>
      </c>
    </row>
    <row r="35" spans="1:7" ht="13.5" customHeight="1">
      <c r="A35" s="882" t="s">
        <v>796</v>
      </c>
      <c r="B35" s="221" t="s">
        <v>2210</v>
      </c>
      <c r="C35" s="226">
        <f ca="1">ROUND(C34*F35,0)</f>
        <v>1218</v>
      </c>
      <c r="D35" s="226"/>
      <c r="E35" s="226"/>
      <c r="F35" s="265">
        <f>'数据-取费表'!B33</f>
        <v>0.03</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2389</v>
      </c>
      <c r="D37" s="223">
        <f ca="1">D19</f>
        <v>183777.08000000002</v>
      </c>
      <c r="E37" s="255">
        <f>'数据-取费表'!B35</f>
        <v>200</v>
      </c>
      <c r="F37" s="265"/>
      <c r="G37" s="267" t="s">
        <v>2215</v>
      </c>
    </row>
    <row r="38" spans="1:7" ht="13.5" customHeight="1">
      <c r="A38" s="882" t="s">
        <v>799</v>
      </c>
      <c r="B38" s="221" t="s">
        <v>2216</v>
      </c>
      <c r="C38" s="226">
        <f ca="1">ROUND(C34*F38,0)</f>
        <v>609</v>
      </c>
      <c r="D38" s="226"/>
      <c r="E38" s="226"/>
      <c r="F38" s="265">
        <f>'数据-取费表'!B36</f>
        <v>1.4999999999999999E-2</v>
      </c>
      <c r="G38" s="225" t="s">
        <v>2211</v>
      </c>
    </row>
    <row r="39" spans="1:7" s="220" customFormat="1" ht="13.5" customHeight="1">
      <c r="A39" s="261" t="s">
        <v>2217</v>
      </c>
      <c r="B39" s="216" t="s">
        <v>2218</v>
      </c>
      <c r="C39" s="238">
        <f ca="1">ROUND(C33*F20,0)</f>
        <v>897</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1383</v>
      </c>
      <c r="D41" s="241">
        <f ca="1">C44</f>
        <v>5.9999999999999995E-4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1356</v>
      </c>
      <c r="D42" s="244"/>
      <c r="E42" s="244"/>
      <c r="F42" s="245"/>
      <c r="G42" s="3327" t="s">
        <v>2227</v>
      </c>
    </row>
    <row r="43" spans="1:7" ht="13.5" customHeight="1">
      <c r="A43" s="882" t="s">
        <v>792</v>
      </c>
      <c r="B43" s="221" t="s">
        <v>2228</v>
      </c>
      <c r="C43" s="244">
        <f ca="1">ROUND(IF('数据-取费表'!B22&lt;=1,C39*F22*'数据-取费表'!B21/2,C39*(POWER((1+F22),'数据-取费表'!B21/2)-1)),0)</f>
        <v>27</v>
      </c>
      <c r="D43" s="244"/>
      <c r="E43" s="244"/>
      <c r="F43" s="245"/>
      <c r="G43" s="3328"/>
    </row>
    <row r="44" spans="1:7" ht="13.5" customHeight="1">
      <c r="A44" s="882" t="s">
        <v>793</v>
      </c>
      <c r="B44" s="221" t="s">
        <v>2229</v>
      </c>
      <c r="C44" s="244">
        <f ca="1">ROUND(IF('数据-取费表'!B22&lt;=1,C40*F22*'数据-取费表'!B21/2,C40*(POWER((1+F22),'数据-取费表'!B21/2)-1)),4)</f>
        <v>5.9999999999999995E-4</v>
      </c>
      <c r="D44" s="244"/>
      <c r="E44" s="244"/>
      <c r="F44" s="245"/>
      <c r="G44" s="3329"/>
    </row>
    <row r="45" spans="1:7" s="220" customFormat="1" ht="13.5" customHeight="1">
      <c r="A45" s="261" t="s">
        <v>2230</v>
      </c>
      <c r="B45" s="250" t="s">
        <v>2196</v>
      </c>
      <c r="C45" s="251">
        <f ca="1">C46</f>
        <v>5487</v>
      </c>
      <c r="D45" s="241">
        <f ca="1">C47</f>
        <v>2.3999999999999998E-3</v>
      </c>
      <c r="E45" s="242" t="s">
        <v>2222</v>
      </c>
      <c r="F45" s="2529">
        <f ca="1">F27</f>
        <v>0.12</v>
      </c>
      <c r="G45" s="253" t="s">
        <v>2231</v>
      </c>
    </row>
    <row r="46" spans="1:7" s="220" customFormat="1" ht="13.5" customHeight="1">
      <c r="A46" s="882" t="s">
        <v>791</v>
      </c>
      <c r="B46" s="254" t="s">
        <v>2232</v>
      </c>
      <c r="C46" s="255">
        <f ca="1">ROUND((C33+C39)*F27,0)</f>
        <v>5487</v>
      </c>
      <c r="D46" s="269"/>
      <c r="E46" s="242"/>
      <c r="F46" s="252"/>
      <c r="G46" s="253"/>
    </row>
    <row r="47" spans="1:7" s="220" customFormat="1" ht="13.5" customHeight="1">
      <c r="A47" s="882" t="s">
        <v>792</v>
      </c>
      <c r="B47" s="254" t="s">
        <v>2233</v>
      </c>
      <c r="C47" s="244">
        <f ca="1">ROUND(C40*F27,4)</f>
        <v>2.3999999999999998E-3</v>
      </c>
      <c r="D47" s="269"/>
      <c r="E47" s="242"/>
      <c r="F47" s="252"/>
      <c r="G47" s="253"/>
    </row>
    <row r="48" spans="1:7" s="220" customFormat="1" ht="13.5" customHeight="1">
      <c r="A48" s="261" t="s">
        <v>2195</v>
      </c>
      <c r="B48" s="216" t="s">
        <v>2234</v>
      </c>
      <c r="C48" s="1488">
        <f>ROUND(F30/(1+'数据-取费表'!C42),4)</f>
        <v>5.2400000000000002E-2</v>
      </c>
      <c r="D48" s="242" t="s">
        <v>2222</v>
      </c>
      <c r="E48" s="238"/>
      <c r="F48" s="2528">
        <f>F30</f>
        <v>5.5000000000000007E-2</v>
      </c>
      <c r="G48" s="240" t="s">
        <v>2235</v>
      </c>
    </row>
    <row r="49" spans="1:7" ht="16.5" customHeight="1">
      <c r="A49" s="261" t="s">
        <v>2201</v>
      </c>
      <c r="B49" s="216" t="s">
        <v>2236</v>
      </c>
      <c r="C49" s="238">
        <f ca="1">ROUND((C33+C39+C41+C45)/(1-C40-D41-D45-C48),0)</f>
        <v>56886</v>
      </c>
      <c r="D49" s="238"/>
      <c r="E49" s="238"/>
      <c r="F49" s="270"/>
      <c r="G49" s="240" t="s">
        <v>2237</v>
      </c>
    </row>
    <row r="50" spans="1:7" s="264" customFormat="1" ht="24">
      <c r="A50" s="261" t="s">
        <v>2238</v>
      </c>
      <c r="B50" s="216" t="s">
        <v>2239</v>
      </c>
      <c r="C50" s="238"/>
      <c r="D50" s="238"/>
      <c r="E50" s="238"/>
      <c r="F50" s="270">
        <f>IF('数据-取费表'!B24=0,'数据-取费表'!N16,1)</f>
        <v>1</v>
      </c>
      <c r="G50" s="253" t="s">
        <v>2240</v>
      </c>
    </row>
    <row r="51" spans="1:7" ht="16.5" customHeight="1">
      <c r="A51" s="261" t="s">
        <v>2241</v>
      </c>
      <c r="B51" s="216" t="s">
        <v>2242</v>
      </c>
      <c r="C51" s="238">
        <f ca="1">ROUND(C49*F50,0)</f>
        <v>56886</v>
      </c>
      <c r="D51" s="238"/>
      <c r="E51" s="238"/>
      <c r="F51" s="270"/>
      <c r="G51" s="240" t="s">
        <v>2243</v>
      </c>
    </row>
    <row r="52" spans="1:7" s="214" customFormat="1" ht="16.8" thickBot="1">
      <c r="A52" s="271" t="s">
        <v>2244</v>
      </c>
      <c r="B52" s="272"/>
      <c r="C52" s="273">
        <f ca="1">C31+C51</f>
        <v>393447</v>
      </c>
      <c r="D52" s="272"/>
      <c r="E52" s="272"/>
      <c r="F52" s="272"/>
      <c r="G52" s="274"/>
    </row>
    <row r="55" spans="1:7" ht="15">
      <c r="B55" s="276" t="s">
        <v>2245</v>
      </c>
      <c r="C55" s="277"/>
    </row>
    <row r="56" spans="1:7">
      <c r="B56" s="279" t="s">
        <v>1478</v>
      </c>
      <c r="C56" s="281">
        <f ca="1">1-C57</f>
        <v>0.85499999999999998</v>
      </c>
    </row>
    <row r="57" spans="1:7">
      <c r="B57" s="279" t="s">
        <v>1479</v>
      </c>
      <c r="C57" s="280">
        <f ca="1">ROUND(C51/C52,3)</f>
        <v>0.14499999999999999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2144</v>
      </c>
      <c r="B1" s="1647"/>
      <c r="C1" s="2037" t="s">
        <v>2246</v>
      </c>
      <c r="D1" s="204"/>
      <c r="E1" s="204"/>
      <c r="F1" s="204"/>
      <c r="G1" s="1282">
        <f>MATCH(B1,'数据-取费表'!A6:A16,0)+5</f>
        <v>11</v>
      </c>
      <c r="H1" s="1186" t="str">
        <f>IF(ISERROR(FIND("住宅",B1)),"非住宅","住宅")</f>
        <v>非住宅</v>
      </c>
    </row>
    <row r="2" spans="1:8" s="206" customFormat="1" ht="18" customHeight="1">
      <c r="A2" s="207" t="s">
        <v>2145</v>
      </c>
      <c r="B2" s="208">
        <f ca="1">ROUND(IF(D2="——",C52/10000,C52/10000-E2),0)</f>
        <v>98357</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5352</v>
      </c>
      <c r="C3" s="205" t="s">
        <v>2148</v>
      </c>
      <c r="D3" s="205"/>
      <c r="E3" s="205"/>
      <c r="F3" s="205"/>
      <c r="G3" s="205"/>
    </row>
    <row r="4" spans="1:8" s="214" customFormat="1" ht="16.2">
      <c r="A4" s="211" t="s">
        <v>2149</v>
      </c>
      <c r="B4" s="212"/>
      <c r="C4" s="212"/>
      <c r="D4" s="212"/>
      <c r="E4" s="212"/>
      <c r="F4" s="212"/>
      <c r="G4" s="213"/>
    </row>
    <row r="5" spans="1:8" s="220" customFormat="1" ht="13.5" customHeight="1">
      <c r="A5" s="261" t="s">
        <v>2150</v>
      </c>
      <c r="B5" s="216" t="s">
        <v>2151</v>
      </c>
      <c r="C5" s="217">
        <f ca="1">C6+C7+C8</f>
        <v>36755416</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36755416</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36755416</v>
      </c>
      <c r="D10" s="948">
        <f ca="1">IF(B1="",'数据-汇总表'!E6,IF(INDIRECT("'数据-取费表'!c"&amp;$G$1)="住宅",INDIRECT("'数据-取费表'!s"&amp;$G$1),INDIRECT("'数据-取费表'!k"&amp;$G$1)+INDIRECT("'数据-取费表'!s"&amp;$G$1)))</f>
        <v>183777.08000000002</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36755416</v>
      </c>
      <c r="D19" s="952">
        <f ca="1">D9+D10</f>
        <v>183777.08000000002</v>
      </c>
      <c r="E19" s="217">
        <f>'数据-取费表'!B31</f>
        <v>200</v>
      </c>
      <c r="F19" s="237"/>
      <c r="G19" s="2034"/>
    </row>
    <row r="20" spans="1:7" s="220" customFormat="1" ht="13.5" customHeight="1">
      <c r="A20" s="261" t="s">
        <v>2257</v>
      </c>
      <c r="B20" s="216" t="s">
        <v>2258</v>
      </c>
      <c r="C20" s="238">
        <f ca="1">ROUND((C5+C19)*F20,0)</f>
        <v>1470217</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6598498</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3267272</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3267272</v>
      </c>
      <c r="D24" s="244"/>
      <c r="E24" s="244"/>
      <c r="F24" s="245"/>
      <c r="G24" s="246" t="s">
        <v>2269</v>
      </c>
    </row>
    <row r="25" spans="1:7" s="220" customFormat="1" ht="24">
      <c r="A25" s="882" t="s">
        <v>2159</v>
      </c>
      <c r="B25" s="221" t="s">
        <v>2270</v>
      </c>
      <c r="C25" s="1284">
        <f ca="1">ROUND(IF('数据-取费表'!B22&lt;=1,C20*F22*'数据-取费表'!B22/2,C20*(POWER((1+F22),'数据-取费表'!B22/2)-1)),0)</f>
        <v>63954</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6.4">
      <c r="A27" s="261" t="s">
        <v>2195</v>
      </c>
      <c r="B27" s="250" t="s">
        <v>2196</v>
      </c>
      <c r="C27" s="251">
        <f ca="1">C28</f>
        <v>8997726</v>
      </c>
      <c r="D27" s="241">
        <f ca="1">C29</f>
        <v>2.3999999999999998E-3</v>
      </c>
      <c r="E27" s="242" t="s">
        <v>2197</v>
      </c>
      <c r="F27" s="252">
        <f ca="1">IF(B1="",'数据-取费表'!Q16,INDIRECT("'数据-取费表'!q"&amp;$G$1))</f>
        <v>0.12</v>
      </c>
      <c r="G27" s="253" t="s">
        <v>2198</v>
      </c>
    </row>
    <row r="28" spans="1:7" s="220" customFormat="1" ht="13.5" customHeight="1">
      <c r="A28" s="882" t="s">
        <v>791</v>
      </c>
      <c r="B28" s="254" t="s">
        <v>2199</v>
      </c>
      <c r="C28" s="255">
        <f ca="1">ROUND((C5+C19+C20)*F27,0)</f>
        <v>8997726</v>
      </c>
      <c r="D28" s="241"/>
      <c r="E28" s="242"/>
      <c r="F28" s="252"/>
      <c r="G28" s="253"/>
    </row>
    <row r="29" spans="1:7" s="220" customFormat="1" ht="13.5" customHeight="1">
      <c r="A29" s="882" t="s">
        <v>792</v>
      </c>
      <c r="B29" s="254" t="s">
        <v>2200</v>
      </c>
      <c r="C29" s="244">
        <f ca="1">ROUND(C21*F27,4)</f>
        <v>2.3999999999999998E-3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97995535</v>
      </c>
      <c r="D31" s="236"/>
      <c r="E31" s="217"/>
      <c r="F31" s="256"/>
      <c r="G31" s="240" t="s">
        <v>2205</v>
      </c>
    </row>
    <row r="32" spans="1:7" s="214" customFormat="1" ht="16.2">
      <c r="A32" s="258" t="s">
        <v>2272</v>
      </c>
      <c r="B32" s="259"/>
      <c r="C32" s="259"/>
      <c r="D32" s="259"/>
      <c r="E32" s="259"/>
      <c r="F32" s="259"/>
      <c r="G32" s="260"/>
    </row>
    <row r="33" spans="1:7" s="220" customFormat="1" ht="13.5" customHeight="1">
      <c r="A33" s="261" t="s">
        <v>782</v>
      </c>
      <c r="B33" s="216" t="s">
        <v>2273</v>
      </c>
      <c r="C33" s="262">
        <f ca="1">SUM(C34:C38)</f>
        <v>689715381</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624842072</v>
      </c>
      <c r="D34" s="223"/>
      <c r="E34" s="226"/>
      <c r="F34" s="263"/>
      <c r="G34" s="225"/>
    </row>
    <row r="35" spans="1:7" ht="13.5" customHeight="1">
      <c r="A35" s="882" t="s">
        <v>796</v>
      </c>
      <c r="B35" s="221" t="s">
        <v>2210</v>
      </c>
      <c r="C35" s="226">
        <f ca="1">ROUND(C34*F35,0)</f>
        <v>18745262</v>
      </c>
      <c r="D35" s="226"/>
      <c r="E35" s="226"/>
      <c r="F35" s="265">
        <f>'数据-取费表'!B33</f>
        <v>0.03</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36755416</v>
      </c>
      <c r="D37" s="223">
        <f ca="1">D19</f>
        <v>183777.08000000002</v>
      </c>
      <c r="E37" s="255">
        <f>'数据-取费表'!B35</f>
        <v>200</v>
      </c>
      <c r="F37" s="265"/>
      <c r="G37" s="267"/>
    </row>
    <row r="38" spans="1:7" ht="13.5" customHeight="1">
      <c r="A38" s="882" t="s">
        <v>799</v>
      </c>
      <c r="B38" s="221" t="s">
        <v>2216</v>
      </c>
      <c r="C38" s="226">
        <f ca="1">ROUND(C34*F38,0)</f>
        <v>9372631</v>
      </c>
      <c r="D38" s="226"/>
      <c r="E38" s="226"/>
      <c r="F38" s="265">
        <f>'数据-取费表'!B36</f>
        <v>1.4999999999999999E-2</v>
      </c>
      <c r="G38" s="225" t="s">
        <v>2211</v>
      </c>
    </row>
    <row r="39" spans="1:7" s="220" customFormat="1" ht="13.5" customHeight="1">
      <c r="A39" s="261" t="s">
        <v>2217</v>
      </c>
      <c r="B39" s="216" t="s">
        <v>2218</v>
      </c>
      <c r="C39" s="238">
        <f ca="1">ROUND(C33*F20,0)</f>
        <v>13794308</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30602671</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30002619</v>
      </c>
      <c r="D42" s="244"/>
      <c r="E42" s="244"/>
      <c r="F42" s="245"/>
      <c r="G42" s="3327" t="s">
        <v>2274</v>
      </c>
    </row>
    <row r="43" spans="1:7" ht="13.5" customHeight="1">
      <c r="A43" s="882" t="s">
        <v>792</v>
      </c>
      <c r="B43" s="221" t="s">
        <v>2228</v>
      </c>
      <c r="C43" s="244">
        <f ca="1">ROUND(IF('数据-取费表'!B22&lt;=1,C39*F22*'数据-取费表'!B20/2,C39*(POWER((1+F22),'数据-取费表'!B20/2)-1)),0)</f>
        <v>600052</v>
      </c>
      <c r="D43" s="244"/>
      <c r="E43" s="244"/>
      <c r="F43" s="245"/>
      <c r="G43" s="3328"/>
    </row>
    <row r="44" spans="1:7" ht="13.5" customHeight="1">
      <c r="A44" s="882" t="s">
        <v>793</v>
      </c>
      <c r="B44" s="221" t="s">
        <v>2229</v>
      </c>
      <c r="C44" s="244">
        <f ca="1">ROUND(IF('数据-取费表'!B22&lt;=1,C40*F22*'数据-取费表'!B20/2,C40*(POWER((1+F22),'数据-取费表'!B20/2)-1)),4)</f>
        <v>8.9999999999999998E-4</v>
      </c>
      <c r="D44" s="244"/>
      <c r="E44" s="244"/>
      <c r="F44" s="245"/>
      <c r="G44" s="3329"/>
    </row>
    <row r="45" spans="1:7" s="220" customFormat="1" ht="13.5" customHeight="1">
      <c r="A45" s="261" t="s">
        <v>2230</v>
      </c>
      <c r="B45" s="250" t="s">
        <v>2196</v>
      </c>
      <c r="C45" s="251">
        <f ca="1">C46</f>
        <v>84421163</v>
      </c>
      <c r="D45" s="241">
        <f ca="1">C47</f>
        <v>2.3999999999999998E-3</v>
      </c>
      <c r="E45" s="242" t="s">
        <v>2222</v>
      </c>
      <c r="F45" s="2529">
        <f ca="1">F27</f>
        <v>0.12</v>
      </c>
      <c r="G45" s="253" t="s">
        <v>2231</v>
      </c>
    </row>
    <row r="46" spans="1:7" s="220" customFormat="1" ht="13.5" customHeight="1">
      <c r="A46" s="882" t="s">
        <v>791</v>
      </c>
      <c r="B46" s="254" t="s">
        <v>2232</v>
      </c>
      <c r="C46" s="255">
        <f ca="1">ROUND((C33+C39)*F27,0)</f>
        <v>84421163</v>
      </c>
      <c r="D46" s="269"/>
      <c r="E46" s="242"/>
      <c r="F46" s="252"/>
      <c r="G46" s="253"/>
    </row>
    <row r="47" spans="1:7" s="220" customFormat="1" ht="13.5" customHeight="1">
      <c r="A47" s="882" t="s">
        <v>792</v>
      </c>
      <c r="B47" s="254" t="s">
        <v>2233</v>
      </c>
      <c r="C47" s="244">
        <f ca="1">ROUND(C40*F27,4)</f>
        <v>2.3999999999999998E-3</v>
      </c>
      <c r="D47" s="269"/>
      <c r="E47" s="242"/>
      <c r="F47" s="252"/>
      <c r="G47" s="253"/>
    </row>
    <row r="48" spans="1:7" s="220" customFormat="1" ht="13.5" customHeight="1">
      <c r="A48" s="261" t="s">
        <v>2195</v>
      </c>
      <c r="B48" s="216" t="s">
        <v>2234</v>
      </c>
      <c r="C48" s="268">
        <f>ROUND(F30/(1+'数据-取费表'!C42),4)</f>
        <v>5.2400000000000002E-2</v>
      </c>
      <c r="D48" s="242" t="s">
        <v>2222</v>
      </c>
      <c r="E48" s="238"/>
      <c r="F48" s="2528">
        <f>F30</f>
        <v>5.5000000000000007E-2</v>
      </c>
      <c r="G48" s="240" t="s">
        <v>2235</v>
      </c>
    </row>
    <row r="49" spans="1:7" ht="16.5" customHeight="1">
      <c r="A49" s="261" t="s">
        <v>2201</v>
      </c>
      <c r="B49" s="216" t="s">
        <v>2275</v>
      </c>
      <c r="C49" s="238">
        <f ca="1">ROUND((C33+C39+C41+C45)/(1-C40-D41-D45-C48),0)</f>
        <v>885571268</v>
      </c>
      <c r="D49" s="238"/>
      <c r="E49" s="238"/>
      <c r="F49" s="270"/>
      <c r="G49" s="240" t="s">
        <v>2237</v>
      </c>
    </row>
    <row r="50" spans="1:7" s="264" customFormat="1">
      <c r="A50" s="261" t="s">
        <v>2238</v>
      </c>
      <c r="B50" s="216" t="s">
        <v>2239</v>
      </c>
      <c r="C50" s="238"/>
      <c r="D50" s="238"/>
      <c r="E50" s="238"/>
      <c r="F50" s="270">
        <f>IF('数据-取费表'!B24=0,'数据-取费表'!N16,1)</f>
        <v>1</v>
      </c>
      <c r="G50" s="253"/>
    </row>
    <row r="51" spans="1:7" ht="16.5" customHeight="1">
      <c r="A51" s="261" t="s">
        <v>2241</v>
      </c>
      <c r="B51" s="216" t="s">
        <v>2276</v>
      </c>
      <c r="C51" s="238">
        <f ca="1">ROUND(C49*F50,0)</f>
        <v>885571268</v>
      </c>
      <c r="D51" s="238"/>
      <c r="E51" s="238"/>
      <c r="F51" s="270"/>
      <c r="G51" s="240" t="s">
        <v>2243</v>
      </c>
    </row>
    <row r="52" spans="1:7" s="214" customFormat="1" ht="16.8" thickBot="1">
      <c r="A52" s="271" t="s">
        <v>2244</v>
      </c>
      <c r="B52" s="272"/>
      <c r="C52" s="273">
        <f ca="1">C31+C51</f>
        <v>983566803</v>
      </c>
      <c r="D52" s="272"/>
      <c r="E52" s="272"/>
      <c r="F52" s="272"/>
      <c r="G52" s="274"/>
    </row>
    <row r="55" spans="1:7" ht="15">
      <c r="B55" s="276" t="s">
        <v>2245</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D9" sqref="D9"/>
    </sheetView>
  </sheetViews>
  <sheetFormatPr defaultColWidth="6.6640625" defaultRowHeight="13.2"/>
  <cols>
    <col min="1" max="1" width="9.77734375" style="737" customWidth="1"/>
    <col min="2" max="2" width="25.77734375" style="883" customWidth="1"/>
    <col min="3" max="3" width="10.33203125" style="926" customWidth="1"/>
    <col min="4" max="4" width="9.88671875" style="883" customWidth="1"/>
    <col min="5" max="5" width="9.44140625" style="737" customWidth="1"/>
    <col min="6" max="6" width="10.109375" style="883" customWidth="1"/>
    <col min="7" max="7" width="10.77734375" style="883" customWidth="1"/>
    <col min="8" max="8" width="10" style="883" customWidth="1"/>
    <col min="9" max="11" width="9.44140625" style="883" customWidth="1"/>
    <col min="12" max="12" width="9" style="883" customWidth="1"/>
    <col min="13" max="13" width="10.88671875" style="883" bestFit="1" customWidth="1"/>
    <col min="14" max="254" width="9" style="883" customWidth="1"/>
    <col min="255" max="16384" width="6.6640625" style="883"/>
  </cols>
  <sheetData>
    <row r="1" spans="1:33" ht="21">
      <c r="A1" s="202" t="s">
        <v>2277</v>
      </c>
      <c r="B1" s="1346"/>
      <c r="C1" s="1347"/>
      <c r="D1" s="1345"/>
      <c r="E1" s="3029"/>
      <c r="F1" s="3029"/>
      <c r="G1" s="2892"/>
      <c r="H1" s="3029"/>
      <c r="I1" s="3029"/>
      <c r="J1" s="3029"/>
      <c r="K1" s="3030">
        <f>MATCH(C1,'数据-取费表'!A6:A16,0)+5</f>
        <v>11</v>
      </c>
    </row>
    <row r="2" spans="1:33" ht="18" customHeight="1">
      <c r="A2" s="207" t="s">
        <v>2145</v>
      </c>
      <c r="B2" s="210">
        <f ca="1">C32</f>
        <v>281554</v>
      </c>
      <c r="C2" s="282" t="s">
        <v>2278</v>
      </c>
      <c r="D2" s="282"/>
      <c r="E2" s="3029"/>
      <c r="F2" s="3029"/>
      <c r="G2" s="3029"/>
      <c r="H2" s="3029"/>
      <c r="I2" s="3029"/>
      <c r="J2" s="3029"/>
      <c r="K2" s="3029"/>
    </row>
    <row r="3" spans="1:33" ht="18" customHeight="1" thickBot="1">
      <c r="A3" s="209" t="s">
        <v>2147</v>
      </c>
      <c r="B3" s="210">
        <f ca="1">ROUND(B2*10000/IF(C1="",'数据-汇总表'!E3,INDIRECT("'数据-取费表'!K"&amp;$K$1)),0)</f>
        <v>15320</v>
      </c>
      <c r="C3" s="282" t="s">
        <v>2279</v>
      </c>
      <c r="D3" s="282"/>
      <c r="E3" s="3029"/>
      <c r="F3" s="3029"/>
      <c r="G3" s="3029"/>
      <c r="H3" s="3029"/>
      <c r="I3" s="3029"/>
      <c r="J3" s="3029"/>
      <c r="K3" s="3029"/>
    </row>
    <row r="4" spans="1:33" s="887" customFormat="1" ht="16.5" customHeight="1">
      <c r="A4" s="884" t="s">
        <v>2280</v>
      </c>
      <c r="B4" s="885"/>
      <c r="C4" s="927">
        <f ca="1">SUM(C8:K8)</f>
        <v>357055</v>
      </c>
      <c r="D4" s="885"/>
      <c r="E4" s="885"/>
      <c r="F4" s="885"/>
      <c r="G4" s="885"/>
      <c r="H4" s="885"/>
      <c r="I4" s="885"/>
      <c r="J4" s="885"/>
      <c r="K4" s="886"/>
      <c r="M4" s="887">
        <f ca="1">C4*10000/D14</f>
        <v>19428.701337511728</v>
      </c>
    </row>
    <row r="5" spans="1:33" s="891" customFormat="1" ht="14.4">
      <c r="A5" s="888" t="s">
        <v>2281</v>
      </c>
      <c r="B5" s="889" t="s">
        <v>2282</v>
      </c>
      <c r="C5" s="2038" t="s">
        <v>3604</v>
      </c>
      <c r="D5" s="2038" t="s">
        <v>3598</v>
      </c>
      <c r="E5" s="2038" t="s">
        <v>3594</v>
      </c>
      <c r="F5" s="2038" t="s">
        <v>3595</v>
      </c>
      <c r="G5" s="2038" t="s">
        <v>48</v>
      </c>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2283</v>
      </c>
      <c r="C6" s="893">
        <f>'比较法-办公'!B3</f>
        <v>34794</v>
      </c>
      <c r="D6" s="893">
        <f ca="1">'收益法-自持酒店'!B3</f>
        <v>16223</v>
      </c>
      <c r="E6" s="893">
        <f ca="1">'收益法-自持商业'!B3</f>
        <v>19875</v>
      </c>
      <c r="F6" s="893">
        <f ca="1">'收益法-可售商业'!B3</f>
        <v>16234</v>
      </c>
      <c r="G6" s="893">
        <f ca="1">'收益法-车库'!B3</f>
        <v>2849</v>
      </c>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2284</v>
      </c>
      <c r="B7" s="136" t="s">
        <v>2285</v>
      </c>
      <c r="C7" s="283">
        <f>SUMIF('数据-汇总表'!$C19:$C33,假设开发法!C5,'数据-汇总表'!$E19:$E33)</f>
        <v>74055.320000000007</v>
      </c>
      <c r="D7" s="283">
        <f>SUMIF('数据-汇总表'!$C19:$C33,假设开发法!D5,'数据-汇总表'!$E19:$E33)</f>
        <v>18514.93</v>
      </c>
      <c r="E7" s="283">
        <f>SUMIF('数据-汇总表'!$C19:$C33,假设开发法!E5,'数据-汇总表'!$E19:$E33)</f>
        <v>6485.07</v>
      </c>
      <c r="F7" s="283">
        <f>SUMIF('数据-汇总表'!$C19:$C33,假设开发法!F5,'数据-汇总表'!$E19:$E33)</f>
        <v>27118.28</v>
      </c>
      <c r="G7" s="283">
        <f>SUMIF('数据-汇总表'!$C19:$C33,假设开发法!G5,'数据-汇总表'!$E19:$E33)</f>
        <v>43656.97</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3436">
        <f ca="1">C8+D8+E8+F8</f>
        <v>344618</v>
      </c>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2286</v>
      </c>
      <c r="B8" s="169" t="s">
        <v>2287</v>
      </c>
      <c r="C8" s="928">
        <f>'比较法-办公'!B2</f>
        <v>257668</v>
      </c>
      <c r="D8" s="928">
        <f ca="1">'收益法-自持酒店'!B2</f>
        <v>30037</v>
      </c>
      <c r="E8" s="928">
        <f ca="1">'收益法-自持商业'!B2</f>
        <v>12889</v>
      </c>
      <c r="F8" s="929">
        <f ca="1">'收益法-可售商业'!B2</f>
        <v>44024</v>
      </c>
      <c r="G8" s="929">
        <f ca="1">'收益法-车库'!B2</f>
        <v>12437</v>
      </c>
      <c r="H8" s="929"/>
      <c r="I8" s="929"/>
      <c r="J8" s="929"/>
      <c r="K8" s="930"/>
      <c r="L8" s="895"/>
      <c r="M8" s="3437">
        <f>SUM(C7:F7)</f>
        <v>126173.6</v>
      </c>
      <c r="N8" s="895">
        <f ca="1">M7*10000/M8</f>
        <v>27313.003671132472</v>
      </c>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2288</v>
      </c>
      <c r="B9" s="885"/>
      <c r="C9" s="885"/>
      <c r="D9" s="885"/>
      <c r="E9" s="885"/>
      <c r="F9" s="885"/>
      <c r="G9" s="885"/>
      <c r="H9" s="885"/>
      <c r="I9" s="885"/>
      <c r="J9" s="885"/>
      <c r="K9" s="886"/>
    </row>
    <row r="10" spans="1:33" s="901" customFormat="1" ht="13.5" customHeight="1">
      <c r="A10" s="888" t="s">
        <v>2289</v>
      </c>
      <c r="B10" s="8" t="s">
        <v>2290</v>
      </c>
      <c r="C10" s="897" t="s">
        <v>2291</v>
      </c>
      <c r="D10" s="898" t="s">
        <v>2292</v>
      </c>
      <c r="E10" s="898" t="s">
        <v>2293</v>
      </c>
      <c r="F10" s="898" t="s">
        <v>2294</v>
      </c>
      <c r="G10" s="8"/>
      <c r="H10" s="899"/>
      <c r="I10" s="899"/>
      <c r="J10" s="899"/>
      <c r="K10" s="900"/>
    </row>
    <row r="11" spans="1:33" s="906" customFormat="1" ht="13.5" customHeight="1">
      <c r="A11" s="902" t="s">
        <v>1300</v>
      </c>
      <c r="B11" s="903" t="s">
        <v>2295</v>
      </c>
      <c r="C11" s="285">
        <f ca="1">IF(C1="",'数据-取费表'!P16,INDIRECT("'数据-取费表'!p"&amp;$K$1)+INDIRECT("'数据-取费表'!ar"&amp;$K$1))</f>
        <v>21870</v>
      </c>
      <c r="D11" s="904"/>
      <c r="E11" s="335"/>
      <c r="F11" s="905">
        <f ca="1">1-IF('数据-取费表'!B24=0,1,IF(C1="",'数据-取费表'!N16,INDIRECT("'数据-取费表'!n"&amp;$K$1)))</f>
        <v>0.35</v>
      </c>
      <c r="G11" s="8"/>
      <c r="H11" s="899"/>
      <c r="I11" s="899"/>
      <c r="J11" s="899"/>
      <c r="K11" s="900"/>
    </row>
    <row r="12" spans="1:33" s="906" customFormat="1" ht="13.5" customHeight="1">
      <c r="A12" s="902" t="s">
        <v>1301</v>
      </c>
      <c r="B12" s="903" t="s">
        <v>2296</v>
      </c>
      <c r="C12" s="24">
        <f ca="1">ROUND(C11*F12,0)</f>
        <v>656</v>
      </c>
      <c r="D12" s="904"/>
      <c r="E12" s="335"/>
      <c r="F12" s="907">
        <f>'数据-取费表'!B33</f>
        <v>0.03</v>
      </c>
      <c r="G12" s="8" t="s">
        <v>2297</v>
      </c>
      <c r="H12" s="899"/>
      <c r="I12" s="899"/>
      <c r="J12" s="899"/>
      <c r="K12" s="900"/>
    </row>
    <row r="13" spans="1:33" s="906" customFormat="1" ht="13.5" customHeight="1">
      <c r="A13" s="902" t="s">
        <v>1302</v>
      </c>
      <c r="B13" s="903" t="s">
        <v>2298</v>
      </c>
      <c r="C13" s="24">
        <f ca="1">ROUND(IF(C1="",SUMIF('数据-取费表'!C:C,"住宅",'数据-取费表'!P:P)*F13,IF(INDIRECT("'数据-取费表'!c"&amp;$K$1)="住宅",INDIRECT("'数据-取费表'!P"&amp;$K$1)*F13,0)),0)</f>
        <v>0</v>
      </c>
      <c r="D13" s="949"/>
      <c r="E13" s="335"/>
      <c r="F13" s="907">
        <f>'数据-取费表'!B34</f>
        <v>0</v>
      </c>
      <c r="G13" s="8" t="s">
        <v>2299</v>
      </c>
      <c r="H13" s="899"/>
      <c r="I13" s="899"/>
      <c r="J13" s="899"/>
      <c r="K13" s="900"/>
    </row>
    <row r="14" spans="1:33" s="908" customFormat="1" ht="13.5" customHeight="1">
      <c r="A14" s="902" t="s">
        <v>1303</v>
      </c>
      <c r="B14" s="903" t="s">
        <v>2300</v>
      </c>
      <c r="C14" s="24">
        <f ca="1">ROUND(D14*E14*F11/10000,0)</f>
        <v>1286</v>
      </c>
      <c r="D14" s="949">
        <f ca="1">IF(C1="",'数据-汇总表'!E3,INDIRECT("'数据-取费表'!K"&amp;$K$1)+INDIRECT("'数据-取费表'!S"&amp;$K$1))</f>
        <v>183777.08000000002</v>
      </c>
      <c r="E14" s="24">
        <f>'数据-取费表'!B35</f>
        <v>200</v>
      </c>
      <c r="F14" s="907"/>
      <c r="G14" s="8" t="s">
        <v>2301</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2302</v>
      </c>
      <c r="C15" s="914">
        <f ca="1">ROUND(C11*F15,0)</f>
        <v>328</v>
      </c>
      <c r="D15" s="909"/>
      <c r="E15" s="914"/>
      <c r="F15" s="915">
        <f>'数据-取费表'!B36</f>
        <v>1.4999999999999999E-2</v>
      </c>
      <c r="G15" s="136" t="s">
        <v>2303</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2304</v>
      </c>
      <c r="C16" s="914">
        <f ca="1">SUM(C11:C15)</f>
        <v>24140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2305</v>
      </c>
      <c r="C17" s="24">
        <f ca="1">ROUND(D17*E17/10000,0)</f>
        <v>0</v>
      </c>
      <c r="D17" s="949">
        <f ca="1">D14</f>
        <v>183777.08000000002</v>
      </c>
      <c r="E17" s="24">
        <f>'数据-取费表'!B32</f>
        <v>0</v>
      </c>
      <c r="F17" s="909"/>
      <c r="G17" s="136" t="s">
        <v>2306</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2307</v>
      </c>
      <c r="C18" s="24">
        <f ca="1">C19+C20-IF(C1="",'数据-取费表'!B29,IF(G18="已全部缴纳",C19+C20,H18))</f>
        <v>0</v>
      </c>
      <c r="D18" s="949"/>
      <c r="E18" s="24"/>
      <c r="F18" s="907"/>
      <c r="G18" s="2040" t="s">
        <v>3588</v>
      </c>
      <c r="H18" s="1342"/>
      <c r="I18" s="2041" t="s">
        <v>2308</v>
      </c>
      <c r="J18" s="910"/>
      <c r="K18" s="911"/>
    </row>
    <row r="19" spans="1:33" s="906" customFormat="1" ht="13.5" customHeight="1">
      <c r="A19" s="902" t="s">
        <v>805</v>
      </c>
      <c r="B19" s="903" t="s">
        <v>2309</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2310</v>
      </c>
      <c r="C20" s="24">
        <f ca="1">ROUND(D20*E20/10000,0)</f>
        <v>3676</v>
      </c>
      <c r="D20" s="949">
        <f ca="1">IF(C1="",'数据-汇总表'!E6,IF(INDIRECT("'数据-取费表'!c"&amp;$K$1)="住宅",INDIRECT("'数据-取费表'!s"&amp;$K$1),INDIRECT("'数据-取费表'!k"&amp;$K$1)+INDIRECT("'数据-取费表'!s"&amp;$K$1)))</f>
        <v>183777.08000000002</v>
      </c>
      <c r="E20" s="24">
        <f>'数据-取费表'!B28</f>
        <v>200</v>
      </c>
      <c r="F20" s="907"/>
      <c r="G20" s="15"/>
      <c r="H20" s="912"/>
      <c r="I20" s="912"/>
      <c r="J20" s="912"/>
      <c r="K20" s="913"/>
    </row>
    <row r="21" spans="1:33" s="906" customFormat="1" ht="13.5" customHeight="1">
      <c r="A21" s="892" t="s">
        <v>802</v>
      </c>
      <c r="B21" s="916" t="s">
        <v>2311</v>
      </c>
      <c r="C21" s="917">
        <f ca="1">C16+C17+C18</f>
        <v>24140</v>
      </c>
      <c r="D21" s="918"/>
      <c r="E21" s="287"/>
      <c r="F21" s="287"/>
      <c r="G21" s="136" t="s">
        <v>2312</v>
      </c>
      <c r="H21" s="910"/>
      <c r="I21" s="910"/>
      <c r="J21" s="910"/>
      <c r="K21" s="911"/>
    </row>
    <row r="22" spans="1:33" s="906" customFormat="1" ht="13.5" customHeight="1">
      <c r="A22" s="892" t="s">
        <v>2284</v>
      </c>
      <c r="B22" s="916" t="s">
        <v>2313</v>
      </c>
      <c r="C22" s="917">
        <f ca="1">ROUND(C21*F22,0)</f>
        <v>483</v>
      </c>
      <c r="D22" s="287"/>
      <c r="E22" s="287"/>
      <c r="F22" s="919">
        <f>'数据-取费表'!B37</f>
        <v>0.02</v>
      </c>
      <c r="G22" s="8" t="s">
        <v>2314</v>
      </c>
      <c r="H22" s="899"/>
      <c r="I22" s="899"/>
      <c r="J22" s="899"/>
      <c r="K22" s="900"/>
    </row>
    <row r="23" spans="1:33" s="906" customFormat="1" ht="13.5" customHeight="1">
      <c r="A23" s="892" t="s">
        <v>2286</v>
      </c>
      <c r="B23" s="916" t="s">
        <v>2315</v>
      </c>
      <c r="C23" s="917">
        <f ca="1">ROUND(C4*F23*F11,0)</f>
        <v>2499</v>
      </c>
      <c r="D23" s="287"/>
      <c r="E23" s="287"/>
      <c r="F23" s="919">
        <f>'数据-取费表'!B38</f>
        <v>0.02</v>
      </c>
      <c r="G23" s="8" t="s">
        <v>2316</v>
      </c>
      <c r="H23" s="899"/>
      <c r="I23" s="899"/>
      <c r="J23" s="899"/>
      <c r="K23" s="900"/>
    </row>
    <row r="24" spans="1:33" s="906" customFormat="1" ht="13.5" customHeight="1">
      <c r="A24" s="892" t="s">
        <v>2317</v>
      </c>
      <c r="B24" s="916" t="s">
        <v>2318</v>
      </c>
      <c r="C24" s="286">
        <f>ROUND(F24/(1+'数据-取费表'!C42),4)</f>
        <v>2.9000000000000001E-2</v>
      </c>
      <c r="D24" s="287" t="s">
        <v>15</v>
      </c>
      <c r="E24" s="287"/>
      <c r="F24" s="919">
        <f>IF(项目基本情况!B8="出让",0,'数据-取费表'!B48+'数据-取费表'!B49)</f>
        <v>3.0499999999999999E-2</v>
      </c>
      <c r="G24" s="8" t="s">
        <v>2319</v>
      </c>
      <c r="H24" s="921"/>
      <c r="I24" s="921"/>
      <c r="J24" s="921"/>
      <c r="K24" s="922"/>
    </row>
    <row r="25" spans="1:33" s="906" customFormat="1" ht="13.5" customHeight="1">
      <c r="A25" s="892" t="s">
        <v>2320</v>
      </c>
      <c r="B25" s="918" t="s">
        <v>2321</v>
      </c>
      <c r="C25" s="1260">
        <f ca="1">C27</f>
        <v>349</v>
      </c>
      <c r="D25" s="286">
        <f ca="1">C26</f>
        <v>2.6599999999999999E-2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2322</v>
      </c>
      <c r="C26" s="1261">
        <f ca="1">ROUND(IF('数据-取费表'!B22&lt;=1,(1+C24)*F25*'数据-取费表'!B24,(1+C24)*(POWER((1+F25),'数据-取费表'!B24)-1)),4)</f>
        <v>2.6599999999999999E-2</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2323</v>
      </c>
      <c r="C27" s="1262">
        <f ca="1">ROUND(IF('数据-取费表'!B22&lt;=1,(C21+C22+C23)*F25*'数据-取费表'!B24/2,(C21+C22+C23)*(POWER((1+F25),'数据-取费表'!B24/2)-1)),0)</f>
        <v>349</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2324</v>
      </c>
      <c r="B28" s="2043" t="s">
        <v>2325</v>
      </c>
      <c r="C28" s="293">
        <f ca="1">C30</f>
        <v>3255</v>
      </c>
      <c r="D28" s="286">
        <f ca="1">C29</f>
        <v>3.6999999999999998E-2</v>
      </c>
      <c r="E28" s="288" t="s">
        <v>15</v>
      </c>
      <c r="F28" s="294">
        <f ca="1">IF(C1="",'数据-取费表'!Q16,INDIRECT("'数据-取费表'!q"&amp;$K$1))</f>
        <v>0.12</v>
      </c>
      <c r="G28" s="920"/>
      <c r="H28" s="921"/>
      <c r="I28" s="921"/>
      <c r="J28" s="921"/>
      <c r="K28" s="922"/>
    </row>
    <row r="29" spans="1:33" s="297" customFormat="1" ht="13.5" customHeight="1">
      <c r="A29" s="902" t="s">
        <v>803</v>
      </c>
      <c r="B29" s="925" t="s">
        <v>2326</v>
      </c>
      <c r="C29" s="290">
        <f ca="1">ROUND((1+C24)*F28*'数据-取费表'!B24/'数据-取费表'!B20,4)</f>
        <v>3.6999999999999998E-2</v>
      </c>
      <c r="D29" s="290"/>
      <c r="E29" s="291"/>
      <c r="F29" s="296"/>
      <c r="G29" s="136" t="s">
        <v>2327</v>
      </c>
      <c r="H29" s="910"/>
      <c r="I29" s="910"/>
      <c r="J29" s="910"/>
      <c r="K29" s="911"/>
    </row>
    <row r="30" spans="1:33" s="297" customFormat="1" ht="13.5" customHeight="1">
      <c r="A30" s="902" t="s">
        <v>804</v>
      </c>
      <c r="B30" s="925" t="s">
        <v>2328</v>
      </c>
      <c r="C30" s="298">
        <f ca="1">ROUND((C21+C22+C23)*F28,0)</f>
        <v>3255</v>
      </c>
      <c r="D30" s="290"/>
      <c r="E30" s="291"/>
      <c r="F30" s="296"/>
      <c r="G30" s="136"/>
      <c r="H30" s="910"/>
      <c r="I30" s="910"/>
      <c r="J30" s="910"/>
      <c r="K30" s="911"/>
    </row>
    <row r="31" spans="1:33" s="906" customFormat="1" ht="13.5" customHeight="1" thickBot="1">
      <c r="A31" s="2044" t="s">
        <v>2329</v>
      </c>
      <c r="B31" s="936" t="s">
        <v>2330</v>
      </c>
      <c r="C31" s="937">
        <f ca="1">ROUND(C4*F31/(1+'数据-取费表'!C42),0)</f>
        <v>18703</v>
      </c>
      <c r="D31" s="938"/>
      <c r="E31" s="939"/>
      <c r="F31" s="940">
        <f>'数据-取费表'!B41</f>
        <v>5.5000000000000007E-2</v>
      </c>
      <c r="G31" s="941" t="s">
        <v>2331</v>
      </c>
      <c r="H31" s="942"/>
      <c r="I31" s="942"/>
      <c r="J31" s="942"/>
      <c r="K31" s="943"/>
    </row>
    <row r="32" spans="1:33" s="901" customFormat="1" ht="13.5" customHeight="1" thickBot="1">
      <c r="A32" s="931" t="s">
        <v>2332</v>
      </c>
      <c r="B32" s="932"/>
      <c r="C32" s="933">
        <f ca="1">ROUND((C4-C21-C22-C23-C25-C28-C31)/(1+C24+D25+D28),0)</f>
        <v>281554</v>
      </c>
      <c r="D32" s="932"/>
      <c r="E32" s="932"/>
      <c r="F32" s="932"/>
      <c r="G32" s="934" t="s">
        <v>2333</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5" customWidth="1"/>
    <col min="12" max="12" width="16.33203125" style="264" customWidth="1"/>
    <col min="13" max="13" width="13" style="264"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64"/>
  </cols>
  <sheetData>
    <row r="1" spans="1:37" s="299" customFormat="1" ht="21.6">
      <c r="A1" s="1552" t="s">
        <v>1554</v>
      </c>
      <c r="B1" s="722"/>
      <c r="C1" s="1556" t="s">
        <v>3598</v>
      </c>
      <c r="D1" s="1539" t="s">
        <v>3682</v>
      </c>
      <c r="E1" s="1540" t="s">
        <v>1352</v>
      </c>
      <c r="F1" s="1187">
        <f ca="1">J53</f>
        <v>34.269999999999996</v>
      </c>
      <c r="G1" s="1555">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30037</v>
      </c>
      <c r="C2" s="1564" t="s">
        <v>1481</v>
      </c>
      <c r="D2" s="1564"/>
      <c r="E2" s="1565"/>
      <c r="F2" s="1566"/>
      <c r="G2" s="2927"/>
      <c r="H2" s="2916"/>
      <c r="I2" s="2916"/>
      <c r="J2" s="2916"/>
      <c r="K2" s="2917"/>
      <c r="L2" s="2916"/>
      <c r="M2" s="2916"/>
    </row>
    <row r="3" spans="1:37" ht="18" customHeight="1" thickBot="1">
      <c r="A3" s="1567" t="s">
        <v>1482</v>
      </c>
      <c r="B3" s="1568">
        <f ca="1">IF(ISERROR(B2*10000/F43),0,ROUND(B2*10000/F43,0))</f>
        <v>16223</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1827</v>
      </c>
      <c r="D5" s="1541" t="s">
        <v>1367</v>
      </c>
      <c r="E5" s="1197"/>
      <c r="F5" s="1198"/>
      <c r="G5" s="1561"/>
      <c r="H5" s="305">
        <v>1</v>
      </c>
      <c r="I5" s="306" t="s">
        <v>1366</v>
      </c>
      <c r="J5" s="1196">
        <f ca="1">J6+J10+J12</f>
        <v>0</v>
      </c>
      <c r="K5" s="1541" t="s">
        <v>1367</v>
      </c>
      <c r="L5" s="1197"/>
      <c r="M5" s="1198"/>
    </row>
    <row r="6" spans="1:37" ht="18" customHeight="1">
      <c r="A6" s="1195" t="s">
        <v>1003</v>
      </c>
      <c r="B6" s="3330" t="s">
        <v>1368</v>
      </c>
      <c r="C6" s="1200">
        <f ca="1">ROUND(F6*F8*F7*(1-F9)/10000,0)</f>
        <v>1825</v>
      </c>
      <c r="D6" s="160" t="s">
        <v>2842</v>
      </c>
      <c r="E6" s="308" t="s">
        <v>1370</v>
      </c>
      <c r="F6" s="309">
        <f ca="1">INDIRECT("'数据-取费表'!u"&amp;$G$1)</f>
        <v>3</v>
      </c>
      <c r="G6" s="1561"/>
      <c r="H6" s="1195" t="s">
        <v>1003</v>
      </c>
      <c r="I6" s="3330" t="s">
        <v>1368</v>
      </c>
      <c r="J6" s="307">
        <f ca="1">ROUND(M6*M8*M7*(1-M9)/10000,0)</f>
        <v>0</v>
      </c>
      <c r="K6" s="160" t="s">
        <v>2841</v>
      </c>
      <c r="L6" s="308" t="s">
        <v>1370</v>
      </c>
      <c r="M6" s="309">
        <f ca="1">INDIRECT("'数据-取费表'!z"&amp;$G$1)</f>
        <v>0</v>
      </c>
    </row>
    <row r="7" spans="1:37" ht="18" customHeight="1">
      <c r="A7" s="1199"/>
      <c r="B7" s="3331"/>
      <c r="C7" s="1201"/>
      <c r="D7" s="313"/>
      <c r="E7" s="3068" t="s">
        <v>1371</v>
      </c>
      <c r="F7" s="309">
        <f ca="1">IF(INDIRECT("'数据-取费表'!ah"&amp;$G$1)="",INDIRECT("'数据-取费表'!k"&amp;$G$1),INDIRECT("'数据-取费表'!ah"&amp;$G$1))</f>
        <v>18514.93</v>
      </c>
      <c r="G7" s="1561"/>
      <c r="H7" s="310"/>
      <c r="I7" s="3331"/>
      <c r="J7" s="312"/>
      <c r="K7" s="313"/>
      <c r="L7" s="308" t="s">
        <v>1371</v>
      </c>
      <c r="M7" s="309">
        <f ca="1">F7</f>
        <v>18514.93</v>
      </c>
    </row>
    <row r="8" spans="1:37" ht="18" customHeight="1">
      <c r="A8" s="310"/>
      <c r="B8" s="3331"/>
      <c r="C8" s="312"/>
      <c r="D8" s="313"/>
      <c r="E8" s="308" t="s">
        <v>1372</v>
      </c>
      <c r="F8" s="309">
        <f ca="1">INDIRECT("'数据-取费表'!ai"&amp;$G$1)</f>
        <v>365</v>
      </c>
      <c r="G8" s="1561"/>
      <c r="H8" s="310"/>
      <c r="I8" s="3331"/>
      <c r="J8" s="312"/>
      <c r="K8" s="313"/>
      <c r="L8" s="308" t="s">
        <v>1372</v>
      </c>
      <c r="M8" s="309">
        <f ca="1">INDIRECT("'数据-取费表'!ai"&amp;$G$1)</f>
        <v>365</v>
      </c>
    </row>
    <row r="9" spans="1:37" ht="18" customHeight="1">
      <c r="A9" s="310"/>
      <c r="B9" s="3332"/>
      <c r="C9" s="312"/>
      <c r="D9" s="313"/>
      <c r="E9" s="308" t="s">
        <v>1373</v>
      </c>
      <c r="F9" s="318">
        <f ca="1">INDIRECT("'数据-取费表'!w"&amp;$G$1)</f>
        <v>0.1</v>
      </c>
      <c r="G9" s="1561"/>
      <c r="H9" s="310"/>
      <c r="I9" s="3332"/>
      <c r="J9" s="312"/>
      <c r="K9" s="313"/>
      <c r="L9" s="319" t="s">
        <v>1373</v>
      </c>
      <c r="M9" s="320">
        <f ca="1">INDIRECT("'数据-取费表'!ab"&amp;$G$1)</f>
        <v>0</v>
      </c>
    </row>
    <row r="10" spans="1:37" ht="18" customHeight="1">
      <c r="A10" s="1195" t="s">
        <v>1007</v>
      </c>
      <c r="B10" s="1542" t="s">
        <v>1374</v>
      </c>
      <c r="C10" s="322">
        <f ca="1">ROUND(IF(F10="押一",C6/12*F11,IF(F10="押二",C6/12*2*F11,IF(F10="押三",C6/12*3*F11,C11*F11))),0)</f>
        <v>2</v>
      </c>
      <c r="D10" s="1543" t="s">
        <v>2849</v>
      </c>
      <c r="E10" s="319" t="s">
        <v>1375</v>
      </c>
      <c r="F10" s="1270" t="s">
        <v>3687</v>
      </c>
      <c r="G10" s="1561"/>
      <c r="H10" s="1195" t="s">
        <v>1007</v>
      </c>
      <c r="I10" s="1542" t="s">
        <v>1374</v>
      </c>
      <c r="J10" s="307">
        <f ca="1">ROUND(IF(M10="押一",J6/12*M11,IF(M10="押二",J6/12*2*M11,IF(M10="押三",J6/12*3*M11,J11*M11))),0)</f>
        <v>0</v>
      </c>
      <c r="K10" s="1543" t="s">
        <v>2849</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9909</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6812</v>
      </c>
      <c r="D14" s="3064" t="s">
        <v>1383</v>
      </c>
      <c r="E14" s="3062"/>
      <c r="F14" s="325"/>
      <c r="G14" s="1561"/>
      <c r="H14" s="1107" t="s">
        <v>1003</v>
      </c>
      <c r="I14" s="308" t="s">
        <v>1384</v>
      </c>
      <c r="J14" s="24">
        <f ca="1">C29</f>
        <v>9909</v>
      </c>
      <c r="K14" s="3067"/>
      <c r="L14" s="910"/>
      <c r="M14" s="911"/>
    </row>
    <row r="15" spans="1:37" s="1574" customFormat="1" ht="18" customHeight="1" thickBot="1">
      <c r="A15" s="1107" t="s">
        <v>1004</v>
      </c>
      <c r="B15" s="308" t="s">
        <v>1385</v>
      </c>
      <c r="C15" s="24">
        <f ca="1">ROUND(C14*F15,0)</f>
        <v>204</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233</v>
      </c>
      <c r="K16" s="1241" t="s">
        <v>1390</v>
      </c>
      <c r="L16" s="3065"/>
      <c r="M16" s="1198"/>
    </row>
    <row r="17" spans="1:37" s="1574" customFormat="1" ht="18" customHeight="1">
      <c r="A17" s="1107" t="s">
        <v>1355</v>
      </c>
      <c r="B17" s="308" t="s">
        <v>1391</v>
      </c>
      <c r="C17" s="24">
        <f ca="1">ROUND(F17*(F43+INDIRECT("'数据-取费表'!S"&amp;$G$1))/10000,0)</f>
        <v>401</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84</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102</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7519</v>
      </c>
      <c r="D19" s="136" t="s">
        <v>1401</v>
      </c>
      <c r="E19" s="3070"/>
      <c r="F19" s="26"/>
      <c r="G19" s="1561"/>
      <c r="H19" s="1107" t="s">
        <v>1004</v>
      </c>
      <c r="I19" s="308" t="s">
        <v>1402</v>
      </c>
      <c r="J19" s="24">
        <f ca="1">IF(K19="按租金收入计税",ROUND(J6*M19/(1+'数据-取费表'!C42),2),ROUND(C29*M19*0.7,2))</f>
        <v>83.24</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150</v>
      </c>
      <c r="D20" s="329" t="s">
        <v>1405</v>
      </c>
      <c r="E20" s="308" t="s">
        <v>1387</v>
      </c>
      <c r="F20" s="328">
        <f>'数据-取费表'!B37</f>
        <v>0.02</v>
      </c>
      <c r="G20" s="1573"/>
      <c r="H20" s="1107" t="s">
        <v>1354</v>
      </c>
      <c r="I20" s="160" t="s">
        <v>1406</v>
      </c>
      <c r="J20" s="25">
        <f ca="1">ROUND(M20*M21/10000,2)</f>
        <v>0.45</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3010.6699999999996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148.6</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334</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-233</v>
      </c>
      <c r="K25" s="1249" t="s">
        <v>1429</v>
      </c>
      <c r="L25" s="1250"/>
      <c r="M25" s="1251"/>
    </row>
    <row r="26" spans="1:37">
      <c r="A26" s="1107" t="s">
        <v>1002</v>
      </c>
      <c r="B26" s="308" t="s">
        <v>1430</v>
      </c>
      <c r="C26" s="24">
        <f ca="1">ROUND((C19+C20)*F26,0)</f>
        <v>1150</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9909</v>
      </c>
      <c r="D29" s="1246"/>
      <c r="E29" s="1244"/>
      <c r="F29" s="1247"/>
      <c r="G29" s="1573"/>
      <c r="H29" s="340" t="s">
        <v>1001</v>
      </c>
      <c r="I29" s="341" t="s">
        <v>1444</v>
      </c>
      <c r="J29" s="342">
        <f ca="1">ROUND(J26/(1+F40)^F41,0)</f>
        <v>0</v>
      </c>
      <c r="K29" s="343" t="s">
        <v>1445</v>
      </c>
      <c r="L29" s="344"/>
      <c r="M29" s="345">
        <f ca="1">INDIRECT("'数据-取费表'!k"&amp;$G$1)</f>
        <v>18514.93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487</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305</v>
      </c>
      <c r="D31" s="3064" t="s">
        <v>1395</v>
      </c>
      <c r="E31" s="3063" t="s">
        <v>1446</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1398</v>
      </c>
      <c r="C32" s="24">
        <f ca="1">IF(项目基本情况!B11="自然人","——",ROUND(C6*F32/(1+'数据-取费表'!C42),2))</f>
        <v>95.6</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208.57</v>
      </c>
      <c r="D33" s="1547" t="s">
        <v>3684</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0.45</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3010.6699999999996</v>
      </c>
      <c r="G35" s="1561"/>
      <c r="H35" s="2918"/>
      <c r="I35" s="1575"/>
      <c r="J35" s="1576"/>
      <c r="K35" s="2922"/>
      <c r="L35" s="2921"/>
      <c r="M35" s="2921"/>
    </row>
    <row r="36" spans="1:18" ht="18" customHeight="1">
      <c r="A36" s="1256" t="s">
        <v>1007</v>
      </c>
      <c r="B36" s="308" t="s">
        <v>1414</v>
      </c>
      <c r="C36" s="24">
        <f ca="1">ROUND(C29*F36,1)</f>
        <v>148.6</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14.9</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18.3</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1340</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30037</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16223</v>
      </c>
      <c r="D43" s="343" t="s">
        <v>1453</v>
      </c>
      <c r="E43" s="344" t="s">
        <v>1454</v>
      </c>
      <c r="F43" s="345">
        <f ca="1">INDIRECT("'数据-取费表'!k"&amp;$G$1)</f>
        <v>18514.93</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8" thickBot="1">
      <c r="A46" s="1581" t="s">
        <v>1485</v>
      </c>
      <c r="C46" s="1582">
        <f ca="1">C68-C40</f>
        <v>-45270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8" thickBot="1">
      <c r="A47" s="1071" t="s">
        <v>1361</v>
      </c>
      <c r="B47" s="1103" t="s">
        <v>1362</v>
      </c>
      <c r="C47" s="1271" t="s">
        <v>1363</v>
      </c>
      <c r="D47" s="1103" t="s">
        <v>1364</v>
      </c>
      <c r="E47" s="1183" t="s">
        <v>1365</v>
      </c>
      <c r="F47" s="1184"/>
      <c r="G47" s="731"/>
      <c r="I47" s="1591" t="s">
        <v>1491</v>
      </c>
      <c r="J47" s="1592" t="s">
        <v>3685</v>
      </c>
      <c r="K47" s="1593" t="s">
        <v>1492</v>
      </c>
      <c r="L47" s="1594">
        <f ca="1">INDIRECT("'数据-取费表'!d"&amp;$G$1)</f>
        <v>40</v>
      </c>
      <c r="M47" s="1557" t="str">
        <f>IF(ISNUMBER(FIND("住宅",C1)),"住宅","非住宅")</f>
        <v>非住宅</v>
      </c>
      <c r="O47" s="1595" t="s">
        <v>1008</v>
      </c>
      <c r="P47" s="1596" t="s">
        <v>1493</v>
      </c>
      <c r="Q47" s="1597">
        <f ca="1">C40+J29</f>
        <v>30037</v>
      </c>
      <c r="R47" s="1597" t="s">
        <v>1494</v>
      </c>
    </row>
    <row r="48" spans="1:18" s="1561" customFormat="1" ht="40.200000000000003" thickBot="1">
      <c r="A48" s="1264" t="s">
        <v>1103</v>
      </c>
      <c r="B48" s="306" t="s">
        <v>1366</v>
      </c>
      <c r="C48" s="3069">
        <f ca="1">C49+C53+C55</f>
        <v>0</v>
      </c>
      <c r="D48" s="1266"/>
      <c r="E48" s="1267"/>
      <c r="F48" s="1087"/>
      <c r="G48" s="731"/>
      <c r="H48" s="732"/>
      <c r="I48" s="1598" t="s">
        <v>1495</v>
      </c>
      <c r="J48" s="1599" t="s">
        <v>3686</v>
      </c>
      <c r="K48" s="1600" t="s">
        <v>1496</v>
      </c>
      <c r="L48" s="1601">
        <f ca="1">INDIRECT("'数据-取费表'!f"&amp;$G$1)</f>
        <v>34.869999999999997</v>
      </c>
      <c r="O48" s="1595" t="s">
        <v>1009</v>
      </c>
      <c r="P48" s="1596" t="s">
        <v>1497</v>
      </c>
      <c r="Q48" s="1597" t="str">
        <f ca="1">J60</f>
        <v>0</v>
      </c>
      <c r="R48" s="1597" t="s">
        <v>1498</v>
      </c>
    </row>
    <row r="49" spans="1:18" s="1561" customFormat="1" ht="13.8" thickBot="1">
      <c r="A49" s="1100" t="s">
        <v>1104</v>
      </c>
      <c r="B49" s="1548" t="s">
        <v>1455</v>
      </c>
      <c r="C49" s="1268">
        <f ca="1">ROUND(F49*F51*F50*(1-F52)/10000,0)</f>
        <v>0</v>
      </c>
      <c r="D49" s="1180" t="s">
        <v>2841</v>
      </c>
      <c r="E49" s="1549" t="s">
        <v>1456</v>
      </c>
      <c r="F49" s="1185"/>
      <c r="G49" s="1602"/>
      <c r="H49" s="732"/>
      <c r="I49" s="1598" t="s">
        <v>1499</v>
      </c>
      <c r="J49" s="1603">
        <v>2022</v>
      </c>
      <c r="K49" s="1600" t="s">
        <v>1500</v>
      </c>
      <c r="L49" s="1604"/>
      <c r="O49" s="1605" t="s">
        <v>1010</v>
      </c>
      <c r="P49" s="1596" t="s">
        <v>1501</v>
      </c>
      <c r="Q49" s="1597">
        <f ca="1">C29</f>
        <v>9909</v>
      </c>
      <c r="R49" s="1597" t="s">
        <v>1494</v>
      </c>
    </row>
    <row r="50" spans="1:18" s="1561" customFormat="1" ht="13.8" thickBot="1">
      <c r="A50" s="1101"/>
      <c r="B50" s="1104"/>
      <c r="C50" s="1272"/>
      <c r="D50" s="1078"/>
      <c r="E50" s="1181" t="s">
        <v>1371</v>
      </c>
      <c r="F50" s="1182">
        <f ca="1">F7</f>
        <v>18514.93</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8"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9447</v>
      </c>
      <c r="M51" s="1613"/>
      <c r="O51" s="1605" t="s">
        <v>1012</v>
      </c>
      <c r="P51" s="1596" t="s">
        <v>1507</v>
      </c>
      <c r="Q51" s="1608">
        <f>J52</f>
        <v>0.09</v>
      </c>
      <c r="R51" s="1597"/>
    </row>
    <row r="52" spans="1:18" s="1561" customFormat="1" ht="13.8"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36.6" thickBot="1">
      <c r="A53" s="1308" t="s">
        <v>1105</v>
      </c>
      <c r="B53" s="1550" t="s">
        <v>1374</v>
      </c>
      <c r="C53" s="322">
        <f ca="1">ROUND(IF(F53="押一",C49/12*F11,IF(F53="押二",C49/12*2*F11,IF(F53="押三",C49/12*3*F11,C54*F11))),0)</f>
        <v>0</v>
      </c>
      <c r="D53" s="1543" t="s">
        <v>2849</v>
      </c>
      <c r="E53" s="319" t="s">
        <v>1375</v>
      </c>
      <c r="F53" s="1270"/>
      <c r="I53" s="1616" t="s">
        <v>1512</v>
      </c>
      <c r="J53" s="2378">
        <f ca="1">IF(M47="住宅",IF(D1="——",MAX(J51,L48),MAX(J51,L48-'数据-取费表'!B24)),IF(D1="——",MIN(J51,L48),MIN(J51,L48-'数据-取费表'!B24)))</f>
        <v>34.269999999999996</v>
      </c>
      <c r="K53" s="3333" t="s">
        <v>1513</v>
      </c>
      <c r="L53" s="3334"/>
      <c r="O53" s="1595" t="s">
        <v>1014</v>
      </c>
      <c r="P53" s="1596" t="s">
        <v>1514</v>
      </c>
      <c r="Q53" s="1597">
        <f ca="1">Q47+Q48</f>
        <v>30037</v>
      </c>
      <c r="R53" s="1597" t="s">
        <v>1015</v>
      </c>
    </row>
    <row r="54" spans="1:18" s="1561" customFormat="1" ht="24.6"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8"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37.200000000000003" thickTop="1" thickBot="1">
      <c r="A56" s="1082">
        <v>2</v>
      </c>
      <c r="B56" s="1083" t="s">
        <v>1379</v>
      </c>
      <c r="C56" s="238">
        <f ca="1">C13</f>
        <v>9909</v>
      </c>
      <c r="D56" s="1624"/>
      <c r="E56" s="1625"/>
      <c r="F56" s="1617"/>
      <c r="I56" s="1626" t="s">
        <v>1519</v>
      </c>
      <c r="J56" s="1627" t="s">
        <v>3061</v>
      </c>
      <c r="K56" s="1598" t="s">
        <v>1520</v>
      </c>
      <c r="L56" s="1601" t="str">
        <f ca="1">IF(L48&lt;J51,"——",L48-J53)</f>
        <v>——</v>
      </c>
      <c r="O56" s="1595" t="s">
        <v>1008</v>
      </c>
      <c r="P56" s="1596" t="s">
        <v>1493</v>
      </c>
      <c r="Q56" s="1597">
        <f ca="1">C40+J29</f>
        <v>30037</v>
      </c>
      <c r="R56" s="1597" t="s">
        <v>1494</v>
      </c>
    </row>
    <row r="57" spans="1:18" s="1561" customFormat="1" ht="24.6" thickBot="1">
      <c r="A57" s="1628"/>
      <c r="B57" s="1075" t="s">
        <v>1443</v>
      </c>
      <c r="C57" s="244">
        <f ca="1">C29</f>
        <v>9909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6" thickBot="1">
      <c r="A58" s="321" t="s">
        <v>998</v>
      </c>
      <c r="B58" s="1083" t="s">
        <v>1389</v>
      </c>
      <c r="C58" s="322">
        <f ca="1">ROUND(C59+C64+C65+C66,0)</f>
        <v>997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7" t="s">
        <v>1003</v>
      </c>
      <c r="B59" s="1075" t="s">
        <v>1394</v>
      </c>
      <c r="C59" s="2526">
        <f ca="1">ROUND(IF(AND(项目基本情况!B11="自然人",项目基本情况!B10="北京市"),C49*F59/(1+'数据-取费表'!C42),C60+C61+C62),0)</f>
        <v>833</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2"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8" thickBot="1">
      <c r="A61" s="1107" t="s">
        <v>1457</v>
      </c>
      <c r="B61" s="1075" t="s">
        <v>1402</v>
      </c>
      <c r="C61" s="24">
        <f ca="1">IF(项目基本情况!B11="自然人","——",IF(D61="按租金收入计税",ROUND(C49*F61/(1+'数据-取费表'!C42),2),IF(D61="按房产原值计税",ROUND(C57*F61*0.7,2),INDIRECT("'数据-取费表'!Aj"&amp;$G$1))))</f>
        <v>832.36</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8" thickBot="1">
      <c r="A62" s="1107" t="s">
        <v>1460</v>
      </c>
      <c r="B62" s="1074" t="s">
        <v>1406</v>
      </c>
      <c r="C62" s="25">
        <f ca="1">IF(项目基本情况!B11="自然人","——",ROUND(F62*F63/10000,2))</f>
        <v>0.45</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30037</v>
      </c>
      <c r="R62" s="1597" t="s">
        <v>1015</v>
      </c>
    </row>
    <row r="63" spans="1:18" s="1561" customFormat="1" ht="13.8" thickBot="1">
      <c r="A63" s="332"/>
      <c r="B63" s="1081"/>
      <c r="C63" s="29"/>
      <c r="D63" s="1091"/>
      <c r="E63" s="1075" t="s">
        <v>1412</v>
      </c>
      <c r="F63" s="309">
        <f t="shared" ca="1" si="0"/>
        <v>3010.6699999999996</v>
      </c>
      <c r="I63" s="1639" t="s">
        <v>1541</v>
      </c>
      <c r="J63" s="1640">
        <v>70</v>
      </c>
      <c r="K63" s="1640">
        <v>50</v>
      </c>
      <c r="L63" s="1640">
        <v>80</v>
      </c>
      <c r="M63" s="1642">
        <v>0.02</v>
      </c>
      <c r="O63" s="1580" t="s">
        <v>1542</v>
      </c>
      <c r="P63" s="1558"/>
      <c r="Q63" s="1558"/>
      <c r="R63" s="1558"/>
    </row>
    <row r="64" spans="1:18" s="1561" customFormat="1" ht="13.8" thickBot="1">
      <c r="A64" s="1107" t="s">
        <v>1007</v>
      </c>
      <c r="B64" s="1075" t="s">
        <v>1414</v>
      </c>
      <c r="C64" s="24">
        <f ca="1">ROUND(C57*F64,1)</f>
        <v>148.6</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8" thickBot="1">
      <c r="A65" s="1107" t="s">
        <v>1468</v>
      </c>
      <c r="B65" s="1075" t="s">
        <v>1418</v>
      </c>
      <c r="C65" s="24">
        <f ca="1">ROUND(C56*F65,1)</f>
        <v>14.9</v>
      </c>
      <c r="D65" s="1089" t="s">
        <v>1419</v>
      </c>
      <c r="E65" s="1075" t="s">
        <v>1387</v>
      </c>
      <c r="F65" s="336">
        <f t="shared" ca="1" si="0"/>
        <v>1.5E-3</v>
      </c>
      <c r="I65" s="1639" t="s">
        <v>1544</v>
      </c>
      <c r="J65" s="1640">
        <v>40</v>
      </c>
      <c r="K65" s="1640">
        <v>30</v>
      </c>
      <c r="L65" s="1640">
        <v>50</v>
      </c>
      <c r="M65" s="1642">
        <v>0.02</v>
      </c>
      <c r="O65" s="1595" t="s">
        <v>1008</v>
      </c>
      <c r="P65" s="1596" t="s">
        <v>1493</v>
      </c>
      <c r="Q65" s="1597">
        <f ca="1">C40+J29</f>
        <v>30037</v>
      </c>
      <c r="R65" s="1597" t="s">
        <v>1494</v>
      </c>
    </row>
    <row r="66" spans="1:18" s="1561" customFormat="1" ht="16.2"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24.6" thickBot="1">
      <c r="A67" s="1082" t="s">
        <v>999</v>
      </c>
      <c r="B67" s="1092" t="s">
        <v>1428</v>
      </c>
      <c r="C67" s="322">
        <f ca="1">C48-C58</f>
        <v>-997</v>
      </c>
      <c r="D67" s="1088" t="s">
        <v>1429</v>
      </c>
      <c r="E67" s="1093"/>
      <c r="F67" s="1094"/>
      <c r="O67" s="1605" t="s">
        <v>1010</v>
      </c>
      <c r="P67" s="1596" t="s">
        <v>1527</v>
      </c>
      <c r="Q67" s="1643">
        <f ca="1">L51</f>
        <v>9447</v>
      </c>
      <c r="R67" s="1597" t="s">
        <v>1547</v>
      </c>
    </row>
    <row r="68" spans="1:18" s="1561" customFormat="1" ht="16.2" thickBot="1">
      <c r="A68" s="1072" t="s">
        <v>1000</v>
      </c>
      <c r="B68" s="1073" t="s">
        <v>1450</v>
      </c>
      <c r="C68" s="307">
        <f ca="1">ROUND(C67*(1-((1+F70)/(1+F68))^F69)/(F68-F70),0)</f>
        <v>-15233</v>
      </c>
      <c r="D68" s="1090" t="s">
        <v>1434</v>
      </c>
      <c r="E68" s="1075" t="s">
        <v>1435</v>
      </c>
      <c r="F68" s="318">
        <f ca="1">F40</f>
        <v>5.5E-2</v>
      </c>
      <c r="O68" s="1605" t="s">
        <v>1011</v>
      </c>
      <c r="P68" s="1644" t="s">
        <v>1548</v>
      </c>
      <c r="Q68" s="1597">
        <f ca="1">ROUND(Q69-Q70*Q71,0)</f>
        <v>498</v>
      </c>
      <c r="R68" s="1597" t="s">
        <v>1019</v>
      </c>
    </row>
    <row r="69" spans="1:18" s="1561" customFormat="1" ht="13.8" thickBot="1">
      <c r="A69" s="1076"/>
      <c r="B69" s="1077"/>
      <c r="C69" s="312"/>
      <c r="D69" s="1095" t="s">
        <v>1438</v>
      </c>
      <c r="E69" s="1075" t="s">
        <v>1439</v>
      </c>
      <c r="F69" s="339">
        <f ca="1">F41</f>
        <v>34.269999999999996</v>
      </c>
      <c r="O69" s="1605" t="s">
        <v>1016</v>
      </c>
      <c r="P69" s="1644" t="s">
        <v>1549</v>
      </c>
      <c r="Q69" s="1597">
        <f ca="1">C39</f>
        <v>1340</v>
      </c>
      <c r="R69" s="1597" t="s">
        <v>1494</v>
      </c>
    </row>
    <row r="70" spans="1:18" s="1561" customFormat="1" ht="13.8" thickBot="1">
      <c r="A70" s="1079"/>
      <c r="B70" s="1080"/>
      <c r="C70" s="316"/>
      <c r="D70" s="1091"/>
      <c r="E70" s="1075" t="s">
        <v>1442</v>
      </c>
      <c r="F70" s="1179"/>
      <c r="O70" s="1605" t="s">
        <v>1017</v>
      </c>
      <c r="P70" s="1644" t="s">
        <v>1550</v>
      </c>
      <c r="Q70" s="1597">
        <f ca="1">C13</f>
        <v>9909</v>
      </c>
      <c r="R70" s="1597" t="s">
        <v>1494</v>
      </c>
    </row>
    <row r="71" spans="1:18" s="1561" customFormat="1" ht="13.8" thickBot="1">
      <c r="A71" s="1096" t="s">
        <v>1001</v>
      </c>
      <c r="B71" s="1097" t="s">
        <v>1452</v>
      </c>
      <c r="C71" s="342">
        <f ca="1">ROUND(C68*10000/F71,0)</f>
        <v>-8227</v>
      </c>
      <c r="D71" s="1098" t="s">
        <v>1453</v>
      </c>
      <c r="E71" s="1099" t="s">
        <v>1454</v>
      </c>
      <c r="F71" s="345">
        <f ca="1">F43</f>
        <v>18514.93</v>
      </c>
      <c r="O71" s="1605" t="s">
        <v>1018</v>
      </c>
      <c r="P71" s="1644" t="s">
        <v>1551</v>
      </c>
      <c r="Q71" s="1608">
        <f ca="1">C76</f>
        <v>8.5000000000000006E-2</v>
      </c>
      <c r="R71" s="1597"/>
    </row>
    <row r="72" spans="1:18" s="1561" customFormat="1" ht="13.8" thickBot="1">
      <c r="B72" s="735"/>
      <c r="C72" s="735"/>
      <c r="O72" s="1605" t="s">
        <v>1012</v>
      </c>
      <c r="P72" s="1596" t="s">
        <v>1529</v>
      </c>
      <c r="Q72" s="1608">
        <f>L52</f>
        <v>0</v>
      </c>
      <c r="R72" s="1597"/>
    </row>
    <row r="73" spans="1:18" ht="16.2" thickBot="1">
      <c r="A73" s="1561"/>
      <c r="B73" s="735"/>
      <c r="C73" s="735"/>
      <c r="D73" s="1561"/>
      <c r="E73" s="1561"/>
      <c r="F73" s="1561"/>
      <c r="O73" s="1605" t="s">
        <v>1013</v>
      </c>
      <c r="P73" s="1596" t="s">
        <v>1532</v>
      </c>
      <c r="Q73" s="1597" t="e">
        <f ca="1">L58</f>
        <v>#DIV/0!</v>
      </c>
      <c r="R73" s="1597" t="s">
        <v>1533</v>
      </c>
    </row>
    <row r="74" spans="1:18" ht="13.8"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8" thickBot="1">
      <c r="A75" s="1561"/>
      <c r="B75" s="346" t="s">
        <v>1471</v>
      </c>
      <c r="C75" s="347">
        <f ca="1">ROUND(C13*C76,0)</f>
        <v>842</v>
      </c>
      <c r="D75" s="1561"/>
      <c r="E75" s="1561"/>
      <c r="F75" s="1561"/>
      <c r="K75" s="1579"/>
      <c r="L75" s="1561"/>
      <c r="O75" s="1595" t="s">
        <v>1014</v>
      </c>
      <c r="P75" s="1596" t="s">
        <v>1514</v>
      </c>
      <c r="Q75" s="1597">
        <f ca="1">Q65+Q66</f>
        <v>30037</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0.372</v>
      </c>
    </row>
    <row r="80" spans="1:18">
      <c r="B80" s="346" t="s">
        <v>1476</v>
      </c>
      <c r="C80" s="280">
        <f ca="1">ROUND(C75/C39,3)</f>
        <v>0.628</v>
      </c>
    </row>
    <row r="81" spans="2:3">
      <c r="B81" s="276" t="s">
        <v>1477</v>
      </c>
      <c r="C81" s="244"/>
    </row>
    <row r="82" spans="2:3">
      <c r="B82" s="279" t="s">
        <v>1478</v>
      </c>
      <c r="C82" s="281">
        <f ca="1">1-C83</f>
        <v>0.66999999999999993</v>
      </c>
    </row>
    <row r="83" spans="2:3">
      <c r="B83" s="279" t="s">
        <v>1479</v>
      </c>
      <c r="C83" s="280">
        <f ca="1">ROUND(C13/C40,3)</f>
        <v>0.33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5" customWidth="1"/>
    <col min="12" max="12" width="16.33203125" style="264" customWidth="1"/>
    <col min="13" max="13" width="13" style="264"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64"/>
  </cols>
  <sheetData>
    <row r="1" spans="1:37" s="299" customFormat="1" ht="21.6">
      <c r="A1" s="1552" t="s">
        <v>1554</v>
      </c>
      <c r="B1" s="722"/>
      <c r="C1" s="1556" t="s">
        <v>3594</v>
      </c>
      <c r="D1" s="1539" t="s">
        <v>3682</v>
      </c>
      <c r="E1" s="1540" t="s">
        <v>1352</v>
      </c>
      <c r="F1" s="1187">
        <f ca="1">J53</f>
        <v>34.269999999999996</v>
      </c>
      <c r="G1" s="1555">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12889</v>
      </c>
      <c r="C2" s="1564" t="s">
        <v>1481</v>
      </c>
      <c r="D2" s="1564"/>
      <c r="E2" s="1565"/>
      <c r="F2" s="1566"/>
      <c r="G2" s="2927"/>
      <c r="H2" s="2916"/>
      <c r="I2" s="2916"/>
      <c r="J2" s="2916"/>
      <c r="K2" s="2917"/>
      <c r="L2" s="2916"/>
      <c r="M2" s="2916"/>
    </row>
    <row r="3" spans="1:37" ht="18" customHeight="1" thickBot="1">
      <c r="A3" s="1567" t="s">
        <v>1482</v>
      </c>
      <c r="B3" s="1568">
        <f ca="1">IF(ISERROR(B2*10000/F43),0,ROUND(B2*10000/F43,0))</f>
        <v>19875</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768</v>
      </c>
      <c r="D5" s="1541" t="s">
        <v>1367</v>
      </c>
      <c r="E5" s="1197"/>
      <c r="F5" s="1198"/>
      <c r="G5" s="1561"/>
      <c r="H5" s="305">
        <v>1</v>
      </c>
      <c r="I5" s="306" t="s">
        <v>1366</v>
      </c>
      <c r="J5" s="1196">
        <f ca="1">J6+J10+J12</f>
        <v>0</v>
      </c>
      <c r="K5" s="1541" t="s">
        <v>1367</v>
      </c>
      <c r="L5" s="1197"/>
      <c r="M5" s="1198"/>
    </row>
    <row r="6" spans="1:37" ht="18" customHeight="1">
      <c r="A6" s="1195" t="s">
        <v>1003</v>
      </c>
      <c r="B6" s="3330" t="s">
        <v>1368</v>
      </c>
      <c r="C6" s="1200">
        <f ca="1">ROUND(F6*F8*F7*(1-F9)/10000,0)</f>
        <v>767</v>
      </c>
      <c r="D6" s="160" t="s">
        <v>2842</v>
      </c>
      <c r="E6" s="308" t="s">
        <v>1370</v>
      </c>
      <c r="F6" s="309">
        <f ca="1">INDIRECT("'数据-取费表'!u"&amp;$G$1)</f>
        <v>3.5999999999999996</v>
      </c>
      <c r="G6" s="1561"/>
      <c r="H6" s="1195" t="s">
        <v>1003</v>
      </c>
      <c r="I6" s="3330" t="s">
        <v>1368</v>
      </c>
      <c r="J6" s="307">
        <f ca="1">ROUND(M6*M8*M7*(1-M9)/10000,0)</f>
        <v>0</v>
      </c>
      <c r="K6" s="160" t="s">
        <v>2841</v>
      </c>
      <c r="L6" s="308" t="s">
        <v>1370</v>
      </c>
      <c r="M6" s="309">
        <f ca="1">INDIRECT("'数据-取费表'!z"&amp;$G$1)</f>
        <v>0</v>
      </c>
    </row>
    <row r="7" spans="1:37" ht="18" customHeight="1">
      <c r="A7" s="1199"/>
      <c r="B7" s="3331"/>
      <c r="C7" s="1201"/>
      <c r="D7" s="313"/>
      <c r="E7" s="3068" t="s">
        <v>1371</v>
      </c>
      <c r="F7" s="309">
        <f ca="1">IF(INDIRECT("'数据-取费表'!ah"&amp;$G$1)="",INDIRECT("'数据-取费表'!k"&amp;$G$1),INDIRECT("'数据-取费表'!ah"&amp;$G$1))</f>
        <v>6485.07</v>
      </c>
      <c r="G7" s="1561"/>
      <c r="H7" s="310"/>
      <c r="I7" s="3331"/>
      <c r="J7" s="312"/>
      <c r="K7" s="313"/>
      <c r="L7" s="308" t="s">
        <v>1371</v>
      </c>
      <c r="M7" s="309">
        <f ca="1">F7</f>
        <v>6485.07</v>
      </c>
    </row>
    <row r="8" spans="1:37" ht="18" customHeight="1">
      <c r="A8" s="310"/>
      <c r="B8" s="3331"/>
      <c r="C8" s="312"/>
      <c r="D8" s="313"/>
      <c r="E8" s="308" t="s">
        <v>1372</v>
      </c>
      <c r="F8" s="309">
        <f ca="1">INDIRECT("'数据-取费表'!ai"&amp;$G$1)</f>
        <v>365</v>
      </c>
      <c r="G8" s="1561"/>
      <c r="H8" s="310"/>
      <c r="I8" s="3331"/>
      <c r="J8" s="312"/>
      <c r="K8" s="313"/>
      <c r="L8" s="308" t="s">
        <v>1372</v>
      </c>
      <c r="M8" s="309">
        <f ca="1">INDIRECT("'数据-取费表'!ai"&amp;$G$1)</f>
        <v>365</v>
      </c>
    </row>
    <row r="9" spans="1:37" ht="18" customHeight="1">
      <c r="A9" s="310"/>
      <c r="B9" s="3332"/>
      <c r="C9" s="312"/>
      <c r="D9" s="313"/>
      <c r="E9" s="308" t="s">
        <v>1373</v>
      </c>
      <c r="F9" s="318">
        <f ca="1">INDIRECT("'数据-取费表'!w"&amp;$G$1)</f>
        <v>0.1</v>
      </c>
      <c r="G9" s="1561"/>
      <c r="H9" s="310"/>
      <c r="I9" s="3332"/>
      <c r="J9" s="312"/>
      <c r="K9" s="313"/>
      <c r="L9" s="319" t="s">
        <v>1373</v>
      </c>
      <c r="M9" s="320">
        <f ca="1">INDIRECT("'数据-取费表'!ab"&amp;$G$1)</f>
        <v>0</v>
      </c>
    </row>
    <row r="10" spans="1:37" ht="18" customHeight="1">
      <c r="A10" s="1195" t="s">
        <v>1007</v>
      </c>
      <c r="B10" s="1542" t="s">
        <v>1374</v>
      </c>
      <c r="C10" s="322">
        <f ca="1">ROUND(IF(F10="押一",C6/12*F11,IF(F10="押二",C6/12*2*F11,IF(F10="押三",C6/12*3*F11,C11*F11))),0)</f>
        <v>1</v>
      </c>
      <c r="D10" s="1543" t="s">
        <v>2849</v>
      </c>
      <c r="E10" s="319" t="s">
        <v>1375</v>
      </c>
      <c r="F10" s="1270" t="s">
        <v>3687</v>
      </c>
      <c r="G10" s="1561"/>
      <c r="H10" s="1195" t="s">
        <v>1007</v>
      </c>
      <c r="I10" s="1542" t="s">
        <v>1374</v>
      </c>
      <c r="J10" s="307">
        <f ca="1">ROUND(IF(M10="押一",J6/12*M11,IF(M10="押二",J6/12*2*M11,IF(M10="押三",J6/12*3*M11,J11*M11))),0)</f>
        <v>0</v>
      </c>
      <c r="K10" s="1543" t="s">
        <v>2849</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3472</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2386</v>
      </c>
      <c r="D14" s="3064" t="s">
        <v>1383</v>
      </c>
      <c r="E14" s="3062"/>
      <c r="F14" s="325"/>
      <c r="G14" s="1561"/>
      <c r="H14" s="1107" t="s">
        <v>1003</v>
      </c>
      <c r="I14" s="308" t="s">
        <v>1384</v>
      </c>
      <c r="J14" s="24">
        <f ca="1">C29</f>
        <v>3472</v>
      </c>
      <c r="K14" s="3067"/>
      <c r="L14" s="910"/>
      <c r="M14" s="911"/>
    </row>
    <row r="15" spans="1:37" s="1574" customFormat="1" ht="18" customHeight="1" thickBot="1">
      <c r="A15" s="1107" t="s">
        <v>1004</v>
      </c>
      <c r="B15" s="308" t="s">
        <v>1385</v>
      </c>
      <c r="C15" s="24">
        <f ca="1">ROUND(C14*F15,0)</f>
        <v>72</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81</v>
      </c>
      <c r="K16" s="1241" t="s">
        <v>1390</v>
      </c>
      <c r="L16" s="3065"/>
      <c r="M16" s="1198"/>
    </row>
    <row r="17" spans="1:37" s="1574" customFormat="1" ht="18" customHeight="1">
      <c r="A17" s="1107" t="s">
        <v>1355</v>
      </c>
      <c r="B17" s="308" t="s">
        <v>1391</v>
      </c>
      <c r="C17" s="24">
        <f ca="1">ROUND(F17*(F43+INDIRECT("'数据-取费表'!S"&amp;$G$1))/10000,0)</f>
        <v>140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29</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36</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2634</v>
      </c>
      <c r="D19" s="136" t="s">
        <v>1401</v>
      </c>
      <c r="E19" s="3070"/>
      <c r="F19" s="26"/>
      <c r="G19" s="1561"/>
      <c r="H19" s="1107" t="s">
        <v>1004</v>
      </c>
      <c r="I19" s="308" t="s">
        <v>1402</v>
      </c>
      <c r="J19" s="24">
        <f ca="1">IF(K19="按租金收入计税",ROUND(J6*M19/(1+'数据-取费表'!C42),2),ROUND(C29*M19*0.7,2))</f>
        <v>29.16</v>
      </c>
      <c r="K19" s="1547" t="s">
        <v>1403</v>
      </c>
      <c r="L19" s="308" t="s">
        <v>1387</v>
      </c>
      <c r="M19" s="328">
        <f>IF(K19="按租金收入计税",'数据-取费表'!B51,'数据-取费表'!B50)</f>
        <v>1.2E-2</v>
      </c>
    </row>
    <row r="20" spans="1:37" s="1574" customFormat="1" ht="18" customHeight="1">
      <c r="A20" s="1107" t="s">
        <v>1007</v>
      </c>
      <c r="B20" s="308" t="s">
        <v>1404</v>
      </c>
      <c r="C20" s="24">
        <f ca="1">ROUND(C19*F20,0)</f>
        <v>53</v>
      </c>
      <c r="D20" s="329" t="s">
        <v>1405</v>
      </c>
      <c r="E20" s="308" t="s">
        <v>1387</v>
      </c>
      <c r="F20" s="328">
        <f>'数据-取费表'!B37</f>
        <v>0.02</v>
      </c>
      <c r="G20" s="1573"/>
      <c r="H20" s="1107" t="s">
        <v>1354</v>
      </c>
      <c r="I20" s="160" t="s">
        <v>1406</v>
      </c>
      <c r="J20" s="25">
        <f ca="1">ROUND(M20*M21/10000,2)</f>
        <v>0.16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1054.53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52.1</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117</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-81</v>
      </c>
      <c r="K25" s="1249" t="s">
        <v>1429</v>
      </c>
      <c r="L25" s="1250"/>
      <c r="M25" s="1251"/>
    </row>
    <row r="26" spans="1:37">
      <c r="A26" s="1107" t="s">
        <v>1002</v>
      </c>
      <c r="B26" s="308" t="s">
        <v>1430</v>
      </c>
      <c r="C26" s="24">
        <f ca="1">ROUND((C19+C20)*F26,0)</f>
        <v>403</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3472</v>
      </c>
      <c r="D29" s="1246"/>
      <c r="E29" s="1244"/>
      <c r="F29" s="1247"/>
      <c r="G29" s="1573"/>
      <c r="H29" s="340" t="s">
        <v>1001</v>
      </c>
      <c r="I29" s="341" t="s">
        <v>1444</v>
      </c>
      <c r="J29" s="342">
        <f ca="1">ROUND(J26/(1+F40)^F41,0)</f>
        <v>0</v>
      </c>
      <c r="K29" s="343" t="s">
        <v>1445</v>
      </c>
      <c r="L29" s="344"/>
      <c r="M29" s="345">
        <f ca="1">INDIRECT("'数据-取费表'!k"&amp;$G$1)</f>
        <v>6485.07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193</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128</v>
      </c>
      <c r="D31" s="3064" t="s">
        <v>1395</v>
      </c>
      <c r="E31" s="3063" t="s">
        <v>1446</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1398</v>
      </c>
      <c r="C32" s="24">
        <f ca="1">IF(项目基本情况!B11="自然人","——",ROUND(C6*F32/(1+'数据-取费表'!C42),2))</f>
        <v>40.18</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87.66</v>
      </c>
      <c r="D33" s="1547" t="s">
        <v>3684</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0.16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1054.53</v>
      </c>
      <c r="G35" s="1561"/>
      <c r="H35" s="2918"/>
      <c r="I35" s="1575"/>
      <c r="J35" s="1576"/>
      <c r="K35" s="2922"/>
      <c r="L35" s="2921"/>
      <c r="M35" s="2921"/>
    </row>
    <row r="36" spans="1:18" ht="18" customHeight="1">
      <c r="A36" s="1256" t="s">
        <v>1007</v>
      </c>
      <c r="B36" s="308" t="s">
        <v>1414</v>
      </c>
      <c r="C36" s="24">
        <f ca="1">ROUND(C29*F36,1)</f>
        <v>52.1</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5.2</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7.7</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575</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12889</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19875</v>
      </c>
      <c r="D43" s="343" t="s">
        <v>1453</v>
      </c>
      <c r="E43" s="344" t="s">
        <v>1454</v>
      </c>
      <c r="F43" s="345">
        <f ca="1">INDIRECT("'数据-取费表'!k"&amp;$G$1)</f>
        <v>6485.07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8" thickBot="1">
      <c r="A46" s="1581" t="s">
        <v>1485</v>
      </c>
      <c r="C46" s="1582">
        <f ca="1">C68-C40</f>
        <v>-18221</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8" thickBot="1">
      <c r="A47" s="1071" t="s">
        <v>1361</v>
      </c>
      <c r="B47" s="1103" t="s">
        <v>1362</v>
      </c>
      <c r="C47" s="1271" t="s">
        <v>1363</v>
      </c>
      <c r="D47" s="1103" t="s">
        <v>1364</v>
      </c>
      <c r="E47" s="1183" t="s">
        <v>1365</v>
      </c>
      <c r="F47" s="1184"/>
      <c r="G47" s="731"/>
      <c r="I47" s="1591" t="s">
        <v>1491</v>
      </c>
      <c r="J47" s="1592" t="s">
        <v>3685</v>
      </c>
      <c r="K47" s="1593" t="s">
        <v>1492</v>
      </c>
      <c r="L47" s="1594">
        <f ca="1">INDIRECT("'数据-取费表'!d"&amp;$G$1)</f>
        <v>40</v>
      </c>
      <c r="M47" s="1557" t="str">
        <f>IF(ISNUMBER(FIND("住宅",C1)),"住宅","非住宅")</f>
        <v>非住宅</v>
      </c>
      <c r="O47" s="1595" t="s">
        <v>1008</v>
      </c>
      <c r="P47" s="1596" t="s">
        <v>1493</v>
      </c>
      <c r="Q47" s="1597">
        <f ca="1">C40+J29</f>
        <v>12889</v>
      </c>
      <c r="R47" s="1597" t="s">
        <v>1494</v>
      </c>
    </row>
    <row r="48" spans="1:18" s="1561" customFormat="1" ht="40.200000000000003" thickBot="1">
      <c r="A48" s="1264" t="s">
        <v>1103</v>
      </c>
      <c r="B48" s="306" t="s">
        <v>1366</v>
      </c>
      <c r="C48" s="3069">
        <f ca="1">C49+C53+C55</f>
        <v>0</v>
      </c>
      <c r="D48" s="1266"/>
      <c r="E48" s="1267"/>
      <c r="F48" s="1087"/>
      <c r="G48" s="731"/>
      <c r="H48" s="732"/>
      <c r="I48" s="1598" t="s">
        <v>1495</v>
      </c>
      <c r="J48" s="1599" t="s">
        <v>3686</v>
      </c>
      <c r="K48" s="1600" t="s">
        <v>1496</v>
      </c>
      <c r="L48" s="1601">
        <f ca="1">INDIRECT("'数据-取费表'!f"&amp;$G$1)</f>
        <v>34.869999999999997</v>
      </c>
      <c r="O48" s="1595" t="s">
        <v>1009</v>
      </c>
      <c r="P48" s="1596" t="s">
        <v>1497</v>
      </c>
      <c r="Q48" s="1597" t="str">
        <f ca="1">J60</f>
        <v>0</v>
      </c>
      <c r="R48" s="1597" t="s">
        <v>1498</v>
      </c>
    </row>
    <row r="49" spans="1:18" s="1561" customFormat="1" ht="13.8" thickBot="1">
      <c r="A49" s="1100" t="s">
        <v>1104</v>
      </c>
      <c r="B49" s="1548" t="s">
        <v>1455</v>
      </c>
      <c r="C49" s="1268">
        <f ca="1">ROUND(F49*F51*F50*(1-F52)/10000,0)</f>
        <v>0</v>
      </c>
      <c r="D49" s="1180" t="s">
        <v>2841</v>
      </c>
      <c r="E49" s="1549" t="s">
        <v>1456</v>
      </c>
      <c r="F49" s="1185"/>
      <c r="G49" s="1602"/>
      <c r="H49" s="732"/>
      <c r="I49" s="1598" t="s">
        <v>1499</v>
      </c>
      <c r="J49" s="1603">
        <v>2022</v>
      </c>
      <c r="K49" s="1600" t="s">
        <v>1500</v>
      </c>
      <c r="L49" s="1604"/>
      <c r="O49" s="1605" t="s">
        <v>1010</v>
      </c>
      <c r="P49" s="1596" t="s">
        <v>1501</v>
      </c>
      <c r="Q49" s="1597">
        <f ca="1">C29</f>
        <v>3472</v>
      </c>
      <c r="R49" s="1597" t="s">
        <v>1494</v>
      </c>
    </row>
    <row r="50" spans="1:18" s="1561" customFormat="1" ht="13.8" thickBot="1">
      <c r="A50" s="1101"/>
      <c r="B50" s="1104"/>
      <c r="C50" s="1272"/>
      <c r="D50" s="1078"/>
      <c r="E50" s="1181" t="s">
        <v>1371</v>
      </c>
      <c r="F50" s="1182">
        <f ca="1">F7</f>
        <v>6485.07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8"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5312</v>
      </c>
      <c r="M51" s="1613"/>
      <c r="O51" s="1605" t="s">
        <v>1012</v>
      </c>
      <c r="P51" s="1596" t="s">
        <v>1507</v>
      </c>
      <c r="Q51" s="1608">
        <f>J52</f>
        <v>0.09</v>
      </c>
      <c r="R51" s="1597"/>
    </row>
    <row r="52" spans="1:18" s="1561" customFormat="1" ht="13.8"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36.6" thickBot="1">
      <c r="A53" s="1308" t="s">
        <v>1105</v>
      </c>
      <c r="B53" s="1550" t="s">
        <v>1374</v>
      </c>
      <c r="C53" s="322">
        <f ca="1">ROUND(IF(F53="押一",C49/12*F11,IF(F53="押二",C49/12*2*F11,IF(F53="押三",C49/12*3*F11,C54*F11))),0)</f>
        <v>0</v>
      </c>
      <c r="D53" s="1543" t="s">
        <v>2849</v>
      </c>
      <c r="E53" s="319" t="s">
        <v>1375</v>
      </c>
      <c r="F53" s="1270"/>
      <c r="I53" s="1616" t="s">
        <v>1512</v>
      </c>
      <c r="J53" s="2378">
        <f ca="1">IF(M47="住宅",IF(D1="——",MAX(J51,L48),MAX(J51,L48-'数据-取费表'!B24)),IF(D1="——",MIN(J51,L48),MIN(J51,L48-'数据-取费表'!B24)))</f>
        <v>34.269999999999996</v>
      </c>
      <c r="K53" s="3333" t="s">
        <v>1513</v>
      </c>
      <c r="L53" s="3334"/>
      <c r="O53" s="1595" t="s">
        <v>1014</v>
      </c>
      <c r="P53" s="1596" t="s">
        <v>1514</v>
      </c>
      <c r="Q53" s="1597">
        <f ca="1">Q47+Q48</f>
        <v>12889</v>
      </c>
      <c r="R53" s="1597" t="s">
        <v>1015</v>
      </c>
    </row>
    <row r="54" spans="1:18" s="1561" customFormat="1" ht="24.6"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8"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37.200000000000003" thickTop="1" thickBot="1">
      <c r="A56" s="1082">
        <v>2</v>
      </c>
      <c r="B56" s="1083" t="s">
        <v>1379</v>
      </c>
      <c r="C56" s="238">
        <f ca="1">C13</f>
        <v>3472</v>
      </c>
      <c r="D56" s="1624"/>
      <c r="E56" s="1625"/>
      <c r="F56" s="1617"/>
      <c r="I56" s="1626" t="s">
        <v>1519</v>
      </c>
      <c r="J56" s="1627" t="s">
        <v>3061</v>
      </c>
      <c r="K56" s="1598" t="s">
        <v>1520</v>
      </c>
      <c r="L56" s="1601" t="str">
        <f ca="1">IF(L48&lt;J51,"——",L48-J53)</f>
        <v>——</v>
      </c>
      <c r="O56" s="1595" t="s">
        <v>1008</v>
      </c>
      <c r="P56" s="1596" t="s">
        <v>1493</v>
      </c>
      <c r="Q56" s="1597">
        <f ca="1">C40+J29</f>
        <v>12889</v>
      </c>
      <c r="R56" s="1597" t="s">
        <v>1494</v>
      </c>
    </row>
    <row r="57" spans="1:18" s="1561" customFormat="1" ht="24.6" thickBot="1">
      <c r="A57" s="1628"/>
      <c r="B57" s="1075" t="s">
        <v>1443</v>
      </c>
      <c r="C57" s="244">
        <f ca="1">C29</f>
        <v>3472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6" thickBot="1">
      <c r="A58" s="321" t="s">
        <v>998</v>
      </c>
      <c r="B58" s="1083" t="s">
        <v>1389</v>
      </c>
      <c r="C58" s="322">
        <f ca="1">ROUND(C59+C64+C65+C66,0)</f>
        <v>349</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7" t="s">
        <v>1003</v>
      </c>
      <c r="B59" s="1075" t="s">
        <v>1394</v>
      </c>
      <c r="C59" s="2526">
        <f ca="1">ROUND(IF(AND(项目基本情况!B11="自然人",项目基本情况!B10="北京市"),C49*F59/(1+'数据-取费表'!C42),C60+C61+C62),0)</f>
        <v>292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2"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8" thickBot="1">
      <c r="A61" s="1107" t="s">
        <v>1457</v>
      </c>
      <c r="B61" s="1075" t="s">
        <v>1402</v>
      </c>
      <c r="C61" s="24">
        <f ca="1">IF(项目基本情况!B11="自然人","——",IF(D61="按租金收入计税",ROUND(C49*F61/(1+'数据-取费表'!C42),2),IF(D61="按房产原值计税",ROUND(C57*F61*0.7,2),INDIRECT("'数据-取费表'!Aj"&amp;$G$1))))</f>
        <v>291.64999999999998</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8" thickBot="1">
      <c r="A62" s="1107" t="s">
        <v>1460</v>
      </c>
      <c r="B62" s="1074" t="s">
        <v>1406</v>
      </c>
      <c r="C62" s="25">
        <f ca="1">IF(项目基本情况!B11="自然人","——",ROUND(F62*F63/10000,2))</f>
        <v>0.16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12889</v>
      </c>
      <c r="R62" s="1597" t="s">
        <v>1015</v>
      </c>
    </row>
    <row r="63" spans="1:18" s="1561" customFormat="1" ht="13.8" thickBot="1">
      <c r="A63" s="332"/>
      <c r="B63" s="1081"/>
      <c r="C63" s="29"/>
      <c r="D63" s="1091"/>
      <c r="E63" s="1075" t="s">
        <v>1412</v>
      </c>
      <c r="F63" s="309">
        <f t="shared" ca="1" si="0"/>
        <v>1054.53</v>
      </c>
      <c r="I63" s="1639" t="s">
        <v>1541</v>
      </c>
      <c r="J63" s="1640">
        <v>70</v>
      </c>
      <c r="K63" s="1640">
        <v>50</v>
      </c>
      <c r="L63" s="1640">
        <v>80</v>
      </c>
      <c r="M63" s="1642">
        <v>0.02</v>
      </c>
      <c r="O63" s="1580" t="s">
        <v>1542</v>
      </c>
      <c r="P63" s="1558"/>
      <c r="Q63" s="1558"/>
      <c r="R63" s="1558"/>
    </row>
    <row r="64" spans="1:18" s="1561" customFormat="1" ht="13.8" thickBot="1">
      <c r="A64" s="1107" t="s">
        <v>1007</v>
      </c>
      <c r="B64" s="1075" t="s">
        <v>1414</v>
      </c>
      <c r="C64" s="24">
        <f ca="1">ROUND(C57*F64,1)</f>
        <v>52.1</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8" thickBot="1">
      <c r="A65" s="1107" t="s">
        <v>1468</v>
      </c>
      <c r="B65" s="1075" t="s">
        <v>1418</v>
      </c>
      <c r="C65" s="24">
        <f ca="1">ROUND(C56*F65,1)</f>
        <v>5.2</v>
      </c>
      <c r="D65" s="1089" t="s">
        <v>1419</v>
      </c>
      <c r="E65" s="1075" t="s">
        <v>1387</v>
      </c>
      <c r="F65" s="336">
        <f t="shared" ca="1" si="0"/>
        <v>1.5E-3</v>
      </c>
      <c r="I65" s="1639" t="s">
        <v>1544</v>
      </c>
      <c r="J65" s="1640">
        <v>40</v>
      </c>
      <c r="K65" s="1640">
        <v>30</v>
      </c>
      <c r="L65" s="1640">
        <v>50</v>
      </c>
      <c r="M65" s="1642">
        <v>0.02</v>
      </c>
      <c r="O65" s="1595" t="s">
        <v>1008</v>
      </c>
      <c r="P65" s="1596" t="s">
        <v>1493</v>
      </c>
      <c r="Q65" s="1597">
        <f ca="1">C40+J29</f>
        <v>12889</v>
      </c>
      <c r="R65" s="1597" t="s">
        <v>1494</v>
      </c>
    </row>
    <row r="66" spans="1:18" s="1561" customFormat="1" ht="16.2"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24.6" thickBot="1">
      <c r="A67" s="1082" t="s">
        <v>999</v>
      </c>
      <c r="B67" s="1092" t="s">
        <v>1428</v>
      </c>
      <c r="C67" s="322">
        <f ca="1">C48-C58</f>
        <v>-349</v>
      </c>
      <c r="D67" s="1088" t="s">
        <v>1429</v>
      </c>
      <c r="E67" s="1093"/>
      <c r="F67" s="1094"/>
      <c r="O67" s="1605" t="s">
        <v>1010</v>
      </c>
      <c r="P67" s="1596" t="s">
        <v>1527</v>
      </c>
      <c r="Q67" s="1643">
        <f ca="1">L51</f>
        <v>5312</v>
      </c>
      <c r="R67" s="1597" t="s">
        <v>1547</v>
      </c>
    </row>
    <row r="68" spans="1:18" s="1561" customFormat="1" ht="16.2" thickBot="1">
      <c r="A68" s="1072" t="s">
        <v>1000</v>
      </c>
      <c r="B68" s="1073" t="s">
        <v>1450</v>
      </c>
      <c r="C68" s="307">
        <f ca="1">ROUND(C67*(1-((1+F70)/(1+F68))^F69)/(F68-F70),0)</f>
        <v>-5332</v>
      </c>
      <c r="D68" s="1090" t="s">
        <v>1434</v>
      </c>
      <c r="E68" s="1075" t="s">
        <v>1435</v>
      </c>
      <c r="F68" s="318">
        <f ca="1">F40</f>
        <v>5.5E-2</v>
      </c>
      <c r="O68" s="1605" t="s">
        <v>1011</v>
      </c>
      <c r="P68" s="1644" t="s">
        <v>1548</v>
      </c>
      <c r="Q68" s="1597">
        <f ca="1">ROUND(Q69-Q70*Q71,0)</f>
        <v>280</v>
      </c>
      <c r="R68" s="1597" t="s">
        <v>1019</v>
      </c>
    </row>
    <row r="69" spans="1:18" s="1561" customFormat="1" ht="13.8" thickBot="1">
      <c r="A69" s="1076"/>
      <c r="B69" s="1077"/>
      <c r="C69" s="312"/>
      <c r="D69" s="1095" t="s">
        <v>1438</v>
      </c>
      <c r="E69" s="1075" t="s">
        <v>1439</v>
      </c>
      <c r="F69" s="339">
        <f ca="1">F41</f>
        <v>34.269999999999996</v>
      </c>
      <c r="O69" s="1605" t="s">
        <v>1016</v>
      </c>
      <c r="P69" s="1644" t="s">
        <v>1549</v>
      </c>
      <c r="Q69" s="1597">
        <f ca="1">C39</f>
        <v>575</v>
      </c>
      <c r="R69" s="1597" t="s">
        <v>1494</v>
      </c>
    </row>
    <row r="70" spans="1:18" s="1561" customFormat="1" ht="13.8" thickBot="1">
      <c r="A70" s="1079"/>
      <c r="B70" s="1080"/>
      <c r="C70" s="316"/>
      <c r="D70" s="1091"/>
      <c r="E70" s="1075" t="s">
        <v>1442</v>
      </c>
      <c r="F70" s="1179"/>
      <c r="O70" s="1605" t="s">
        <v>1017</v>
      </c>
      <c r="P70" s="1644" t="s">
        <v>1550</v>
      </c>
      <c r="Q70" s="1597">
        <f ca="1">C13</f>
        <v>3472</v>
      </c>
      <c r="R70" s="1597" t="s">
        <v>1494</v>
      </c>
    </row>
    <row r="71" spans="1:18" s="1561" customFormat="1" ht="13.8" thickBot="1">
      <c r="A71" s="1096" t="s">
        <v>1001</v>
      </c>
      <c r="B71" s="1097" t="s">
        <v>1452</v>
      </c>
      <c r="C71" s="342">
        <f ca="1">ROUND(C68*10000/F71,0)</f>
        <v>-8222</v>
      </c>
      <c r="D71" s="1098" t="s">
        <v>1453</v>
      </c>
      <c r="E71" s="1099" t="s">
        <v>1454</v>
      </c>
      <c r="F71" s="345">
        <f ca="1">F43</f>
        <v>6485.07</v>
      </c>
      <c r="O71" s="1605" t="s">
        <v>1018</v>
      </c>
      <c r="P71" s="1644" t="s">
        <v>1551</v>
      </c>
      <c r="Q71" s="1608">
        <f ca="1">C76</f>
        <v>8.5000000000000006E-2</v>
      </c>
      <c r="R71" s="1597"/>
    </row>
    <row r="72" spans="1:18" s="1561" customFormat="1" ht="13.8" thickBot="1">
      <c r="B72" s="735"/>
      <c r="C72" s="735"/>
      <c r="O72" s="1605" t="s">
        <v>1012</v>
      </c>
      <c r="P72" s="1596" t="s">
        <v>1529</v>
      </c>
      <c r="Q72" s="1608">
        <f>L52</f>
        <v>0</v>
      </c>
      <c r="R72" s="1597"/>
    </row>
    <row r="73" spans="1:18" ht="16.2" thickBot="1">
      <c r="A73" s="1561"/>
      <c r="B73" s="735"/>
      <c r="C73" s="735"/>
      <c r="D73" s="1561"/>
      <c r="E73" s="1561"/>
      <c r="F73" s="1561"/>
      <c r="O73" s="1605" t="s">
        <v>1013</v>
      </c>
      <c r="P73" s="1596" t="s">
        <v>1532</v>
      </c>
      <c r="Q73" s="1597" t="e">
        <f ca="1">L58</f>
        <v>#DIV/0!</v>
      </c>
      <c r="R73" s="1597" t="s">
        <v>1533</v>
      </c>
    </row>
    <row r="74" spans="1:18" ht="13.8"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8" thickBot="1">
      <c r="A75" s="1561"/>
      <c r="B75" s="346" t="s">
        <v>1471</v>
      </c>
      <c r="C75" s="347">
        <f ca="1">ROUND(C13*C76,0)</f>
        <v>295</v>
      </c>
      <c r="D75" s="1561"/>
      <c r="E75" s="1561"/>
      <c r="F75" s="1561"/>
      <c r="K75" s="1579"/>
      <c r="L75" s="1561"/>
      <c r="O75" s="1595" t="s">
        <v>1014</v>
      </c>
      <c r="P75" s="1596" t="s">
        <v>1514</v>
      </c>
      <c r="Q75" s="1597">
        <f ca="1">Q65+Q66</f>
        <v>12889</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0.48699999999999999</v>
      </c>
    </row>
    <row r="80" spans="1:18">
      <c r="B80" s="346" t="s">
        <v>1476</v>
      </c>
      <c r="C80" s="280">
        <f ca="1">ROUND(C75/C39,3)</f>
        <v>0.51300000000000001</v>
      </c>
    </row>
    <row r="81" spans="2:3">
      <c r="B81" s="276" t="s">
        <v>1477</v>
      </c>
      <c r="C81" s="244"/>
    </row>
    <row r="82" spans="2:3">
      <c r="B82" s="279" t="s">
        <v>1478</v>
      </c>
      <c r="C82" s="281">
        <f ca="1">1-C83</f>
        <v>0.73099999999999998</v>
      </c>
    </row>
    <row r="83" spans="2:3">
      <c r="B83" s="279" t="s">
        <v>1479</v>
      </c>
      <c r="C83" s="280">
        <f ca="1">ROUND(C13/C40,3)</f>
        <v>0.26900000000000002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5" customWidth="1"/>
    <col min="12" max="12" width="16.33203125" style="264" customWidth="1"/>
    <col min="13" max="13" width="13" style="264"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64"/>
  </cols>
  <sheetData>
    <row r="1" spans="1:37" s="299" customFormat="1" ht="21.6">
      <c r="A1" s="1552" t="s">
        <v>1554</v>
      </c>
      <c r="B1" s="722"/>
      <c r="C1" s="1556" t="s">
        <v>3595</v>
      </c>
      <c r="D1" s="1539" t="s">
        <v>3682</v>
      </c>
      <c r="E1" s="1540" t="s">
        <v>1352</v>
      </c>
      <c r="F1" s="1187">
        <f ca="1">J53</f>
        <v>34.269999999999996</v>
      </c>
      <c r="G1" s="1555">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44024</v>
      </c>
      <c r="C2" s="1564" t="s">
        <v>1481</v>
      </c>
      <c r="D2" s="1564"/>
      <c r="E2" s="1565"/>
      <c r="F2" s="1566"/>
      <c r="G2" s="2927"/>
      <c r="H2" s="2916"/>
      <c r="I2" s="2916"/>
      <c r="J2" s="2916"/>
      <c r="K2" s="2917"/>
      <c r="L2" s="2916"/>
      <c r="M2" s="2916"/>
    </row>
    <row r="3" spans="1:37" ht="18" customHeight="1" thickBot="1">
      <c r="A3" s="1567" t="s">
        <v>1482</v>
      </c>
      <c r="B3" s="1568">
        <f ca="1">IF(ISERROR(B2*10000/F43),0,ROUND(B2*10000/F43,0))</f>
        <v>16234</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2676</v>
      </c>
      <c r="D5" s="1541" t="s">
        <v>1367</v>
      </c>
      <c r="E5" s="1197"/>
      <c r="F5" s="1198"/>
      <c r="G5" s="1561"/>
      <c r="H5" s="305">
        <v>1</v>
      </c>
      <c r="I5" s="306" t="s">
        <v>1366</v>
      </c>
      <c r="J5" s="1196">
        <f ca="1">J6+J10+J12</f>
        <v>0</v>
      </c>
      <c r="K5" s="1541" t="s">
        <v>1367</v>
      </c>
      <c r="L5" s="1197"/>
      <c r="M5" s="1198"/>
    </row>
    <row r="6" spans="1:37" ht="18" customHeight="1">
      <c r="A6" s="1195" t="s">
        <v>1003</v>
      </c>
      <c r="B6" s="3330" t="s">
        <v>1368</v>
      </c>
      <c r="C6" s="1200">
        <f ca="1">ROUND(F6*F8*F7*(1-F9)/10000,0)</f>
        <v>2673</v>
      </c>
      <c r="D6" s="160" t="s">
        <v>2842</v>
      </c>
      <c r="E6" s="308" t="s">
        <v>1370</v>
      </c>
      <c r="F6" s="309">
        <f ca="1">INDIRECT("'数据-取费表'!u"&amp;$G$1)</f>
        <v>3</v>
      </c>
      <c r="G6" s="1561"/>
      <c r="H6" s="1195" t="s">
        <v>1003</v>
      </c>
      <c r="I6" s="3330" t="s">
        <v>1368</v>
      </c>
      <c r="J6" s="307">
        <f ca="1">ROUND(M6*M8*M7*(1-M9)/10000,0)</f>
        <v>0</v>
      </c>
      <c r="K6" s="160" t="s">
        <v>2841</v>
      </c>
      <c r="L6" s="308" t="s">
        <v>1370</v>
      </c>
      <c r="M6" s="309">
        <f ca="1">INDIRECT("'数据-取费表'!z"&amp;$G$1)</f>
        <v>0</v>
      </c>
    </row>
    <row r="7" spans="1:37" ht="18" customHeight="1">
      <c r="A7" s="1199"/>
      <c r="B7" s="3331"/>
      <c r="C7" s="1201"/>
      <c r="D7" s="313"/>
      <c r="E7" s="3068" t="s">
        <v>1371</v>
      </c>
      <c r="F7" s="309">
        <f ca="1">IF(INDIRECT("'数据-取费表'!ah"&amp;$G$1)="",INDIRECT("'数据-取费表'!k"&amp;$G$1),INDIRECT("'数据-取费表'!ah"&amp;$G$1))</f>
        <v>27118.28</v>
      </c>
      <c r="G7" s="1561"/>
      <c r="H7" s="310"/>
      <c r="I7" s="3331"/>
      <c r="J7" s="312"/>
      <c r="K7" s="313"/>
      <c r="L7" s="308" t="s">
        <v>1371</v>
      </c>
      <c r="M7" s="309">
        <f ca="1">F7</f>
        <v>27118.28</v>
      </c>
    </row>
    <row r="8" spans="1:37" ht="18" customHeight="1">
      <c r="A8" s="310"/>
      <c r="B8" s="3331"/>
      <c r="C8" s="312"/>
      <c r="D8" s="313"/>
      <c r="E8" s="308" t="s">
        <v>1372</v>
      </c>
      <c r="F8" s="309">
        <f ca="1">INDIRECT("'数据-取费表'!ai"&amp;$G$1)</f>
        <v>365</v>
      </c>
      <c r="G8" s="1561"/>
      <c r="H8" s="310"/>
      <c r="I8" s="3331"/>
      <c r="J8" s="312"/>
      <c r="K8" s="313"/>
      <c r="L8" s="308" t="s">
        <v>1372</v>
      </c>
      <c r="M8" s="309">
        <f ca="1">INDIRECT("'数据-取费表'!ai"&amp;$G$1)</f>
        <v>365</v>
      </c>
    </row>
    <row r="9" spans="1:37" ht="18" customHeight="1">
      <c r="A9" s="310"/>
      <c r="B9" s="3332"/>
      <c r="C9" s="312"/>
      <c r="D9" s="313"/>
      <c r="E9" s="308" t="s">
        <v>1373</v>
      </c>
      <c r="F9" s="318">
        <f ca="1">INDIRECT("'数据-取费表'!w"&amp;$G$1)</f>
        <v>0.1</v>
      </c>
      <c r="G9" s="1561"/>
      <c r="H9" s="310"/>
      <c r="I9" s="3332"/>
      <c r="J9" s="312"/>
      <c r="K9" s="313"/>
      <c r="L9" s="319" t="s">
        <v>1373</v>
      </c>
      <c r="M9" s="320">
        <f ca="1">INDIRECT("'数据-取费表'!ab"&amp;$G$1)</f>
        <v>0</v>
      </c>
    </row>
    <row r="10" spans="1:37" ht="18" customHeight="1">
      <c r="A10" s="1195" t="s">
        <v>1007</v>
      </c>
      <c r="B10" s="1542" t="s">
        <v>1374</v>
      </c>
      <c r="C10" s="322">
        <f ca="1">ROUND(IF(F10="押一",C6/12*F11,IF(F10="押二",C6/12*2*F11,IF(F10="押三",C6/12*3*F11,C11*F11))),0)</f>
        <v>3</v>
      </c>
      <c r="D10" s="1543" t="s">
        <v>2849</v>
      </c>
      <c r="E10" s="319" t="s">
        <v>1375</v>
      </c>
      <c r="F10" s="1270" t="s">
        <v>3687</v>
      </c>
      <c r="G10" s="1561"/>
      <c r="H10" s="1195" t="s">
        <v>1007</v>
      </c>
      <c r="I10" s="1542" t="s">
        <v>1374</v>
      </c>
      <c r="J10" s="307">
        <f ca="1">ROUND(IF(M10="押一",J6/12*M11,IF(M10="押二",J6/12*2*M11,IF(M10="押三",J6/12*3*M11,J11*M11))),0)</f>
        <v>0</v>
      </c>
      <c r="K10" s="1543" t="s">
        <v>2849</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14514</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9977</v>
      </c>
      <c r="D14" s="3064" t="s">
        <v>1383</v>
      </c>
      <c r="E14" s="3062"/>
      <c r="F14" s="325"/>
      <c r="G14" s="1561"/>
      <c r="H14" s="1107" t="s">
        <v>1003</v>
      </c>
      <c r="I14" s="308" t="s">
        <v>1384</v>
      </c>
      <c r="J14" s="24">
        <f ca="1">C29</f>
        <v>14514</v>
      </c>
      <c r="K14" s="3067"/>
      <c r="L14" s="910"/>
      <c r="M14" s="911"/>
    </row>
    <row r="15" spans="1:37" s="1574" customFormat="1" ht="18" customHeight="1" thickBot="1">
      <c r="A15" s="1107" t="s">
        <v>1004</v>
      </c>
      <c r="B15" s="308" t="s">
        <v>1385</v>
      </c>
      <c r="C15" s="24">
        <f ca="1">ROUND(C14*F15,0)</f>
        <v>299</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341</v>
      </c>
      <c r="K16" s="1241" t="s">
        <v>1390</v>
      </c>
      <c r="L16" s="3065"/>
      <c r="M16" s="1198"/>
    </row>
    <row r="17" spans="1:37" s="1574" customFormat="1" ht="18" customHeight="1">
      <c r="A17" s="1107" t="s">
        <v>1355</v>
      </c>
      <c r="B17" s="308" t="s">
        <v>1391</v>
      </c>
      <c r="C17" s="24">
        <f ca="1">ROUND(F17*(F43+INDIRECT("'数据-取费表'!S"&amp;$G$1))/10000,0)</f>
        <v>587</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123</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150</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11013</v>
      </c>
      <c r="D19" s="136" t="s">
        <v>1401</v>
      </c>
      <c r="E19" s="3070"/>
      <c r="F19" s="26"/>
      <c r="G19" s="1561"/>
      <c r="H19" s="1107" t="s">
        <v>1004</v>
      </c>
      <c r="I19" s="308" t="s">
        <v>1402</v>
      </c>
      <c r="J19" s="24">
        <f ca="1">IF(K19="按租金收入计税",ROUND(J6*M19/(1+'数据-取费表'!C42),2),ROUND(C29*M19*0.7,2))</f>
        <v>121.92</v>
      </c>
      <c r="K19" s="1547" t="s">
        <v>1403</v>
      </c>
      <c r="L19" s="308" t="s">
        <v>1387</v>
      </c>
      <c r="M19" s="328">
        <f>IF(K19="按租金收入计税",'数据-取费表'!B51,'数据-取费表'!B50)</f>
        <v>1.2E-2</v>
      </c>
    </row>
    <row r="20" spans="1:37" s="1574" customFormat="1" ht="18" customHeight="1">
      <c r="A20" s="1107" t="s">
        <v>1007</v>
      </c>
      <c r="B20" s="308" t="s">
        <v>1404</v>
      </c>
      <c r="C20" s="24">
        <f ca="1">ROUND(C19*F20,0)</f>
        <v>220</v>
      </c>
      <c r="D20" s="329" t="s">
        <v>1405</v>
      </c>
      <c r="E20" s="308" t="s">
        <v>1387</v>
      </c>
      <c r="F20" s="328">
        <f>'数据-取费表'!B37</f>
        <v>0.02</v>
      </c>
      <c r="G20" s="1573"/>
      <c r="H20" s="1107" t="s">
        <v>1354</v>
      </c>
      <c r="I20" s="160" t="s">
        <v>1406</v>
      </c>
      <c r="J20" s="25">
        <f ca="1">ROUND(M20*M21/10000,2)</f>
        <v>0.66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4409.6500000000005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217.7</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489</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-341</v>
      </c>
      <c r="K25" s="1249" t="s">
        <v>1429</v>
      </c>
      <c r="L25" s="1250"/>
      <c r="M25" s="1251"/>
    </row>
    <row r="26" spans="1:37">
      <c r="A26" s="1107" t="s">
        <v>1002</v>
      </c>
      <c r="B26" s="308" t="s">
        <v>1430</v>
      </c>
      <c r="C26" s="24">
        <f ca="1">ROUND((C19+C20)*F26,0)</f>
        <v>1685</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14514</v>
      </c>
      <c r="D29" s="1246"/>
      <c r="E29" s="1244"/>
      <c r="F29" s="1247"/>
      <c r="G29" s="1573"/>
      <c r="H29" s="340" t="s">
        <v>1001</v>
      </c>
      <c r="I29" s="341" t="s">
        <v>1444</v>
      </c>
      <c r="J29" s="342">
        <f ca="1">ROUND(J26/(1+F40)^F41,0)</f>
        <v>0</v>
      </c>
      <c r="K29" s="343" t="s">
        <v>1445</v>
      </c>
      <c r="L29" s="344"/>
      <c r="M29" s="345">
        <f ca="1">INDIRECT("'数据-取费表'!k"&amp;$G$1)</f>
        <v>27118.28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712</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446</v>
      </c>
      <c r="D31" s="3064" t="s">
        <v>1395</v>
      </c>
      <c r="E31" s="3063" t="s">
        <v>1446</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1398</v>
      </c>
      <c r="C32" s="24">
        <f ca="1">IF(项目基本情况!B11="自然人","——",ROUND(C6*F32/(1+'数据-取费表'!C42),2))</f>
        <v>140.01</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305.49</v>
      </c>
      <c r="D33" s="1547" t="s">
        <v>3684</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0.66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4409.6500000000005</v>
      </c>
      <c r="G35" s="1561"/>
      <c r="H35" s="2918"/>
      <c r="I35" s="1575"/>
      <c r="J35" s="1576"/>
      <c r="K35" s="2922"/>
      <c r="L35" s="2921"/>
      <c r="M35" s="2921"/>
    </row>
    <row r="36" spans="1:18" ht="18" customHeight="1">
      <c r="A36" s="1256" t="s">
        <v>1007</v>
      </c>
      <c r="B36" s="308" t="s">
        <v>1414</v>
      </c>
      <c r="C36" s="24">
        <f ca="1">ROUND(C29*F36,1)</f>
        <v>217.7</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21.8</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26.8</v>
      </c>
      <c r="D38" s="1246" t="s">
        <v>1424</v>
      </c>
      <c r="E38" s="1244" t="s">
        <v>1387</v>
      </c>
      <c r="F38" s="1240">
        <f ca="1">INDIRECT("'数据-取费表'!Am"&amp;$G$1)</f>
        <v>0.01</v>
      </c>
      <c r="G38" s="1561"/>
      <c r="H38" s="2921"/>
      <c r="I38" s="1575"/>
      <c r="J38" s="1576"/>
      <c r="K38" s="2925"/>
      <c r="L38" s="2921"/>
      <c r="M38" s="2921"/>
    </row>
    <row r="39" spans="1:18" ht="24.6" customHeight="1" thickTop="1">
      <c r="A39" s="1233" t="s">
        <v>999</v>
      </c>
      <c r="B39" s="1248" t="s">
        <v>1428</v>
      </c>
      <c r="C39" s="316">
        <f ca="1">C5-C30</f>
        <v>1964</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44024</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16234</v>
      </c>
      <c r="D43" s="343" t="s">
        <v>1453</v>
      </c>
      <c r="E43" s="344" t="s">
        <v>1454</v>
      </c>
      <c r="F43" s="345">
        <f ca="1">INDIRECT("'数据-取费表'!k"&amp;$G$1)</f>
        <v>27118.28</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8" thickBot="1">
      <c r="A46" s="1581" t="s">
        <v>1485</v>
      </c>
      <c r="C46" s="1582">
        <f ca="1">C68-C40</f>
        <v>-66332</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8" thickBot="1">
      <c r="A47" s="1071" t="s">
        <v>1361</v>
      </c>
      <c r="B47" s="1103" t="s">
        <v>1362</v>
      </c>
      <c r="C47" s="1271" t="s">
        <v>1363</v>
      </c>
      <c r="D47" s="1103" t="s">
        <v>1364</v>
      </c>
      <c r="E47" s="1183" t="s">
        <v>1365</v>
      </c>
      <c r="F47" s="1184"/>
      <c r="G47" s="731"/>
      <c r="I47" s="1591" t="s">
        <v>1491</v>
      </c>
      <c r="J47" s="1592" t="s">
        <v>3685</v>
      </c>
      <c r="K47" s="1593" t="s">
        <v>1492</v>
      </c>
      <c r="L47" s="1594">
        <f ca="1">INDIRECT("'数据-取费表'!d"&amp;$G$1)</f>
        <v>40</v>
      </c>
      <c r="M47" s="1557" t="str">
        <f>IF(ISNUMBER(FIND("住宅",C1)),"住宅","非住宅")</f>
        <v>非住宅</v>
      </c>
      <c r="O47" s="1595" t="s">
        <v>1008</v>
      </c>
      <c r="P47" s="1596" t="s">
        <v>1493</v>
      </c>
      <c r="Q47" s="1597">
        <f ca="1">C40+J29</f>
        <v>44024</v>
      </c>
      <c r="R47" s="1597" t="s">
        <v>1494</v>
      </c>
    </row>
    <row r="48" spans="1:18" s="1561" customFormat="1" ht="40.200000000000003" thickBot="1">
      <c r="A48" s="1264" t="s">
        <v>1103</v>
      </c>
      <c r="B48" s="306" t="s">
        <v>1366</v>
      </c>
      <c r="C48" s="3069">
        <f ca="1">C49+C53+C55</f>
        <v>0</v>
      </c>
      <c r="D48" s="1266"/>
      <c r="E48" s="1267"/>
      <c r="F48" s="1087"/>
      <c r="G48" s="731"/>
      <c r="H48" s="732"/>
      <c r="I48" s="1598" t="s">
        <v>1495</v>
      </c>
      <c r="J48" s="1599" t="s">
        <v>3686</v>
      </c>
      <c r="K48" s="1600" t="s">
        <v>1496</v>
      </c>
      <c r="L48" s="1601">
        <f ca="1">INDIRECT("'数据-取费表'!f"&amp;$G$1)</f>
        <v>34.869999999999997</v>
      </c>
      <c r="O48" s="1595" t="s">
        <v>1009</v>
      </c>
      <c r="P48" s="1596" t="s">
        <v>1497</v>
      </c>
      <c r="Q48" s="1597" t="str">
        <f ca="1">J60</f>
        <v>0</v>
      </c>
      <c r="R48" s="1597" t="s">
        <v>1498</v>
      </c>
    </row>
    <row r="49" spans="1:18" s="1561" customFormat="1" ht="13.8" thickBot="1">
      <c r="A49" s="1100" t="s">
        <v>1104</v>
      </c>
      <c r="B49" s="1548" t="s">
        <v>1455</v>
      </c>
      <c r="C49" s="1268">
        <f ca="1">ROUND(F49*F51*F50*(1-F52)/10000,0)</f>
        <v>0</v>
      </c>
      <c r="D49" s="1180" t="s">
        <v>2841</v>
      </c>
      <c r="E49" s="1549" t="s">
        <v>1456</v>
      </c>
      <c r="F49" s="1185"/>
      <c r="G49" s="1602"/>
      <c r="H49" s="732"/>
      <c r="I49" s="1598" t="s">
        <v>1499</v>
      </c>
      <c r="J49" s="1603">
        <v>2022</v>
      </c>
      <c r="K49" s="1600" t="s">
        <v>1500</v>
      </c>
      <c r="L49" s="1604"/>
      <c r="O49" s="1605" t="s">
        <v>1010</v>
      </c>
      <c r="P49" s="1596" t="s">
        <v>1501</v>
      </c>
      <c r="Q49" s="1597">
        <f ca="1">C29</f>
        <v>14514</v>
      </c>
      <c r="R49" s="1597" t="s">
        <v>1494</v>
      </c>
    </row>
    <row r="50" spans="1:18" s="1561" customFormat="1" ht="13.8" thickBot="1">
      <c r="A50" s="1101"/>
      <c r="B50" s="1104"/>
      <c r="C50" s="1272"/>
      <c r="D50" s="1078"/>
      <c r="E50" s="1181" t="s">
        <v>1371</v>
      </c>
      <c r="F50" s="1182">
        <f ca="1">F7</f>
        <v>27118.28</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8"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13861</v>
      </c>
      <c r="M51" s="1613"/>
      <c r="O51" s="1605" t="s">
        <v>1012</v>
      </c>
      <c r="P51" s="1596" t="s">
        <v>1507</v>
      </c>
      <c r="Q51" s="1608">
        <f>J52</f>
        <v>0.09</v>
      </c>
      <c r="R51" s="1597"/>
    </row>
    <row r="52" spans="1:18" s="1561" customFormat="1" ht="13.8"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36.6" thickBot="1">
      <c r="A53" s="1308" t="s">
        <v>1105</v>
      </c>
      <c r="B53" s="1550" t="s">
        <v>1374</v>
      </c>
      <c r="C53" s="322">
        <f ca="1">ROUND(IF(F53="押一",C49/12*F11,IF(F53="押二",C49/12*2*F11,IF(F53="押三",C49/12*3*F11,C54*F11))),0)</f>
        <v>0</v>
      </c>
      <c r="D53" s="1543" t="s">
        <v>2849</v>
      </c>
      <c r="E53" s="319" t="s">
        <v>1375</v>
      </c>
      <c r="F53" s="1270"/>
      <c r="I53" s="1616" t="s">
        <v>1512</v>
      </c>
      <c r="J53" s="2378">
        <f ca="1">IF(M47="住宅",IF(D1="——",MAX(J51,L48),MAX(J51,L48-'数据-取费表'!B24)),IF(D1="——",MIN(J51,L48),MIN(J51,L48-'数据-取费表'!B24)))</f>
        <v>34.269999999999996</v>
      </c>
      <c r="K53" s="3333" t="s">
        <v>1513</v>
      </c>
      <c r="L53" s="3334"/>
      <c r="O53" s="1595" t="s">
        <v>1014</v>
      </c>
      <c r="P53" s="1596" t="s">
        <v>1514</v>
      </c>
      <c r="Q53" s="1597">
        <f ca="1">Q47+Q48</f>
        <v>44024</v>
      </c>
      <c r="R53" s="1597" t="s">
        <v>1015</v>
      </c>
    </row>
    <row r="54" spans="1:18" s="1561" customFormat="1" ht="24.6"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8"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37.200000000000003" thickTop="1" thickBot="1">
      <c r="A56" s="1082">
        <v>2</v>
      </c>
      <c r="B56" s="1083" t="s">
        <v>1379</v>
      </c>
      <c r="C56" s="238">
        <f ca="1">C13</f>
        <v>14514</v>
      </c>
      <c r="D56" s="1624"/>
      <c r="E56" s="1625"/>
      <c r="F56" s="1617"/>
      <c r="I56" s="1626" t="s">
        <v>1519</v>
      </c>
      <c r="J56" s="1627" t="s">
        <v>3061</v>
      </c>
      <c r="K56" s="1598" t="s">
        <v>1520</v>
      </c>
      <c r="L56" s="1601" t="str">
        <f ca="1">IF(L48&lt;J51,"——",L48-J53)</f>
        <v>——</v>
      </c>
      <c r="O56" s="1595" t="s">
        <v>1008</v>
      </c>
      <c r="P56" s="1596" t="s">
        <v>1493</v>
      </c>
      <c r="Q56" s="1597">
        <f ca="1">C40+J29</f>
        <v>44024</v>
      </c>
      <c r="R56" s="1597" t="s">
        <v>1494</v>
      </c>
    </row>
    <row r="57" spans="1:18" s="1561" customFormat="1" ht="24.6" thickBot="1">
      <c r="A57" s="1628"/>
      <c r="B57" s="1075" t="s">
        <v>1443</v>
      </c>
      <c r="C57" s="244">
        <f ca="1">C29</f>
        <v>14514</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6" thickBot="1">
      <c r="A58" s="321" t="s">
        <v>998</v>
      </c>
      <c r="B58" s="1083" t="s">
        <v>1389</v>
      </c>
      <c r="C58" s="322">
        <f ca="1">ROUND(C59+C64+C65+C66,0)</f>
        <v>1460</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7" t="s">
        <v>1003</v>
      </c>
      <c r="B59" s="1075" t="s">
        <v>1394</v>
      </c>
      <c r="C59" s="2526">
        <f ca="1">ROUND(IF(AND(项目基本情况!B11="自然人",项目基本情况!B10="北京市"),C49*F59/(1+'数据-取费表'!C42),C60+C61+C62),0)</f>
        <v>1220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2"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8" thickBot="1">
      <c r="A61" s="1107" t="s">
        <v>1457</v>
      </c>
      <c r="B61" s="1075" t="s">
        <v>1402</v>
      </c>
      <c r="C61" s="24">
        <f ca="1">IF(项目基本情况!B11="自然人","——",IF(D61="按租金收入计税",ROUND(C49*F61/(1+'数据-取费表'!C42),2),IF(D61="按房产原值计税",ROUND(C57*F61*0.7,2),INDIRECT("'数据-取费表'!Aj"&amp;$G$1))))</f>
        <v>1219.18</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8" thickBot="1">
      <c r="A62" s="1107" t="s">
        <v>1460</v>
      </c>
      <c r="B62" s="1074" t="s">
        <v>1406</v>
      </c>
      <c r="C62" s="25">
        <f ca="1">IF(项目基本情况!B11="自然人","——",ROUND(F62*F63/10000,2))</f>
        <v>0.66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44024</v>
      </c>
      <c r="R62" s="1597" t="s">
        <v>1015</v>
      </c>
    </row>
    <row r="63" spans="1:18" s="1561" customFormat="1" ht="13.8" thickBot="1">
      <c r="A63" s="332"/>
      <c r="B63" s="1081"/>
      <c r="C63" s="29"/>
      <c r="D63" s="1091"/>
      <c r="E63" s="1075" t="s">
        <v>1412</v>
      </c>
      <c r="F63" s="309">
        <f t="shared" ca="1" si="0"/>
        <v>4409.6500000000005</v>
      </c>
      <c r="I63" s="1639" t="s">
        <v>1541</v>
      </c>
      <c r="J63" s="1640">
        <v>70</v>
      </c>
      <c r="K63" s="1640">
        <v>50</v>
      </c>
      <c r="L63" s="1640">
        <v>80</v>
      </c>
      <c r="M63" s="1642">
        <v>0.02</v>
      </c>
      <c r="O63" s="1580" t="s">
        <v>1542</v>
      </c>
      <c r="P63" s="1558"/>
      <c r="Q63" s="1558"/>
      <c r="R63" s="1558"/>
    </row>
    <row r="64" spans="1:18" s="1561" customFormat="1" ht="13.8" thickBot="1">
      <c r="A64" s="1107" t="s">
        <v>1007</v>
      </c>
      <c r="B64" s="1075" t="s">
        <v>1414</v>
      </c>
      <c r="C64" s="24">
        <f ca="1">ROUND(C57*F64,1)</f>
        <v>217.7</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8" thickBot="1">
      <c r="A65" s="1107" t="s">
        <v>1468</v>
      </c>
      <c r="B65" s="1075" t="s">
        <v>1418</v>
      </c>
      <c r="C65" s="24">
        <f ca="1">ROUND(C56*F65,1)</f>
        <v>21.8</v>
      </c>
      <c r="D65" s="1089" t="s">
        <v>1419</v>
      </c>
      <c r="E65" s="1075" t="s">
        <v>1387</v>
      </c>
      <c r="F65" s="336">
        <f t="shared" ca="1" si="0"/>
        <v>1.5E-3</v>
      </c>
      <c r="I65" s="1639" t="s">
        <v>1544</v>
      </c>
      <c r="J65" s="1640">
        <v>40</v>
      </c>
      <c r="K65" s="1640">
        <v>30</v>
      </c>
      <c r="L65" s="1640">
        <v>50</v>
      </c>
      <c r="M65" s="1642">
        <v>0.02</v>
      </c>
      <c r="O65" s="1595" t="s">
        <v>1008</v>
      </c>
      <c r="P65" s="1596" t="s">
        <v>1493</v>
      </c>
      <c r="Q65" s="1597">
        <f ca="1">C40+J29</f>
        <v>44024</v>
      </c>
      <c r="R65" s="1597" t="s">
        <v>1494</v>
      </c>
    </row>
    <row r="66" spans="1:18" s="1561" customFormat="1" ht="16.2"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24.6" thickBot="1">
      <c r="A67" s="1082" t="s">
        <v>999</v>
      </c>
      <c r="B67" s="1092" t="s">
        <v>1428</v>
      </c>
      <c r="C67" s="322">
        <f ca="1">C48-C58</f>
        <v>-1460</v>
      </c>
      <c r="D67" s="1088" t="s">
        <v>1429</v>
      </c>
      <c r="E67" s="1093"/>
      <c r="F67" s="1094"/>
      <c r="O67" s="1605" t="s">
        <v>1010</v>
      </c>
      <c r="P67" s="1596" t="s">
        <v>1527</v>
      </c>
      <c r="Q67" s="1643">
        <f ca="1">L51</f>
        <v>13861</v>
      </c>
      <c r="R67" s="1597" t="s">
        <v>1547</v>
      </c>
    </row>
    <row r="68" spans="1:18" s="1561" customFormat="1" ht="16.2" thickBot="1">
      <c r="A68" s="1072" t="s">
        <v>1000</v>
      </c>
      <c r="B68" s="1073" t="s">
        <v>1450</v>
      </c>
      <c r="C68" s="307">
        <f ca="1">ROUND(C67*(1-((1+F70)/(1+F68))^F69)/(F68-F70),0)</f>
        <v>-22308</v>
      </c>
      <c r="D68" s="1090" t="s">
        <v>1434</v>
      </c>
      <c r="E68" s="1075" t="s">
        <v>1435</v>
      </c>
      <c r="F68" s="318">
        <f ca="1">F40</f>
        <v>5.5E-2</v>
      </c>
      <c r="O68" s="1605" t="s">
        <v>1011</v>
      </c>
      <c r="P68" s="1644" t="s">
        <v>1548</v>
      </c>
      <c r="Q68" s="1597">
        <f ca="1">ROUND(Q69-Q70*Q71,0)</f>
        <v>730</v>
      </c>
      <c r="R68" s="1597" t="s">
        <v>1019</v>
      </c>
    </row>
    <row r="69" spans="1:18" s="1561" customFormat="1" ht="13.8" thickBot="1">
      <c r="A69" s="1076"/>
      <c r="B69" s="1077"/>
      <c r="C69" s="312"/>
      <c r="D69" s="1095" t="s">
        <v>1438</v>
      </c>
      <c r="E69" s="1075" t="s">
        <v>1439</v>
      </c>
      <c r="F69" s="339">
        <f ca="1">F41</f>
        <v>34.269999999999996</v>
      </c>
      <c r="O69" s="1605" t="s">
        <v>1016</v>
      </c>
      <c r="P69" s="1644" t="s">
        <v>1549</v>
      </c>
      <c r="Q69" s="1597">
        <f ca="1">C39</f>
        <v>1964</v>
      </c>
      <c r="R69" s="1597" t="s">
        <v>1494</v>
      </c>
    </row>
    <row r="70" spans="1:18" s="1561" customFormat="1" ht="13.8" thickBot="1">
      <c r="A70" s="1079"/>
      <c r="B70" s="1080"/>
      <c r="C70" s="316"/>
      <c r="D70" s="1091"/>
      <c r="E70" s="1075" t="s">
        <v>1442</v>
      </c>
      <c r="F70" s="1179"/>
      <c r="O70" s="1605" t="s">
        <v>1017</v>
      </c>
      <c r="P70" s="1644" t="s">
        <v>1550</v>
      </c>
      <c r="Q70" s="1597">
        <f ca="1">C13</f>
        <v>14514</v>
      </c>
      <c r="R70" s="1597" t="s">
        <v>1494</v>
      </c>
    </row>
    <row r="71" spans="1:18" s="1561" customFormat="1" ht="13.8" thickBot="1">
      <c r="A71" s="1096" t="s">
        <v>1001</v>
      </c>
      <c r="B71" s="1097" t="s">
        <v>1452</v>
      </c>
      <c r="C71" s="342">
        <f ca="1">ROUND(C68*10000/F71,0)</f>
        <v>-8226</v>
      </c>
      <c r="D71" s="1098" t="s">
        <v>1453</v>
      </c>
      <c r="E71" s="1099" t="s">
        <v>1454</v>
      </c>
      <c r="F71" s="345">
        <f ca="1">F43</f>
        <v>27118.28</v>
      </c>
      <c r="O71" s="1605" t="s">
        <v>1018</v>
      </c>
      <c r="P71" s="1644" t="s">
        <v>1551</v>
      </c>
      <c r="Q71" s="1608">
        <f ca="1">C76</f>
        <v>8.5000000000000006E-2</v>
      </c>
      <c r="R71" s="1597"/>
    </row>
    <row r="72" spans="1:18" s="1561" customFormat="1" ht="13.8" thickBot="1">
      <c r="B72" s="735"/>
      <c r="C72" s="735"/>
      <c r="O72" s="1605" t="s">
        <v>1012</v>
      </c>
      <c r="P72" s="1596" t="s">
        <v>1529</v>
      </c>
      <c r="Q72" s="1608">
        <f>L52</f>
        <v>0</v>
      </c>
      <c r="R72" s="1597"/>
    </row>
    <row r="73" spans="1:18" ht="16.2" thickBot="1">
      <c r="A73" s="1561"/>
      <c r="B73" s="735"/>
      <c r="C73" s="735"/>
      <c r="D73" s="1561"/>
      <c r="E73" s="1561"/>
      <c r="F73" s="1561"/>
      <c r="O73" s="1605" t="s">
        <v>1013</v>
      </c>
      <c r="P73" s="1596" t="s">
        <v>1532</v>
      </c>
      <c r="Q73" s="1597" t="e">
        <f ca="1">L58</f>
        <v>#DIV/0!</v>
      </c>
      <c r="R73" s="1597" t="s">
        <v>1533</v>
      </c>
    </row>
    <row r="74" spans="1:18" ht="13.8"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8" thickBot="1">
      <c r="A75" s="1561"/>
      <c r="B75" s="346" t="s">
        <v>1471</v>
      </c>
      <c r="C75" s="347">
        <f ca="1">ROUND(C13*C76,0)</f>
        <v>1234</v>
      </c>
      <c r="D75" s="1561"/>
      <c r="E75" s="1561"/>
      <c r="F75" s="1561"/>
      <c r="K75" s="1579"/>
      <c r="L75" s="1561"/>
      <c r="O75" s="1595" t="s">
        <v>1014</v>
      </c>
      <c r="P75" s="1596" t="s">
        <v>1514</v>
      </c>
      <c r="Q75" s="1597">
        <f ca="1">Q65+Q66</f>
        <v>44024</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0.372</v>
      </c>
    </row>
    <row r="80" spans="1:18">
      <c r="B80" s="346" t="s">
        <v>1476</v>
      </c>
      <c r="C80" s="280">
        <f ca="1">ROUND(C75/C39,3)</f>
        <v>0.628</v>
      </c>
    </row>
    <row r="81" spans="2:3">
      <c r="B81" s="276" t="s">
        <v>1477</v>
      </c>
      <c r="C81" s="244"/>
    </row>
    <row r="82" spans="2:3">
      <c r="B82" s="279" t="s">
        <v>1478</v>
      </c>
      <c r="C82" s="281">
        <f ca="1">1-C83</f>
        <v>0.66999999999999993</v>
      </c>
    </row>
    <row r="83" spans="2:3">
      <c r="B83" s="279" t="s">
        <v>1479</v>
      </c>
      <c r="C83" s="280">
        <f ca="1">ROUND(C13/C40,3)</f>
        <v>0.33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B2" sqref="B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5" customWidth="1"/>
    <col min="12" max="12" width="16.33203125" style="264" customWidth="1"/>
    <col min="13" max="13" width="13" style="264"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64"/>
  </cols>
  <sheetData>
    <row r="1" spans="1:37" s="299" customFormat="1" ht="21.6">
      <c r="A1" s="1552" t="s">
        <v>1554</v>
      </c>
      <c r="B1" s="722"/>
      <c r="C1" s="1556" t="s">
        <v>48</v>
      </c>
      <c r="D1" s="1539" t="s">
        <v>3682</v>
      </c>
      <c r="E1" s="1540" t="s">
        <v>1352</v>
      </c>
      <c r="F1" s="1187">
        <f ca="1">J53</f>
        <v>44.28</v>
      </c>
      <c r="G1" s="1555">
        <f>MATCH(C1,'数据-取费表'!A6:A16,0)+5</f>
        <v>10</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12437</v>
      </c>
      <c r="C2" s="1564" t="s">
        <v>1481</v>
      </c>
      <c r="D2" s="1564"/>
      <c r="E2" s="1565"/>
      <c r="F2" s="1566"/>
      <c r="G2" s="2927"/>
      <c r="H2" s="2916"/>
      <c r="I2" s="2916"/>
      <c r="J2" s="2916"/>
      <c r="K2" s="2917"/>
      <c r="L2" s="2916"/>
      <c r="M2" s="2916"/>
    </row>
    <row r="3" spans="1:37" ht="18" customHeight="1" thickBot="1">
      <c r="A3" s="1567" t="s">
        <v>1482</v>
      </c>
      <c r="B3" s="1568">
        <f ca="1">IF(ISERROR(B2*10000/F43),0,ROUND(B2*10000/F43,0))</f>
        <v>2849</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1004</v>
      </c>
      <c r="D5" s="1541" t="s">
        <v>1367</v>
      </c>
      <c r="E5" s="1197"/>
      <c r="F5" s="1198"/>
      <c r="G5" s="1561"/>
      <c r="H5" s="305">
        <v>1</v>
      </c>
      <c r="I5" s="306" t="s">
        <v>1366</v>
      </c>
      <c r="J5" s="1196">
        <f ca="1">J6+J10+J12</f>
        <v>0</v>
      </c>
      <c r="K5" s="1541" t="s">
        <v>1367</v>
      </c>
      <c r="L5" s="1197"/>
      <c r="M5" s="1198"/>
    </row>
    <row r="6" spans="1:37" ht="18" customHeight="1">
      <c r="A6" s="1195" t="s">
        <v>1003</v>
      </c>
      <c r="B6" s="3330" t="s">
        <v>1368</v>
      </c>
      <c r="C6" s="1200">
        <f ca="1">ROUND(F6*F8*F7*(1-F9)/10000,0)</f>
        <v>1004</v>
      </c>
      <c r="D6" s="160" t="s">
        <v>2842</v>
      </c>
      <c r="E6" s="308" t="s">
        <v>1370</v>
      </c>
      <c r="F6" s="309">
        <f ca="1">INDIRECT("'数据-取费表'!u"&amp;$G$1)</f>
        <v>0.7</v>
      </c>
      <c r="G6" s="1561"/>
      <c r="H6" s="1195" t="s">
        <v>1003</v>
      </c>
      <c r="I6" s="3330" t="s">
        <v>1368</v>
      </c>
      <c r="J6" s="307">
        <f ca="1">ROUND(M6*M8*M7*(1-M9)/10000,0)</f>
        <v>0</v>
      </c>
      <c r="K6" s="160" t="s">
        <v>2841</v>
      </c>
      <c r="L6" s="308" t="s">
        <v>1370</v>
      </c>
      <c r="M6" s="309">
        <f ca="1">INDIRECT("'数据-取费表'!z"&amp;$G$1)</f>
        <v>0</v>
      </c>
    </row>
    <row r="7" spans="1:37" ht="18" customHeight="1">
      <c r="A7" s="1199"/>
      <c r="B7" s="3331"/>
      <c r="C7" s="1201"/>
      <c r="D7" s="313"/>
      <c r="E7" s="1202" t="s">
        <v>1371</v>
      </c>
      <c r="F7" s="309">
        <f ca="1">IF(INDIRECT("'数据-取费表'!ah"&amp;$G$1)="",INDIRECT("'数据-取费表'!k"&amp;$G$1),INDIRECT("'数据-取费表'!ah"&amp;$G$1))</f>
        <v>43656.97</v>
      </c>
      <c r="G7" s="1561"/>
      <c r="H7" s="310"/>
      <c r="I7" s="3331"/>
      <c r="J7" s="312"/>
      <c r="K7" s="313"/>
      <c r="L7" s="308" t="s">
        <v>1371</v>
      </c>
      <c r="M7" s="309">
        <f ca="1">F7</f>
        <v>43656.97</v>
      </c>
    </row>
    <row r="8" spans="1:37" ht="18" customHeight="1">
      <c r="A8" s="310"/>
      <c r="B8" s="3331"/>
      <c r="C8" s="312"/>
      <c r="D8" s="313"/>
      <c r="E8" s="308" t="s">
        <v>1372</v>
      </c>
      <c r="F8" s="309">
        <f ca="1">INDIRECT("'数据-取费表'!ai"&amp;$G$1)</f>
        <v>365</v>
      </c>
      <c r="G8" s="1561"/>
      <c r="H8" s="310"/>
      <c r="I8" s="3331"/>
      <c r="J8" s="312"/>
      <c r="K8" s="313"/>
      <c r="L8" s="308" t="s">
        <v>1372</v>
      </c>
      <c r="M8" s="309">
        <f ca="1">INDIRECT("'数据-取费表'!ai"&amp;$G$1)</f>
        <v>365</v>
      </c>
    </row>
    <row r="9" spans="1:37" ht="18" customHeight="1">
      <c r="A9" s="310"/>
      <c r="B9" s="3332"/>
      <c r="C9" s="312"/>
      <c r="D9" s="313"/>
      <c r="E9" s="308" t="s">
        <v>1373</v>
      </c>
      <c r="F9" s="318">
        <f ca="1">INDIRECT("'数据-取费表'!w"&amp;$G$1)</f>
        <v>0.1</v>
      </c>
      <c r="G9" s="1561"/>
      <c r="H9" s="310"/>
      <c r="I9" s="333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2850</v>
      </c>
      <c r="E10" s="319" t="s">
        <v>1375</v>
      </c>
      <c r="F10" s="1270" t="s">
        <v>3683</v>
      </c>
      <c r="G10" s="1561"/>
      <c r="H10" s="1195" t="s">
        <v>1007</v>
      </c>
      <c r="I10" s="1542" t="s">
        <v>1374</v>
      </c>
      <c r="J10" s="307">
        <f ca="1">ROUND(IF(M10="押一",J6/12*M11,IF(M10="押二",J6/12*2*M11,IF(M10="押三",J6/12*3*M11,J11*M11))),0)</f>
        <v>0</v>
      </c>
      <c r="K10" s="1543" t="s">
        <v>2849</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21362</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16062</v>
      </c>
      <c r="D14" s="1522" t="s">
        <v>1383</v>
      </c>
      <c r="E14" s="1519"/>
      <c r="F14" s="325"/>
      <c r="G14" s="1561"/>
      <c r="H14" s="1107" t="s">
        <v>1003</v>
      </c>
      <c r="I14" s="308" t="s">
        <v>1384</v>
      </c>
      <c r="J14" s="24">
        <f ca="1">C29</f>
        <v>21362</v>
      </c>
      <c r="K14" s="15"/>
      <c r="L14" s="910"/>
      <c r="M14" s="911"/>
    </row>
    <row r="15" spans="1:37" s="1574" customFormat="1" ht="18" customHeight="1" thickBot="1">
      <c r="A15" s="1107" t="s">
        <v>1004</v>
      </c>
      <c r="B15" s="308" t="s">
        <v>1385</v>
      </c>
      <c r="C15" s="24">
        <f ca="1">ROUND(C14*F15,0)</f>
        <v>482</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501</v>
      </c>
      <c r="K16" s="1241" t="s">
        <v>1390</v>
      </c>
      <c r="L16" s="1242"/>
      <c r="M16" s="1198"/>
    </row>
    <row r="17" spans="1:37" s="1574" customFormat="1" ht="18" customHeight="1">
      <c r="A17" s="1107" t="s">
        <v>1355</v>
      </c>
      <c r="B17" s="308" t="s">
        <v>1391</v>
      </c>
      <c r="C17" s="24">
        <f ca="1">ROUND(F17*(F43+INDIRECT("'数据-取费表'!S"&amp;$G$1))/10000,0)</f>
        <v>945</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181</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241</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17730</v>
      </c>
      <c r="D19" s="136" t="s">
        <v>1401</v>
      </c>
      <c r="E19" s="1537"/>
      <c r="F19" s="26"/>
      <c r="G19" s="1561"/>
      <c r="H19" s="1107" t="s">
        <v>1004</v>
      </c>
      <c r="I19" s="308" t="s">
        <v>1402</v>
      </c>
      <c r="J19" s="24">
        <f ca="1">IF(K19="按租金收入计税",ROUND(J6*M19/(1+'数据-取费表'!C42),2),ROUND(C29*M19*0.7,2))</f>
        <v>179.44</v>
      </c>
      <c r="K19" s="1547" t="s">
        <v>1403</v>
      </c>
      <c r="L19" s="308" t="s">
        <v>1387</v>
      </c>
      <c r="M19" s="328">
        <f>IF(K19="按租金收入计税",'数据-取费表'!B51,'数据-取费表'!B50)</f>
        <v>1.2E-2</v>
      </c>
    </row>
    <row r="20" spans="1:37" s="1574" customFormat="1" ht="18" customHeight="1">
      <c r="A20" s="1107" t="s">
        <v>1007</v>
      </c>
      <c r="B20" s="308" t="s">
        <v>1404</v>
      </c>
      <c r="C20" s="24">
        <f ca="1">ROUND(C19*F20,0)</f>
        <v>355</v>
      </c>
      <c r="D20" s="329" t="s">
        <v>1405</v>
      </c>
      <c r="E20" s="308" t="s">
        <v>1387</v>
      </c>
      <c r="F20" s="328">
        <f>'数据-取费表'!B37</f>
        <v>0.02</v>
      </c>
      <c r="G20" s="1573"/>
      <c r="H20" s="1107" t="s">
        <v>1354</v>
      </c>
      <c r="I20" s="160" t="s">
        <v>1406</v>
      </c>
      <c r="J20" s="25">
        <f ca="1">ROUND(M20*M21/10000,2)</f>
        <v>1.06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7098.9699999999993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320.39999999999998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786</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-501</v>
      </c>
      <c r="K25" s="1249" t="s">
        <v>1429</v>
      </c>
      <c r="L25" s="1250"/>
      <c r="M25" s="1251"/>
    </row>
    <row r="26" spans="1:37">
      <c r="A26" s="1107" t="s">
        <v>1002</v>
      </c>
      <c r="B26" s="308" t="s">
        <v>1430</v>
      </c>
      <c r="C26" s="24">
        <f ca="1">ROUND((C19+C20)*F26,0)</f>
        <v>904</v>
      </c>
      <c r="D26" s="329" t="s">
        <v>1431</v>
      </c>
      <c r="E26" s="319" t="s">
        <v>1432</v>
      </c>
      <c r="F26" s="318">
        <f ca="1">INDIRECT("'数据-取费表'!q"&amp;$G$1)</f>
        <v>0.05</v>
      </c>
      <c r="G26" s="1561"/>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21362</v>
      </c>
      <c r="D29" s="1246"/>
      <c r="E29" s="1244"/>
      <c r="F29" s="1247"/>
      <c r="G29" s="1573"/>
      <c r="H29" s="340" t="s">
        <v>1001</v>
      </c>
      <c r="I29" s="341" t="s">
        <v>1444</v>
      </c>
      <c r="J29" s="342">
        <f ca="1">ROUND(J26/(1+F40)^F41,0)</f>
        <v>0</v>
      </c>
      <c r="K29" s="343" t="s">
        <v>1445</v>
      </c>
      <c r="L29" s="344"/>
      <c r="M29" s="345">
        <f ca="1">INDIRECT("'数据-取费表'!k"&amp;$G$1)</f>
        <v>43656.97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530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168</v>
      </c>
      <c r="D31" s="1522" t="s">
        <v>1395</v>
      </c>
      <c r="E31" s="1521" t="s">
        <v>1446</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1398</v>
      </c>
      <c r="C32" s="24">
        <f ca="1">IF(项目基本情况!B11="自然人","——",ROUND(C6*F32/(1+'数据-取费表'!C42),2))</f>
        <v>52.59</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114.74</v>
      </c>
      <c r="D33" s="1547" t="s">
        <v>3684</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1.06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7098.9699999999993</v>
      </c>
      <c r="G35" s="1561"/>
      <c r="H35" s="2918"/>
      <c r="I35" s="1575"/>
      <c r="J35" s="1576"/>
      <c r="K35" s="2922"/>
      <c r="L35" s="2921"/>
      <c r="M35" s="2921"/>
    </row>
    <row r="36" spans="1:18" ht="18" customHeight="1">
      <c r="A36" s="1256" t="s">
        <v>1007</v>
      </c>
      <c r="B36" s="308" t="s">
        <v>1414</v>
      </c>
      <c r="C36" s="24">
        <f ca="1">ROUND(C29*F36,1)</f>
        <v>320.39999999999998</v>
      </c>
      <c r="D36" s="1521"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32</v>
      </c>
      <c r="D37" s="1521" t="s">
        <v>1419</v>
      </c>
      <c r="E37" s="308" t="s">
        <v>1420</v>
      </c>
      <c r="F37" s="336">
        <f ca="1">INDIRECT("'数据-取费表'!Al"&amp;$G$1)</f>
        <v>1.5E-3</v>
      </c>
      <c r="G37" s="1561"/>
      <c r="H37" s="2921"/>
      <c r="I37" s="1575"/>
      <c r="J37" s="1576"/>
      <c r="K37" s="2762"/>
      <c r="L37" s="2921"/>
      <c r="M37" s="2921"/>
    </row>
    <row r="38" spans="1:18" ht="18" customHeight="1" thickBot="1">
      <c r="A38" s="1243" t="s">
        <v>1358</v>
      </c>
      <c r="B38" s="1244" t="s">
        <v>1404</v>
      </c>
      <c r="C38" s="1245">
        <f ca="1">ROUND(C5*F38,1)</f>
        <v>10</v>
      </c>
      <c r="D38" s="1246" t="s">
        <v>1424</v>
      </c>
      <c r="E38" s="1244" t="s">
        <v>1420</v>
      </c>
      <c r="F38" s="1240">
        <f ca="1">INDIRECT("'数据-取费表'!Am"&amp;$G$1)</f>
        <v>0.01</v>
      </c>
      <c r="G38" s="1561"/>
      <c r="H38" s="2921"/>
      <c r="I38" s="1575"/>
      <c r="J38" s="1576"/>
      <c r="K38" s="2925"/>
      <c r="L38" s="2921"/>
      <c r="M38" s="2921"/>
    </row>
    <row r="39" spans="1:18" ht="24.6" customHeight="1" thickTop="1">
      <c r="A39" s="1233" t="s">
        <v>999</v>
      </c>
      <c r="B39" s="1248" t="s">
        <v>1448</v>
      </c>
      <c r="C39" s="316">
        <f ca="1">C5-C30</f>
        <v>474</v>
      </c>
      <c r="D39" s="1249" t="s">
        <v>1449</v>
      </c>
      <c r="E39" s="1250"/>
      <c r="F39" s="1251"/>
      <c r="G39" s="1561"/>
      <c r="H39" s="2921"/>
      <c r="I39" s="1575"/>
      <c r="J39" s="1576"/>
      <c r="K39" s="2925"/>
      <c r="L39" s="2921"/>
      <c r="M39" s="2921"/>
    </row>
    <row r="40" spans="1:18" ht="18" customHeight="1">
      <c r="A40" s="305" t="s">
        <v>1000</v>
      </c>
      <c r="B40" s="306" t="s">
        <v>1450</v>
      </c>
      <c r="C40" s="307">
        <f ca="1">ROUND(C39*(1-((1+F42)/(1+F40))^F41)/(F40-F42),0)</f>
        <v>12437</v>
      </c>
      <c r="D40" s="330" t="s">
        <v>1434</v>
      </c>
      <c r="E40" s="308" t="s">
        <v>1435</v>
      </c>
      <c r="F40" s="318">
        <f ca="1">INDIRECT("'数据-取费表'!I"&amp;$G$1)</f>
        <v>0.05</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44.28</v>
      </c>
      <c r="G41" s="1561"/>
      <c r="H41" s="1346"/>
      <c r="I41" s="1575"/>
      <c r="J41" s="1576"/>
      <c r="K41" s="2762"/>
      <c r="L41" s="1346"/>
      <c r="M41" s="1346"/>
    </row>
    <row r="42" spans="1:18" ht="18" customHeight="1">
      <c r="A42" s="314"/>
      <c r="B42" s="315"/>
      <c r="C42" s="316"/>
      <c r="D42" s="333"/>
      <c r="E42" s="308" t="s">
        <v>1442</v>
      </c>
      <c r="F42" s="318">
        <f ca="1">INDIRECT("'数据-取费表'!v"&amp;$G$1)</f>
        <v>2.5000000000000001E-2</v>
      </c>
      <c r="G42" s="1561"/>
      <c r="H42" s="1346"/>
      <c r="I42" s="1575"/>
      <c r="J42" s="1576"/>
      <c r="K42" s="2762"/>
      <c r="L42" s="1346"/>
      <c r="M42" s="1346"/>
    </row>
    <row r="43" spans="1:18" ht="18" customHeight="1" thickBot="1">
      <c r="A43" s="340" t="s">
        <v>1001</v>
      </c>
      <c r="B43" s="341" t="s">
        <v>1452</v>
      </c>
      <c r="C43" s="342">
        <f ca="1">ROUND(C40*10000/F43,0)</f>
        <v>2849</v>
      </c>
      <c r="D43" s="343" t="s">
        <v>1453</v>
      </c>
      <c r="E43" s="344" t="s">
        <v>1454</v>
      </c>
      <c r="F43" s="345">
        <f ca="1">INDIRECT("'数据-取费表'!k"&amp;$G$1)</f>
        <v>43656.97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8" thickBot="1">
      <c r="A46" s="1581" t="s">
        <v>1485</v>
      </c>
      <c r="C46" s="1582">
        <f ca="1">C68-C40</f>
        <v>-50427</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8" thickBot="1">
      <c r="A47" s="1071" t="s">
        <v>1361</v>
      </c>
      <c r="B47" s="1103" t="s">
        <v>1362</v>
      </c>
      <c r="C47" s="1271" t="s">
        <v>1363</v>
      </c>
      <c r="D47" s="1103" t="s">
        <v>1364</v>
      </c>
      <c r="E47" s="1183" t="s">
        <v>1365</v>
      </c>
      <c r="F47" s="1184"/>
      <c r="G47" s="731"/>
      <c r="I47" s="1591" t="s">
        <v>1491</v>
      </c>
      <c r="J47" s="1592" t="s">
        <v>3685</v>
      </c>
      <c r="K47" s="1593" t="s">
        <v>1492</v>
      </c>
      <c r="L47" s="1594">
        <f ca="1">INDIRECT("'数据-取费表'!d"&amp;$G$1)</f>
        <v>50</v>
      </c>
      <c r="M47" s="1557" t="str">
        <f>IF(ISNUMBER(FIND("住宅",C1)),"住宅","非住宅")</f>
        <v>非住宅</v>
      </c>
      <c r="O47" s="1595" t="s">
        <v>1008</v>
      </c>
      <c r="P47" s="1596" t="s">
        <v>1493</v>
      </c>
      <c r="Q47" s="1597">
        <f ca="1">C40+J29</f>
        <v>12437</v>
      </c>
      <c r="R47" s="1597" t="s">
        <v>1494</v>
      </c>
    </row>
    <row r="48" spans="1:18" s="1561" customFormat="1" ht="40.200000000000003" thickBot="1">
      <c r="A48" s="1264" t="s">
        <v>1103</v>
      </c>
      <c r="B48" s="306" t="s">
        <v>1366</v>
      </c>
      <c r="C48" s="1536">
        <f ca="1">C49+C53+C55</f>
        <v>0</v>
      </c>
      <c r="D48" s="1266"/>
      <c r="E48" s="1267"/>
      <c r="F48" s="1087"/>
      <c r="G48" s="731"/>
      <c r="H48" s="732"/>
      <c r="I48" s="1598" t="s">
        <v>1495</v>
      </c>
      <c r="J48" s="1599" t="s">
        <v>3686</v>
      </c>
      <c r="K48" s="1600" t="s">
        <v>1496</v>
      </c>
      <c r="L48" s="1601">
        <f ca="1">INDIRECT("'数据-取费表'!f"&amp;$G$1)</f>
        <v>44.88</v>
      </c>
      <c r="O48" s="1595" t="s">
        <v>1009</v>
      </c>
      <c r="P48" s="1596" t="s">
        <v>1497</v>
      </c>
      <c r="Q48" s="1597" t="str">
        <f ca="1">J60</f>
        <v>0</v>
      </c>
      <c r="R48" s="1597" t="s">
        <v>1498</v>
      </c>
    </row>
    <row r="49" spans="1:18" s="1561" customFormat="1" ht="13.8" thickBot="1">
      <c r="A49" s="1100" t="s">
        <v>1104</v>
      </c>
      <c r="B49" s="1548" t="s">
        <v>1455</v>
      </c>
      <c r="C49" s="1268">
        <f ca="1">ROUND(F49*F51*F50*(1-F52)/10000,0)</f>
        <v>0</v>
      </c>
      <c r="D49" s="1180" t="s">
        <v>2843</v>
      </c>
      <c r="E49" s="1549" t="s">
        <v>1456</v>
      </c>
      <c r="F49" s="1185"/>
      <c r="G49" s="1602"/>
      <c r="H49" s="732"/>
      <c r="I49" s="1598" t="s">
        <v>1499</v>
      </c>
      <c r="J49" s="1603">
        <v>2022</v>
      </c>
      <c r="K49" s="1600" t="s">
        <v>1500</v>
      </c>
      <c r="L49" s="1604"/>
      <c r="O49" s="1605" t="s">
        <v>1010</v>
      </c>
      <c r="P49" s="1596" t="s">
        <v>1501</v>
      </c>
      <c r="Q49" s="1597">
        <f ca="1">C29</f>
        <v>21362</v>
      </c>
      <c r="R49" s="1597" t="s">
        <v>1494</v>
      </c>
    </row>
    <row r="50" spans="1:18" s="1561" customFormat="1" ht="13.8" thickBot="1">
      <c r="A50" s="1101"/>
      <c r="B50" s="1104"/>
      <c r="C50" s="1272"/>
      <c r="D50" s="1078"/>
      <c r="E50" s="1181" t="s">
        <v>1371</v>
      </c>
      <c r="F50" s="1182">
        <f ca="1">F7</f>
        <v>43656.97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8"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-27783</v>
      </c>
      <c r="M51" s="1613"/>
      <c r="O51" s="1605" t="s">
        <v>1012</v>
      </c>
      <c r="P51" s="1596" t="s">
        <v>1507</v>
      </c>
      <c r="Q51" s="1608">
        <f>J52</f>
        <v>0.09</v>
      </c>
      <c r="R51" s="1597"/>
    </row>
    <row r="52" spans="1:18" s="1561" customFormat="1" ht="13.8" thickBot="1">
      <c r="A52" s="1102"/>
      <c r="B52" s="1104"/>
      <c r="C52" s="1105"/>
      <c r="D52" s="1078"/>
      <c r="E52" s="1106" t="s">
        <v>1373</v>
      </c>
      <c r="F52" s="1179"/>
      <c r="I52" s="1614" t="s">
        <v>1508</v>
      </c>
      <c r="J52" s="1615">
        <v>0.09</v>
      </c>
      <c r="K52" s="1614" t="s">
        <v>1509</v>
      </c>
      <c r="L52" s="1615"/>
      <c r="O52" s="1605" t="s">
        <v>1013</v>
      </c>
      <c r="P52" s="1596" t="s">
        <v>1510</v>
      </c>
      <c r="Q52" s="1597">
        <f ca="1">J53</f>
        <v>44.28</v>
      </c>
      <c r="R52" s="1597" t="s">
        <v>1511</v>
      </c>
    </row>
    <row r="53" spans="1:18" s="1561" customFormat="1" ht="36.6" thickBot="1">
      <c r="A53" s="1308" t="s">
        <v>1105</v>
      </c>
      <c r="B53" s="1550" t="s">
        <v>1374</v>
      </c>
      <c r="C53" s="322">
        <f ca="1">ROUND(IF(F53="押一",C49/12*F11,IF(F53="押二",C49/12*2*F11,IF(F53="押三",C49/12*3*F11,C54*F11))),0)</f>
        <v>0</v>
      </c>
      <c r="D53" s="1543" t="s">
        <v>2849</v>
      </c>
      <c r="E53" s="319" t="s">
        <v>1375</v>
      </c>
      <c r="F53" s="1270"/>
      <c r="I53" s="1616" t="s">
        <v>1512</v>
      </c>
      <c r="J53" s="2378">
        <f ca="1">IF(M47="住宅",IF(D1="——",MAX(J51,L48),MAX(J51,L48-'数据-取费表'!B24)),IF(D1="——",MIN(J51,L48),MIN(J51,L48-'数据-取费表'!B24)))</f>
        <v>44.28</v>
      </c>
      <c r="K53" s="3333" t="s">
        <v>1513</v>
      </c>
      <c r="L53" s="3334"/>
      <c r="O53" s="1595" t="s">
        <v>1014</v>
      </c>
      <c r="P53" s="1596" t="s">
        <v>1514</v>
      </c>
      <c r="Q53" s="1597">
        <f ca="1">Q47+Q48</f>
        <v>12437</v>
      </c>
      <c r="R53" s="1597" t="s">
        <v>1015</v>
      </c>
    </row>
    <row r="54" spans="1:18" s="1561" customFormat="1" ht="24.6"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8"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37.200000000000003" thickTop="1" thickBot="1">
      <c r="A56" s="1082">
        <v>2</v>
      </c>
      <c r="B56" s="1083" t="s">
        <v>1379</v>
      </c>
      <c r="C56" s="238">
        <f ca="1">C13</f>
        <v>21362</v>
      </c>
      <c r="D56" s="1624"/>
      <c r="E56" s="1625"/>
      <c r="F56" s="1617"/>
      <c r="I56" s="1626" t="s">
        <v>1519</v>
      </c>
      <c r="J56" s="1627" t="s">
        <v>3061</v>
      </c>
      <c r="K56" s="1598" t="s">
        <v>1520</v>
      </c>
      <c r="L56" s="1601" t="str">
        <f ca="1">IF(L48&lt;J51,"——",L48-J53)</f>
        <v>——</v>
      </c>
      <c r="O56" s="1595" t="s">
        <v>1008</v>
      </c>
      <c r="P56" s="1596" t="s">
        <v>1493</v>
      </c>
      <c r="Q56" s="1597">
        <f ca="1">C40+J29</f>
        <v>12437</v>
      </c>
      <c r="R56" s="1597" t="s">
        <v>1494</v>
      </c>
    </row>
    <row r="57" spans="1:18" s="1561" customFormat="1" ht="24.6" thickBot="1">
      <c r="A57" s="1628"/>
      <c r="B57" s="1075" t="s">
        <v>1443</v>
      </c>
      <c r="C57" s="244">
        <f ca="1">C29</f>
        <v>21362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6" thickBot="1">
      <c r="A58" s="321" t="s">
        <v>998</v>
      </c>
      <c r="B58" s="1083" t="s">
        <v>1389</v>
      </c>
      <c r="C58" s="322">
        <f ca="1">ROUND(C59+C64+C65+C66,0)</f>
        <v>2147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7" t="s">
        <v>1003</v>
      </c>
      <c r="B59" s="1075" t="s">
        <v>1394</v>
      </c>
      <c r="C59" s="2526">
        <f ca="1">ROUND(IF(AND(项目基本情况!B11="自然人",项目基本情况!B10="北京市"),C49*F59/(1+'数据-取费表'!C42),C60+C61+C62),0)</f>
        <v>1795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2"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8" thickBot="1">
      <c r="A61" s="1107" t="s">
        <v>1457</v>
      </c>
      <c r="B61" s="1075" t="s">
        <v>1458</v>
      </c>
      <c r="C61" s="24">
        <f ca="1">IF(项目基本情况!B11="自然人","——",IF(D61="按租金收入计税",ROUND(C49*F61/(1+'数据-取费表'!C42),2),IF(D61="按房产原值计税",ROUND(C57*F61*0.7,2),INDIRECT("'数据-取费表'!Aj"&amp;$G$1))))</f>
        <v>1794.41</v>
      </c>
      <c r="D61" s="1547" t="s">
        <v>1403</v>
      </c>
      <c r="E61" s="1075" t="s">
        <v>1459</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8" thickBot="1">
      <c r="A62" s="1107" t="s">
        <v>1460</v>
      </c>
      <c r="B62" s="1074" t="s">
        <v>1461</v>
      </c>
      <c r="C62" s="25">
        <f ca="1">IF(项目基本情况!B11="自然人","——",ROUND(F62*F63/10000,2))</f>
        <v>1.06</v>
      </c>
      <c r="D62" s="1090" t="s">
        <v>1462</v>
      </c>
      <c r="E62" s="1075" t="s">
        <v>1463</v>
      </c>
      <c r="F62" s="331">
        <f t="shared" si="0"/>
        <v>1.5</v>
      </c>
      <c r="I62" s="1639" t="s">
        <v>1535</v>
      </c>
      <c r="J62" s="1640" t="s">
        <v>1536</v>
      </c>
      <c r="K62" s="1640" t="s">
        <v>1537</v>
      </c>
      <c r="L62" s="1640" t="s">
        <v>1538</v>
      </c>
      <c r="M62" s="1641" t="s">
        <v>1539</v>
      </c>
      <c r="O62" s="1595" t="s">
        <v>1014</v>
      </c>
      <c r="P62" s="1596" t="s">
        <v>1540</v>
      </c>
      <c r="Q62" s="1597">
        <f ca="1">Q56+Q57</f>
        <v>12437</v>
      </c>
      <c r="R62" s="1597" t="s">
        <v>1015</v>
      </c>
    </row>
    <row r="63" spans="1:18" s="1561" customFormat="1" ht="13.8" thickBot="1">
      <c r="A63" s="332"/>
      <c r="B63" s="1081"/>
      <c r="C63" s="29"/>
      <c r="D63" s="1091"/>
      <c r="E63" s="1075" t="s">
        <v>1464</v>
      </c>
      <c r="F63" s="309">
        <f t="shared" ca="1" si="0"/>
        <v>7098.9699999999993</v>
      </c>
      <c r="I63" s="1639" t="s">
        <v>1541</v>
      </c>
      <c r="J63" s="1640">
        <v>70</v>
      </c>
      <c r="K63" s="1640">
        <v>50</v>
      </c>
      <c r="L63" s="1640">
        <v>80</v>
      </c>
      <c r="M63" s="1642">
        <v>0.02</v>
      </c>
      <c r="O63" s="1580" t="s">
        <v>1542</v>
      </c>
      <c r="P63" s="1558"/>
      <c r="Q63" s="1558"/>
      <c r="R63" s="1558"/>
    </row>
    <row r="64" spans="1:18" s="1561" customFormat="1" ht="13.8" thickBot="1">
      <c r="A64" s="1107" t="s">
        <v>1465</v>
      </c>
      <c r="B64" s="1075" t="s">
        <v>1466</v>
      </c>
      <c r="C64" s="24">
        <f ca="1">ROUND(C57*F64,1)</f>
        <v>320.39999999999998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8" thickBot="1">
      <c r="A65" s="1107" t="s">
        <v>1468</v>
      </c>
      <c r="B65" s="1075" t="s">
        <v>1418</v>
      </c>
      <c r="C65" s="24">
        <f ca="1">ROUND(C56*F65,1)</f>
        <v>32</v>
      </c>
      <c r="D65" s="1089" t="s">
        <v>1419</v>
      </c>
      <c r="E65" s="1075" t="s">
        <v>1420</v>
      </c>
      <c r="F65" s="336">
        <f t="shared" ca="1" si="0"/>
        <v>1.5E-3</v>
      </c>
      <c r="I65" s="1639" t="s">
        <v>1544</v>
      </c>
      <c r="J65" s="1640">
        <v>40</v>
      </c>
      <c r="K65" s="1640">
        <v>30</v>
      </c>
      <c r="L65" s="1640">
        <v>50</v>
      </c>
      <c r="M65" s="1642">
        <v>0.02</v>
      </c>
      <c r="O65" s="1595" t="s">
        <v>1008</v>
      </c>
      <c r="P65" s="1596" t="s">
        <v>1545</v>
      </c>
      <c r="Q65" s="1597">
        <f ca="1">C40+J29</f>
        <v>12437</v>
      </c>
      <c r="R65" s="1597" t="s">
        <v>1494</v>
      </c>
    </row>
    <row r="66" spans="1:18" s="1561" customFormat="1" ht="16.2"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24.6" thickBot="1">
      <c r="A67" s="1082" t="s">
        <v>999</v>
      </c>
      <c r="B67" s="1092" t="s">
        <v>1428</v>
      </c>
      <c r="C67" s="322">
        <f ca="1">C48-C58</f>
        <v>-2147</v>
      </c>
      <c r="D67" s="1088" t="s">
        <v>1429</v>
      </c>
      <c r="E67" s="1093"/>
      <c r="F67" s="1094"/>
      <c r="O67" s="1605" t="s">
        <v>1010</v>
      </c>
      <c r="P67" s="1596" t="s">
        <v>1527</v>
      </c>
      <c r="Q67" s="1643">
        <f ca="1">L51</f>
        <v>-27783</v>
      </c>
      <c r="R67" s="1597" t="s">
        <v>1547</v>
      </c>
    </row>
    <row r="68" spans="1:18" s="1561" customFormat="1" ht="16.2" thickBot="1">
      <c r="A68" s="1072" t="s">
        <v>1000</v>
      </c>
      <c r="B68" s="1073" t="s">
        <v>1450</v>
      </c>
      <c r="C68" s="307">
        <f ca="1">ROUND(C67*(1-((1+F70)/(1+F68))^F69)/(F68-F70),0)</f>
        <v>-37990</v>
      </c>
      <c r="D68" s="1090" t="s">
        <v>1434</v>
      </c>
      <c r="E68" s="1075" t="s">
        <v>1435</v>
      </c>
      <c r="F68" s="318">
        <f ca="1">F40</f>
        <v>0.05</v>
      </c>
      <c r="O68" s="1605" t="s">
        <v>1011</v>
      </c>
      <c r="P68" s="1644" t="s">
        <v>1548</v>
      </c>
      <c r="Q68" s="1597">
        <f ca="1">ROUND(Q69-Q70*Q71,0)</f>
        <v>-1342</v>
      </c>
      <c r="R68" s="1597" t="s">
        <v>1019</v>
      </c>
    </row>
    <row r="69" spans="1:18" s="1561" customFormat="1" ht="13.8" thickBot="1">
      <c r="A69" s="1076"/>
      <c r="B69" s="1077"/>
      <c r="C69" s="312"/>
      <c r="D69" s="1095" t="s">
        <v>1438</v>
      </c>
      <c r="E69" s="1075" t="s">
        <v>1439</v>
      </c>
      <c r="F69" s="339">
        <f ca="1">F41</f>
        <v>44.28</v>
      </c>
      <c r="O69" s="1605" t="s">
        <v>1016</v>
      </c>
      <c r="P69" s="1644" t="s">
        <v>1549</v>
      </c>
      <c r="Q69" s="1597">
        <f ca="1">C39</f>
        <v>474</v>
      </c>
      <c r="R69" s="1597" t="s">
        <v>1494</v>
      </c>
    </row>
    <row r="70" spans="1:18" s="1561" customFormat="1" ht="13.8" thickBot="1">
      <c r="A70" s="1079"/>
      <c r="B70" s="1080"/>
      <c r="C70" s="316"/>
      <c r="D70" s="1091"/>
      <c r="E70" s="1075" t="s">
        <v>1442</v>
      </c>
      <c r="F70" s="1179"/>
      <c r="O70" s="1605" t="s">
        <v>1017</v>
      </c>
      <c r="P70" s="1644" t="s">
        <v>1550</v>
      </c>
      <c r="Q70" s="1597">
        <f ca="1">C13</f>
        <v>21362</v>
      </c>
      <c r="R70" s="1597" t="s">
        <v>1494</v>
      </c>
    </row>
    <row r="71" spans="1:18" s="1561" customFormat="1" ht="13.8" thickBot="1">
      <c r="A71" s="1096" t="s">
        <v>1001</v>
      </c>
      <c r="B71" s="1097" t="s">
        <v>1452</v>
      </c>
      <c r="C71" s="342">
        <f ca="1">ROUND(C68*10000/F71,0)</f>
        <v>-8702</v>
      </c>
      <c r="D71" s="1098" t="s">
        <v>1453</v>
      </c>
      <c r="E71" s="1099" t="s">
        <v>1454</v>
      </c>
      <c r="F71" s="345">
        <f ca="1">F43</f>
        <v>43656.97</v>
      </c>
      <c r="O71" s="1605" t="s">
        <v>1018</v>
      </c>
      <c r="P71" s="1644" t="s">
        <v>1551</v>
      </c>
      <c r="Q71" s="1608">
        <f ca="1">C76</f>
        <v>8.5000000000000006E-2</v>
      </c>
      <c r="R71" s="1597"/>
    </row>
    <row r="72" spans="1:18" s="1561" customFormat="1" ht="13.8" thickBot="1">
      <c r="B72" s="735"/>
      <c r="C72" s="735"/>
      <c r="O72" s="1605" t="s">
        <v>1012</v>
      </c>
      <c r="P72" s="1596" t="s">
        <v>1529</v>
      </c>
      <c r="Q72" s="1608">
        <f>L52</f>
        <v>0</v>
      </c>
      <c r="R72" s="1597"/>
    </row>
    <row r="73" spans="1:18" ht="16.2" thickBot="1">
      <c r="A73" s="1561"/>
      <c r="B73" s="735"/>
      <c r="C73" s="735"/>
      <c r="D73" s="1561"/>
      <c r="E73" s="1561"/>
      <c r="F73" s="1561"/>
      <c r="O73" s="1605" t="s">
        <v>1013</v>
      </c>
      <c r="P73" s="1596" t="s">
        <v>1532</v>
      </c>
      <c r="Q73" s="1597" t="e">
        <f ca="1">L58</f>
        <v>#DIV/0!</v>
      </c>
      <c r="R73" s="1597" t="s">
        <v>1533</v>
      </c>
    </row>
    <row r="74" spans="1:18" ht="13.8"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8" thickBot="1">
      <c r="A75" s="1561"/>
      <c r="B75" s="346" t="s">
        <v>1471</v>
      </c>
      <c r="C75" s="347">
        <f ca="1">ROUND(C13*C76,0)</f>
        <v>1816</v>
      </c>
      <c r="D75" s="1561"/>
      <c r="E75" s="1561"/>
      <c r="F75" s="1561"/>
      <c r="K75" s="1579"/>
      <c r="L75" s="1561"/>
      <c r="O75" s="1595" t="s">
        <v>1014</v>
      </c>
      <c r="P75" s="1596" t="s">
        <v>1514</v>
      </c>
      <c r="Q75" s="1597">
        <f ca="1">Q65+Q66</f>
        <v>12437</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-2.831</v>
      </c>
    </row>
    <row r="80" spans="1:18">
      <c r="B80" s="346" t="s">
        <v>1476</v>
      </c>
      <c r="C80" s="280">
        <f ca="1">ROUND(C75/C39,3)</f>
        <v>3.831</v>
      </c>
    </row>
    <row r="81" spans="2:3">
      <c r="B81" s="276" t="s">
        <v>1477</v>
      </c>
      <c r="C81" s="244"/>
    </row>
    <row r="82" spans="2:3">
      <c r="B82" s="279" t="s">
        <v>1478</v>
      </c>
      <c r="C82" s="281">
        <f ca="1">1-C83</f>
        <v>-0.71799999999999997</v>
      </c>
    </row>
    <row r="83" spans="2:3">
      <c r="B83" s="279" t="s">
        <v>1479</v>
      </c>
      <c r="C83" s="280">
        <f ca="1">ROUND(C13/C40,3)</f>
        <v>1.718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45" customWidth="1"/>
    <col min="12" max="12" width="16.33203125" style="264" customWidth="1"/>
    <col min="13" max="13" width="13" style="264" customWidth="1"/>
    <col min="14" max="14" width="13.77734375" style="1561" customWidth="1"/>
    <col min="15" max="15" width="5.109375" style="1561" customWidth="1"/>
    <col min="16" max="16" width="25.77734375" style="1561" customWidth="1"/>
    <col min="17" max="17" width="13.77734375" style="1561" customWidth="1"/>
    <col min="18" max="18" width="20.44140625" style="1561" customWidth="1"/>
    <col min="19" max="19" width="13.21875" style="1561" customWidth="1"/>
    <col min="20" max="37" width="9" style="1561"/>
    <col min="38" max="16384" width="9" style="264"/>
  </cols>
  <sheetData>
    <row r="1" spans="1:37" s="299" customFormat="1" ht="21.6">
      <c r="A1" s="1552" t="s">
        <v>1554</v>
      </c>
      <c r="B1" s="722"/>
      <c r="C1" s="1556"/>
      <c r="D1" s="1539"/>
      <c r="E1" s="1540" t="s">
        <v>1352</v>
      </c>
      <c r="F1" s="1187">
        <f ca="1">J53</f>
        <v>-0.60000000000000009</v>
      </c>
      <c r="G1" s="1555">
        <f>MATCH(C1,'数据-取费表'!A6:A16,0)+5</f>
        <v>11</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30" t="s">
        <v>1368</v>
      </c>
      <c r="C6" s="1200">
        <f ca="1">ROUND(F6*F8*F7*(1-F9),0)</f>
        <v>0</v>
      </c>
      <c r="D6" s="160" t="s">
        <v>2839</v>
      </c>
      <c r="E6" s="308" t="s">
        <v>1370</v>
      </c>
      <c r="F6" s="309">
        <f ca="1">INDIRECT("'数据-取费表'!u"&amp;$G$1)</f>
        <v>0</v>
      </c>
      <c r="G6" s="1561"/>
      <c r="H6" s="1195" t="s">
        <v>1003</v>
      </c>
      <c r="I6" s="3330" t="s">
        <v>1368</v>
      </c>
      <c r="J6" s="307">
        <f ca="1">ROUND(M6*M8*M7*(1-M9),0)</f>
        <v>0</v>
      </c>
      <c r="K6" s="1553" t="s">
        <v>2840</v>
      </c>
      <c r="L6" s="308" t="s">
        <v>1370</v>
      </c>
      <c r="M6" s="309">
        <f ca="1">INDIRECT("'数据-取费表'!z"&amp;$G$1)</f>
        <v>0</v>
      </c>
    </row>
    <row r="7" spans="1:37" ht="18" customHeight="1">
      <c r="A7" s="1199"/>
      <c r="B7" s="3331"/>
      <c r="C7" s="1201"/>
      <c r="D7" s="313"/>
      <c r="E7" s="1202" t="s">
        <v>1371</v>
      </c>
      <c r="F7" s="309">
        <f ca="1">IF(INDIRECT("'数据-取费表'!ah"&amp;$G$1)="",INDIRECT("'数据-取费表'!k"&amp;$G$1),INDIRECT("'数据-取费表'!ah"&amp;$G$1))</f>
        <v>0</v>
      </c>
      <c r="G7" s="1561"/>
      <c r="H7" s="310"/>
      <c r="I7" s="3331"/>
      <c r="J7" s="312"/>
      <c r="K7" s="313"/>
      <c r="L7" s="308" t="s">
        <v>1371</v>
      </c>
      <c r="M7" s="309">
        <f ca="1">F7</f>
        <v>0</v>
      </c>
    </row>
    <row r="8" spans="1:37" ht="18" customHeight="1">
      <c r="A8" s="310"/>
      <c r="B8" s="3331"/>
      <c r="C8" s="312"/>
      <c r="D8" s="313"/>
      <c r="E8" s="308" t="s">
        <v>1372</v>
      </c>
      <c r="F8" s="309">
        <f ca="1">INDIRECT("'数据-取费表'!ai"&amp;$G$1)</f>
        <v>0</v>
      </c>
      <c r="G8" s="1561"/>
      <c r="H8" s="310"/>
      <c r="I8" s="3331"/>
      <c r="J8" s="312"/>
      <c r="K8" s="313"/>
      <c r="L8" s="308" t="s">
        <v>1372</v>
      </c>
      <c r="M8" s="309">
        <f ca="1">INDIRECT("'数据-取费表'!ai"&amp;$G$1)</f>
        <v>0</v>
      </c>
    </row>
    <row r="9" spans="1:37" ht="18" customHeight="1">
      <c r="A9" s="310"/>
      <c r="B9" s="3332"/>
      <c r="C9" s="312"/>
      <c r="D9" s="313"/>
      <c r="E9" s="308" t="s">
        <v>1373</v>
      </c>
      <c r="F9" s="318">
        <f ca="1">INDIRECT("'数据-取费表'!w"&amp;$G$1)</f>
        <v>0</v>
      </c>
      <c r="G9" s="1561"/>
      <c r="H9" s="310"/>
      <c r="I9" s="333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2849</v>
      </c>
      <c r="E10" s="319" t="s">
        <v>1375</v>
      </c>
      <c r="F10" s="1270"/>
      <c r="G10" s="1561"/>
      <c r="H10" s="1195" t="s">
        <v>1007</v>
      </c>
      <c r="I10" s="1542" t="s">
        <v>1374</v>
      </c>
      <c r="J10" s="307">
        <f ca="1">ROUND(IF(M10="押一",J6/12*M11,IF(M10="押二",J6/12*2*M11,IF(M10="押三",J6/12*3*M11,J11*M11))),0)</f>
        <v>0</v>
      </c>
      <c r="K10" s="1554" t="s">
        <v>2851</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1398</v>
      </c>
      <c r="C32" s="24">
        <f ca="1">IF(项目基本情况!B11="自然人","——",ROUND(C6*F32/(1+'数据-取费表'!C42),0))</f>
        <v>0</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21"/>
      <c r="I33" s="1575"/>
      <c r="J33" s="1576"/>
      <c r="K33" s="2922"/>
      <c r="L33" s="2921"/>
      <c r="M33" s="2921"/>
    </row>
    <row r="34" spans="1:18" ht="18" customHeight="1">
      <c r="A34" s="1195" t="s">
        <v>1354</v>
      </c>
      <c r="B34" s="160" t="s">
        <v>1406</v>
      </c>
      <c r="C34" s="25">
        <f ca="1">IF(项目基本情况!B11="自然人","——",ROUND(F34*F35,))</f>
        <v>0</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0</v>
      </c>
      <c r="G35" s="1561"/>
      <c r="H35" s="2918"/>
      <c r="I35" s="1575"/>
      <c r="J35" s="1576"/>
      <c r="K35" s="2922"/>
      <c r="L35" s="2921"/>
      <c r="M35" s="2921"/>
    </row>
    <row r="36" spans="1:18" ht="18" customHeight="1">
      <c r="A36" s="1256" t="s">
        <v>1007</v>
      </c>
      <c r="B36" s="308" t="s">
        <v>1414</v>
      </c>
      <c r="C36" s="24">
        <f ca="1">ROUND(C29*F36,0)</f>
        <v>0</v>
      </c>
      <c r="D36" s="1521" t="s">
        <v>1447</v>
      </c>
      <c r="E36" s="308" t="s">
        <v>1387</v>
      </c>
      <c r="F36" s="334">
        <f ca="1">INDIRECT("'数据-取费表'!Ak"&amp;$G$1)</f>
        <v>0</v>
      </c>
      <c r="G36" s="1561"/>
      <c r="H36" s="2921"/>
      <c r="I36" s="1575"/>
      <c r="J36" s="1576"/>
      <c r="K36" s="2762"/>
      <c r="L36" s="2921"/>
      <c r="M36" s="2921"/>
    </row>
    <row r="37" spans="1:18" ht="18" customHeight="1">
      <c r="A37" s="1107" t="s">
        <v>1043</v>
      </c>
      <c r="B37" s="308" t="s">
        <v>1418</v>
      </c>
      <c r="C37" s="24">
        <f ca="1">ROUND(C13*F37,0)</f>
        <v>0</v>
      </c>
      <c r="D37" s="1521" t="s">
        <v>1419</v>
      </c>
      <c r="E37" s="308" t="s">
        <v>1420</v>
      </c>
      <c r="F37" s="336">
        <f ca="1">INDIRECT("'数据-取费表'!Al"&amp;$G$1)</f>
        <v>0</v>
      </c>
      <c r="G37" s="1561"/>
      <c r="H37" s="2921"/>
      <c r="I37" s="1575"/>
      <c r="J37" s="1576"/>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1"/>
      <c r="H38" s="2921"/>
      <c r="I38" s="1575"/>
      <c r="J38" s="1576"/>
      <c r="K38" s="2925"/>
      <c r="L38" s="2921"/>
      <c r="M38" s="2921"/>
    </row>
    <row r="39" spans="1:18" ht="24.6" customHeight="1" thickTop="1">
      <c r="A39" s="1233" t="s">
        <v>999</v>
      </c>
      <c r="B39" s="1248" t="s">
        <v>1448</v>
      </c>
      <c r="C39" s="316">
        <f ca="1">C5-C30</f>
        <v>0</v>
      </c>
      <c r="D39" s="1249" t="s">
        <v>1449</v>
      </c>
      <c r="E39" s="1250"/>
      <c r="F39" s="1251"/>
      <c r="G39" s="1561"/>
      <c r="H39" s="2921"/>
      <c r="I39" s="1575"/>
      <c r="J39" s="1576"/>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2"/>
      <c r="L41" s="1346"/>
      <c r="M41" s="1346"/>
    </row>
    <row r="42" spans="1:18" ht="18" customHeight="1">
      <c r="A42" s="314"/>
      <c r="B42" s="315"/>
      <c r="C42" s="316"/>
      <c r="D42" s="333"/>
      <c r="E42" s="308" t="s">
        <v>1442</v>
      </c>
      <c r="F42" s="318">
        <f ca="1">INDIRECT("'数据-取费表'!v"&amp;$G$1)</f>
        <v>0</v>
      </c>
      <c r="G42" s="1561"/>
      <c r="H42" s="1346"/>
      <c r="I42" s="1575"/>
      <c r="J42" s="1576"/>
      <c r="K42" s="2762"/>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8"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8"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40.200000000000003"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8"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8"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8"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8" thickBot="1">
      <c r="A52" s="1102"/>
      <c r="B52" s="1104"/>
      <c r="C52" s="1105"/>
      <c r="D52" s="1078"/>
      <c r="E52" s="1106" t="s">
        <v>1373</v>
      </c>
      <c r="F52" s="1179"/>
      <c r="I52" s="1614" t="s">
        <v>1508</v>
      </c>
      <c r="J52" s="1615"/>
      <c r="K52" s="1614" t="s">
        <v>1509</v>
      </c>
      <c r="L52" s="1615"/>
      <c r="O52" s="1605" t="s">
        <v>1013</v>
      </c>
      <c r="P52" s="1596" t="s">
        <v>1510</v>
      </c>
      <c r="Q52" s="1597">
        <f ca="1">J53</f>
        <v>-0.60000000000000009</v>
      </c>
      <c r="R52" s="1597" t="s">
        <v>1511</v>
      </c>
    </row>
    <row r="53" spans="1:18" s="1561" customFormat="1" ht="30.75" customHeight="1" thickBot="1">
      <c r="A53" s="1265" t="s">
        <v>1105</v>
      </c>
      <c r="B53" s="329"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-0.60000000000000009</v>
      </c>
      <c r="K53" s="3333" t="s">
        <v>1513</v>
      </c>
      <c r="L53" s="3334"/>
      <c r="O53" s="1595" t="s">
        <v>1014</v>
      </c>
      <c r="P53" s="1596" t="s">
        <v>1514</v>
      </c>
      <c r="Q53" s="1597" t="e">
        <f ca="1">Q47+Q48</f>
        <v>#DIV/0!</v>
      </c>
      <c r="R53" s="1597" t="s">
        <v>1015</v>
      </c>
    </row>
    <row r="54" spans="1:18" s="1561" customFormat="1" ht="13.8"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8"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6"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6"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6"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2" thickBot="1">
      <c r="A60" s="1107" t="s">
        <v>1002</v>
      </c>
      <c r="B60" s="1075" t="s">
        <v>1398</v>
      </c>
      <c r="C60" s="24">
        <f ca="1">IF(项目基本情况!B11="自然人","——",ROUND(C48*F60/(1+'数据-取费表'!C42),0))</f>
        <v>0</v>
      </c>
      <c r="D60" s="1089" t="s">
        <v>1399</v>
      </c>
      <c r="E60" s="1075" t="s">
        <v>1387</v>
      </c>
      <c r="F60" s="337">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8"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8" thickBot="1">
      <c r="A62" s="1107" t="s">
        <v>1460</v>
      </c>
      <c r="B62" s="1074" t="s">
        <v>1461</v>
      </c>
      <c r="C62" s="25">
        <f ca="1">IF(项目基本情况!B11="自然人","——",ROUND(F62*F63,0))</f>
        <v>0</v>
      </c>
      <c r="D62" s="1090" t="s">
        <v>1462</v>
      </c>
      <c r="E62" s="1075"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8"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8"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8"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2"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24.6"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2"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8" thickBot="1">
      <c r="A69" s="1076"/>
      <c r="B69" s="1077"/>
      <c r="C69" s="312"/>
      <c r="D69" s="1095" t="s">
        <v>1438</v>
      </c>
      <c r="E69" s="1075" t="s">
        <v>1439</v>
      </c>
      <c r="F69" s="339">
        <f ca="1">F41</f>
        <v>0</v>
      </c>
      <c r="O69" s="1605" t="s">
        <v>1016</v>
      </c>
      <c r="P69" s="1644" t="s">
        <v>1549</v>
      </c>
      <c r="Q69" s="1597">
        <f ca="1">C39</f>
        <v>0</v>
      </c>
      <c r="R69" s="1597" t="s">
        <v>1494</v>
      </c>
    </row>
    <row r="70" spans="1:18" s="1561" customFormat="1" ht="13.8" thickBot="1">
      <c r="A70" s="1079"/>
      <c r="B70" s="1080"/>
      <c r="C70" s="316"/>
      <c r="D70" s="1091"/>
      <c r="E70" s="1075" t="s">
        <v>1442</v>
      </c>
      <c r="F70" s="1179">
        <f ca="1">F42</f>
        <v>0</v>
      </c>
      <c r="O70" s="1605" t="s">
        <v>1017</v>
      </c>
      <c r="P70" s="1644" t="s">
        <v>1550</v>
      </c>
      <c r="Q70" s="1597">
        <f ca="1">C13</f>
        <v>0</v>
      </c>
      <c r="R70" s="1597" t="s">
        <v>1494</v>
      </c>
    </row>
    <row r="71" spans="1:18" s="1561" customFormat="1" ht="13.8"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8" thickBot="1">
      <c r="B72" s="735"/>
      <c r="C72" s="735"/>
      <c r="O72" s="1605" t="s">
        <v>1012</v>
      </c>
      <c r="P72" s="1596" t="s">
        <v>1529</v>
      </c>
      <c r="Q72" s="1608">
        <f>L52</f>
        <v>0</v>
      </c>
      <c r="R72" s="1597"/>
    </row>
    <row r="73" spans="1:18" ht="16.2" thickBot="1">
      <c r="A73" s="1561"/>
      <c r="B73" s="735"/>
      <c r="C73" s="735"/>
      <c r="D73" s="1561"/>
      <c r="E73" s="1561"/>
      <c r="F73" s="1561"/>
      <c r="O73" s="1605" t="s">
        <v>1013</v>
      </c>
      <c r="P73" s="1596" t="s">
        <v>1532</v>
      </c>
      <c r="Q73" s="1597" t="e">
        <f ca="1">L58</f>
        <v>#DIV/0!</v>
      </c>
      <c r="R73" s="1597" t="s">
        <v>1533</v>
      </c>
    </row>
    <row r="74" spans="1:18" ht="13.8"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8"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0"/>
    </sheetView>
  </sheetViews>
  <sheetFormatPr defaultColWidth="9" defaultRowHeight="13.8"/>
  <cols>
    <col min="1" max="1" width="23.6640625" style="1655" customWidth="1"/>
    <col min="2" max="2" width="12" style="1655" customWidth="1"/>
    <col min="3" max="3" width="9" style="1655"/>
    <col min="4" max="4" width="14.109375" style="1655" customWidth="1"/>
    <col min="5" max="5" width="9" style="1655"/>
    <col min="6" max="6" width="12.88671875" style="1655" customWidth="1"/>
    <col min="7" max="16384" width="9" style="1655"/>
  </cols>
  <sheetData>
    <row r="1" spans="1:22" ht="21.6">
      <c r="A1" s="2045" t="s">
        <v>2341</v>
      </c>
      <c r="B1" s="2046"/>
      <c r="C1" s="2046"/>
      <c r="D1" s="2046"/>
      <c r="E1" s="2047"/>
      <c r="F1" s="2928"/>
      <c r="G1" s="1667"/>
      <c r="H1" s="1667"/>
      <c r="I1" s="1667"/>
      <c r="J1" s="1667"/>
      <c r="K1" s="1667"/>
      <c r="L1" s="1667"/>
      <c r="M1" s="1667"/>
      <c r="N1" s="1667"/>
      <c r="O1" s="1667"/>
      <c r="P1" s="1667"/>
      <c r="Q1" s="1667"/>
      <c r="R1" s="1667"/>
      <c r="S1" s="1667"/>
    </row>
    <row r="2" spans="1:22" ht="15.6">
      <c r="A2" s="2048" t="s">
        <v>2145</v>
      </c>
      <c r="B2" s="2049">
        <f ca="1">SUMIF(B6:B13,"&lt;&gt;#ref!",B6:B13)</f>
        <v>99387</v>
      </c>
      <c r="C2" s="2050" t="s">
        <v>2334</v>
      </c>
      <c r="D2" s="2051" t="s">
        <v>2335</v>
      </c>
      <c r="E2" s="2825">
        <f>SUM(E6:E13)</f>
        <v>103640.33</v>
      </c>
      <c r="F2" s="2928"/>
      <c r="G2" s="1667"/>
      <c r="H2" s="1667"/>
      <c r="I2" s="1667"/>
      <c r="J2" s="1667"/>
      <c r="K2" s="1667"/>
      <c r="L2" s="1667"/>
      <c r="M2" s="1667"/>
      <c r="N2" s="1667"/>
      <c r="O2" s="1667"/>
      <c r="P2" s="1667"/>
      <c r="Q2" s="1667"/>
      <c r="R2" s="1667"/>
      <c r="S2" s="1667"/>
    </row>
    <row r="3" spans="1:22" ht="15.6">
      <c r="A3" s="2048" t="s">
        <v>1360</v>
      </c>
      <c r="B3" s="2819">
        <f ca="1">ROUND(B2*10000/E2,0)</f>
        <v>9590</v>
      </c>
      <c r="C3" s="2050" t="s">
        <v>2342</v>
      </c>
      <c r="D3" s="2930"/>
      <c r="E3" s="2932"/>
      <c r="F3" s="2928"/>
      <c r="G3" s="1667"/>
      <c r="H3" s="1667"/>
      <c r="I3" s="1667"/>
      <c r="J3" s="1667"/>
      <c r="K3" s="1667"/>
      <c r="L3" s="1667"/>
      <c r="M3" s="1667"/>
      <c r="N3" s="1667"/>
      <c r="O3" s="1667"/>
      <c r="P3" s="1667"/>
      <c r="Q3" s="1667"/>
      <c r="R3" s="1667"/>
      <c r="S3" s="1667"/>
    </row>
    <row r="4" spans="1:22" ht="15.6">
      <c r="A4" s="2933"/>
      <c r="B4" s="2930"/>
      <c r="C4" s="2930"/>
      <c r="D4" s="2930"/>
      <c r="E4" s="2932"/>
      <c r="F4" s="2928"/>
      <c r="G4" s="1667"/>
      <c r="H4" s="1667"/>
      <c r="I4" s="1667"/>
      <c r="J4" s="1667"/>
      <c r="K4" s="1667"/>
      <c r="L4" s="1667"/>
      <c r="M4" s="1667"/>
      <c r="N4" s="1667"/>
      <c r="O4" s="1667"/>
      <c r="P4" s="1667"/>
      <c r="Q4" s="1667"/>
      <c r="R4" s="1667"/>
      <c r="S4" s="1667"/>
    </row>
    <row r="5" spans="1:22" ht="14.4">
      <c r="A5" s="2821" t="s">
        <v>2336</v>
      </c>
      <c r="B5" s="3335" t="s">
        <v>2337</v>
      </c>
      <c r="C5" s="3336"/>
      <c r="D5" s="2929"/>
      <c r="E5" s="2052" t="s">
        <v>2338</v>
      </c>
      <c r="F5" s="2053" t="s">
        <v>2339</v>
      </c>
      <c r="G5" s="1667"/>
      <c r="H5" s="1667"/>
      <c r="I5" s="1667"/>
      <c r="J5" s="1667"/>
      <c r="K5" s="1667"/>
      <c r="L5" s="1667"/>
      <c r="M5" s="1667"/>
      <c r="N5" s="1667"/>
      <c r="O5" s="1667"/>
      <c r="P5" s="1667"/>
      <c r="Q5" s="1667"/>
      <c r="R5" s="1667"/>
      <c r="S5" s="1667"/>
    </row>
    <row r="6" spans="1:22" ht="14.4">
      <c r="A6" s="2822">
        <f>'数据-取费表'!AN6</f>
        <v>0</v>
      </c>
      <c r="B6" s="2820" t="e">
        <f ca="1">IF(F6="是",'数据-取费表'!AO6,0)</f>
        <v>#REF!</v>
      </c>
      <c r="C6" s="2050" t="s">
        <v>2334</v>
      </c>
      <c r="D6" s="2930"/>
      <c r="E6" s="2824">
        <f>IF(OR(A6=0,F6="否"),0,'数据-取费表'!K6+'数据-取费表'!S6)</f>
        <v>0</v>
      </c>
      <c r="F6" s="2054" t="s">
        <v>2340</v>
      </c>
      <c r="G6" s="1667"/>
      <c r="H6" s="1667"/>
      <c r="I6" s="1667"/>
      <c r="J6" s="1667"/>
      <c r="K6" s="1667"/>
      <c r="L6" s="1667"/>
      <c r="M6" s="1667"/>
      <c r="N6" s="1667"/>
      <c r="O6" s="1667"/>
      <c r="P6" s="1667"/>
      <c r="Q6" s="1667"/>
      <c r="R6" s="1667"/>
      <c r="S6" s="1667"/>
    </row>
    <row r="7" spans="1:22" ht="14.4">
      <c r="A7" s="2822" t="str">
        <f>'数据-取费表'!AN7</f>
        <v>收益法-自持酒店</v>
      </c>
      <c r="B7" s="2820">
        <f ca="1">IF(F7="是",'数据-取费表'!AO7,0)</f>
        <v>30037</v>
      </c>
      <c r="C7" s="2050" t="s">
        <v>2334</v>
      </c>
      <c r="D7" s="2930"/>
      <c r="E7" s="2824">
        <f>IF(OR(A7=0,F7="否"),0,'数据-取费表'!K7+'数据-取费表'!S7)</f>
        <v>20035.38</v>
      </c>
      <c r="F7" s="2054" t="s">
        <v>2340</v>
      </c>
      <c r="G7" s="1667"/>
      <c r="H7" s="1667"/>
      <c r="I7" s="1667"/>
      <c r="J7" s="1667"/>
      <c r="K7" s="1667"/>
      <c r="L7" s="1667"/>
      <c r="M7" s="1667"/>
      <c r="N7" s="1667"/>
      <c r="O7" s="1667"/>
      <c r="P7" s="1667"/>
      <c r="Q7" s="1667"/>
      <c r="R7" s="1667"/>
      <c r="S7" s="1667"/>
    </row>
    <row r="8" spans="1:22" ht="14.4">
      <c r="A8" s="2822" t="str">
        <f>'数据-取费表'!AN8</f>
        <v>收益法-自持商业</v>
      </c>
      <c r="B8" s="2820">
        <f ca="1">IF(F8="是",'数据-取费表'!AO8,0)</f>
        <v>12889</v>
      </c>
      <c r="C8" s="2050" t="s">
        <v>2334</v>
      </c>
      <c r="D8" s="2930"/>
      <c r="E8" s="2824">
        <f>IF(OR(A8=0,F8="否"),0,'数据-取费表'!K8+'数据-取费表'!S8)</f>
        <v>7017.62</v>
      </c>
      <c r="F8" s="2054" t="s">
        <v>2340</v>
      </c>
      <c r="G8" s="1667"/>
      <c r="H8" s="1667"/>
      <c r="I8" s="1667"/>
      <c r="J8" s="1667"/>
      <c r="K8" s="1667"/>
      <c r="L8" s="1667"/>
      <c r="M8" s="1667"/>
      <c r="N8" s="1667"/>
      <c r="O8" s="1667"/>
      <c r="P8" s="1667"/>
      <c r="Q8" s="1667"/>
      <c r="R8" s="1667"/>
      <c r="S8" s="1667"/>
    </row>
    <row r="9" spans="1:22" ht="14.4">
      <c r="A9" s="2822" t="str">
        <f>'数据-取费表'!AN9</f>
        <v>收益法-可售商业</v>
      </c>
      <c r="B9" s="2820">
        <f ca="1">IF(F9="是",'数据-取费表'!AO9,0)</f>
        <v>44024</v>
      </c>
      <c r="C9" s="2050" t="s">
        <v>2334</v>
      </c>
      <c r="D9" s="2930"/>
      <c r="E9" s="2824">
        <f>IF(OR(A9=0,F9="否"),0,'数据-取费表'!K9+'数据-取费表'!S9)</f>
        <v>29345.239999999998</v>
      </c>
      <c r="F9" s="2054" t="s">
        <v>2340</v>
      </c>
      <c r="G9" s="1667"/>
      <c r="H9" s="1667"/>
      <c r="I9" s="1667"/>
      <c r="J9" s="1667"/>
      <c r="K9" s="1667"/>
      <c r="L9" s="1667"/>
      <c r="M9" s="1667"/>
      <c r="N9" s="1667"/>
      <c r="O9" s="1667"/>
      <c r="P9" s="1667"/>
      <c r="Q9" s="1667"/>
      <c r="R9" s="1667"/>
      <c r="S9" s="1667"/>
    </row>
    <row r="10" spans="1:22" ht="14.4">
      <c r="A10" s="2822" t="str">
        <f>'数据-取费表'!AN10</f>
        <v>收益法-车库</v>
      </c>
      <c r="B10" s="2820">
        <f ca="1">IF(F10="是",'数据-取费表'!AO10,0)</f>
        <v>12437</v>
      </c>
      <c r="C10" s="2050" t="s">
        <v>2334</v>
      </c>
      <c r="D10" s="2930"/>
      <c r="E10" s="2824">
        <f>IF(OR(A10=0,F10="否"),0,'数据-取费表'!K10+'数据-取费表'!S10)</f>
        <v>47242.090000000004</v>
      </c>
      <c r="F10" s="2054" t="s">
        <v>2340</v>
      </c>
      <c r="G10" s="1667"/>
      <c r="H10" s="1667"/>
      <c r="I10" s="1667"/>
      <c r="J10" s="1667"/>
      <c r="K10" s="1667"/>
      <c r="L10" s="1667"/>
      <c r="M10" s="1667"/>
      <c r="N10" s="1667"/>
      <c r="O10" s="1667"/>
      <c r="P10" s="1667"/>
      <c r="Q10" s="1667"/>
      <c r="R10" s="1667"/>
      <c r="S10" s="1667"/>
    </row>
    <row r="11" spans="1:22" ht="14.4">
      <c r="A11" s="2822">
        <f>'数据-取费表'!AN11</f>
        <v>0</v>
      </c>
      <c r="B11" s="2820" t="e">
        <f ca="1">IF(F11="是",'数据-取费表'!AO11,0)</f>
        <v>#REF!</v>
      </c>
      <c r="C11" s="2050" t="s">
        <v>2334</v>
      </c>
      <c r="D11" s="2930"/>
      <c r="E11" s="2824">
        <f>IF(OR(A11=0,F11="否"),0,'数据-取费表'!K11+'数据-取费表'!S11)</f>
        <v>0</v>
      </c>
      <c r="F11" s="2054" t="s">
        <v>2340</v>
      </c>
      <c r="G11" s="1667"/>
      <c r="H11" s="1667"/>
      <c r="I11" s="1667"/>
      <c r="J11" s="1667"/>
      <c r="K11" s="1667"/>
      <c r="L11" s="1667"/>
      <c r="M11" s="1667"/>
      <c r="N11" s="1667"/>
      <c r="O11" s="1667"/>
      <c r="P11" s="1667"/>
      <c r="Q11" s="1667"/>
      <c r="R11" s="1667"/>
      <c r="S11" s="1667"/>
    </row>
    <row r="12" spans="1:22" ht="14.4">
      <c r="A12" s="2822">
        <f>'数据-取费表'!AN12</f>
        <v>0</v>
      </c>
      <c r="B12" s="2820" t="e">
        <f ca="1">IF(F12="是",'数据-取费表'!AO12,0)</f>
        <v>#REF!</v>
      </c>
      <c r="C12" s="2050" t="s">
        <v>2334</v>
      </c>
      <c r="D12" s="2930"/>
      <c r="E12" s="2824">
        <f>IF(OR(A12=0,F12="否"),0,'数据-取费表'!K12+'数据-取费表'!S12)</f>
        <v>0</v>
      </c>
      <c r="F12" s="2054" t="s">
        <v>2340</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2334</v>
      </c>
      <c r="D13" s="2931"/>
      <c r="E13" s="2824">
        <f>IF(OR(A13=0,F13="否"),0,'数据-取费表'!K13+'数据-取费表'!S13)</f>
        <v>0</v>
      </c>
      <c r="F13" s="2054" t="s">
        <v>2340</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0"/>
    </sheetView>
  </sheetViews>
  <sheetFormatPr defaultRowHeight="14.4"/>
  <cols>
    <col min="1" max="1" width="10.44140625" customWidth="1"/>
    <col min="2" max="2" width="12.88671875" customWidth="1"/>
    <col min="3" max="3" width="8.77734375" customWidth="1"/>
  </cols>
  <sheetData>
    <row r="1" spans="1:9" ht="15.6">
      <c r="A1" s="3353" t="s">
        <v>1044</v>
      </c>
      <c r="B1" s="3354"/>
      <c r="C1" s="3355"/>
      <c r="D1" s="3356">
        <f>SUM(I10,I15,I20,I21,I23)</f>
        <v>0</v>
      </c>
      <c r="E1" s="3356"/>
      <c r="F1" s="3356"/>
      <c r="G1" s="3356"/>
      <c r="H1" s="3356"/>
      <c r="I1" s="3357"/>
    </row>
    <row r="2" spans="1:9">
      <c r="A2" s="3343" t="s">
        <v>1045</v>
      </c>
      <c r="B2" s="3344" t="s">
        <v>1046</v>
      </c>
      <c r="C2" s="3344"/>
      <c r="D2" s="1205" t="s">
        <v>1047</v>
      </c>
      <c r="E2" s="1205" t="s">
        <v>1048</v>
      </c>
      <c r="F2" s="1205" t="s">
        <v>1049</v>
      </c>
      <c r="G2" s="1205" t="s">
        <v>1050</v>
      </c>
      <c r="H2" s="1205" t="s">
        <v>1051</v>
      </c>
      <c r="I2" s="1206" t="s">
        <v>1052</v>
      </c>
    </row>
    <row r="3" spans="1:9">
      <c r="A3" s="3343"/>
      <c r="B3" s="3344" t="s">
        <v>1053</v>
      </c>
      <c r="C3" s="3344"/>
      <c r="D3" s="1207"/>
      <c r="E3" s="1205"/>
      <c r="F3" s="1208"/>
      <c r="G3" s="1208"/>
      <c r="H3" s="1209"/>
      <c r="I3" s="1210">
        <f>ROUND(D3*E3*F3*G3*H3/10000,0)</f>
        <v>0</v>
      </c>
    </row>
    <row r="4" spans="1:9">
      <c r="A4" s="3343"/>
      <c r="B4" s="3344" t="s">
        <v>1054</v>
      </c>
      <c r="C4" s="3344"/>
      <c r="D4" s="1207"/>
      <c r="E4" s="1205"/>
      <c r="F4" s="1208"/>
      <c r="G4" s="1208"/>
      <c r="H4" s="1209"/>
      <c r="I4" s="1210">
        <f t="shared" ref="I4:I9" si="0">ROUND(D4*E4*F4*G4*H4/10000,0)</f>
        <v>0</v>
      </c>
    </row>
    <row r="5" spans="1:9">
      <c r="A5" s="3343"/>
      <c r="B5" s="3344" t="s">
        <v>1055</v>
      </c>
      <c r="C5" s="3344"/>
      <c r="D5" s="1207"/>
      <c r="E5" s="1205"/>
      <c r="F5" s="1208"/>
      <c r="G5" s="1208"/>
      <c r="H5" s="1209"/>
      <c r="I5" s="1210">
        <f t="shared" si="0"/>
        <v>0</v>
      </c>
    </row>
    <row r="6" spans="1:9">
      <c r="A6" s="3343"/>
      <c r="B6" s="3344" t="s">
        <v>1056</v>
      </c>
      <c r="C6" s="3344"/>
      <c r="D6" s="1207"/>
      <c r="E6" s="1205"/>
      <c r="F6" s="1208"/>
      <c r="G6" s="1208"/>
      <c r="H6" s="1209"/>
      <c r="I6" s="1210">
        <f t="shared" si="0"/>
        <v>0</v>
      </c>
    </row>
    <row r="7" spans="1:9">
      <c r="A7" s="3343"/>
      <c r="B7" s="3344" t="s">
        <v>1057</v>
      </c>
      <c r="C7" s="3344"/>
      <c r="D7" s="1207"/>
      <c r="E7" s="1205"/>
      <c r="F7" s="1208"/>
      <c r="G7" s="1208"/>
      <c r="H7" s="1209"/>
      <c r="I7" s="1210">
        <f t="shared" si="0"/>
        <v>0</v>
      </c>
    </row>
    <row r="8" spans="1:9">
      <c r="A8" s="3343"/>
      <c r="B8" s="3344" t="s">
        <v>1058</v>
      </c>
      <c r="C8" s="3344"/>
      <c r="D8" s="1207"/>
      <c r="E8" s="1205"/>
      <c r="F8" s="1208"/>
      <c r="G8" s="1208"/>
      <c r="H8" s="1209"/>
      <c r="I8" s="1210">
        <f t="shared" si="0"/>
        <v>0</v>
      </c>
    </row>
    <row r="9" spans="1:9">
      <c r="A9" s="3343"/>
      <c r="B9" s="3344" t="s">
        <v>1059</v>
      </c>
      <c r="C9" s="3344"/>
      <c r="D9" s="1207"/>
      <c r="E9" s="1205"/>
      <c r="F9" s="1208"/>
      <c r="G9" s="1208"/>
      <c r="H9" s="1209"/>
      <c r="I9" s="1210">
        <f t="shared" si="0"/>
        <v>0</v>
      </c>
    </row>
    <row r="10" spans="1:9">
      <c r="A10" s="3343"/>
      <c r="B10" s="3345" t="s">
        <v>1060</v>
      </c>
      <c r="C10" s="3345"/>
      <c r="D10" s="1211"/>
      <c r="E10" s="1211" t="e">
        <f>ROUND(D1*10000/D10/H9,0)</f>
        <v>#DIV/0!</v>
      </c>
      <c r="F10" s="1212"/>
      <c r="G10" s="1212"/>
      <c r="H10" s="1213"/>
      <c r="I10" s="1214">
        <f>SUM(I3:I9)</f>
        <v>0</v>
      </c>
    </row>
    <row r="11" spans="1:9" ht="15.6">
      <c r="A11" s="3343" t="s">
        <v>1061</v>
      </c>
      <c r="B11" s="3344" t="s">
        <v>1062</v>
      </c>
      <c r="C11" s="3344"/>
      <c r="D11" s="1207" t="s">
        <v>1063</v>
      </c>
      <c r="E11" s="1207" t="s">
        <v>1064</v>
      </c>
      <c r="F11" s="1208" t="s">
        <v>1065</v>
      </c>
      <c r="G11" s="1208" t="s">
        <v>1051</v>
      </c>
      <c r="H11" s="1215" t="s">
        <v>1066</v>
      </c>
      <c r="I11" s="1206" t="s">
        <v>1052</v>
      </c>
    </row>
    <row r="12" spans="1:9">
      <c r="A12" s="3343"/>
      <c r="B12" s="3344" t="s">
        <v>1067</v>
      </c>
      <c r="C12" s="3344"/>
      <c r="D12" s="1207"/>
      <c r="E12" s="1207"/>
      <c r="F12" s="1208"/>
      <c r="G12" s="1209"/>
      <c r="H12" s="1216"/>
      <c r="I12" s="1206">
        <f>ROUND(D12*E12*F12*G12/10000,0)</f>
        <v>0</v>
      </c>
    </row>
    <row r="13" spans="1:9">
      <c r="A13" s="3343"/>
      <c r="B13" s="3344" t="s">
        <v>1068</v>
      </c>
      <c r="C13" s="3344"/>
      <c r="D13" s="1207"/>
      <c r="E13" s="1207"/>
      <c r="F13" s="1208"/>
      <c r="G13" s="1209"/>
      <c r="H13" s="1216"/>
      <c r="I13" s="1206">
        <f>ROUND(D13*E13*F13*G13/10000,0)</f>
        <v>0</v>
      </c>
    </row>
    <row r="14" spans="1:9">
      <c r="A14" s="3343"/>
      <c r="B14" s="3344" t="s">
        <v>1069</v>
      </c>
      <c r="C14" s="3344"/>
      <c r="D14" s="1207"/>
      <c r="E14" s="1207"/>
      <c r="F14" s="1208"/>
      <c r="G14" s="1209"/>
      <c r="H14" s="1216"/>
      <c r="I14" s="1206">
        <f>ROUND(D14*E14*F14*G14/10000,0)</f>
        <v>0</v>
      </c>
    </row>
    <row r="15" spans="1:9">
      <c r="A15" s="3343"/>
      <c r="B15" s="3345" t="s">
        <v>1060</v>
      </c>
      <c r="C15" s="3345"/>
      <c r="D15" s="1211"/>
      <c r="E15" s="1211">
        <f>SUM(E12:E14)</f>
        <v>0</v>
      </c>
      <c r="F15" s="1212"/>
      <c r="G15" s="1209"/>
      <c r="H15" s="1216"/>
      <c r="I15" s="1217">
        <f>SUM(I12:I14)</f>
        <v>0</v>
      </c>
    </row>
    <row r="16" spans="1:9" ht="24">
      <c r="A16" s="3343" t="s">
        <v>1070</v>
      </c>
      <c r="B16" s="3344" t="s">
        <v>1071</v>
      </c>
      <c r="C16" s="3344"/>
      <c r="D16" s="1207" t="s">
        <v>1047</v>
      </c>
      <c r="E16" s="1218" t="s">
        <v>1072</v>
      </c>
      <c r="F16" s="1208" t="s">
        <v>1073</v>
      </c>
      <c r="G16" s="1209" t="s">
        <v>1051</v>
      </c>
      <c r="H16" s="1215" t="s">
        <v>1066</v>
      </c>
      <c r="I16" s="1206" t="s">
        <v>1052</v>
      </c>
    </row>
    <row r="17" spans="1:9" ht="15.6">
      <c r="A17" s="3343"/>
      <c r="B17" s="3344" t="s">
        <v>1074</v>
      </c>
      <c r="C17" s="3344"/>
      <c r="D17" s="1207"/>
      <c r="E17" s="1207"/>
      <c r="F17" s="1208"/>
      <c r="G17" s="1209"/>
      <c r="H17" s="1219"/>
      <c r="I17" s="1220">
        <f>ROUND(D17*E17*F17*G17/10000,0)</f>
        <v>0</v>
      </c>
    </row>
    <row r="18" spans="1:9" ht="15.6">
      <c r="A18" s="3343"/>
      <c r="B18" s="3344" t="s">
        <v>1075</v>
      </c>
      <c r="C18" s="3344"/>
      <c r="D18" s="1207"/>
      <c r="E18" s="1207"/>
      <c r="F18" s="1208"/>
      <c r="G18" s="1209"/>
      <c r="H18" s="1219"/>
      <c r="I18" s="1220">
        <f>ROUND(D18*E18*F18*G18/10000,0)</f>
        <v>0</v>
      </c>
    </row>
    <row r="19" spans="1:9" ht="15.6">
      <c r="A19" s="3343"/>
      <c r="B19" s="3344" t="s">
        <v>1076</v>
      </c>
      <c r="C19" s="3344"/>
      <c r="D19" s="1207"/>
      <c r="E19" s="1207"/>
      <c r="F19" s="1208"/>
      <c r="G19" s="1209"/>
      <c r="H19" s="1219"/>
      <c r="I19" s="1220">
        <f>ROUND(D19*E19*F19*G19/10000,0)</f>
        <v>0</v>
      </c>
    </row>
    <row r="20" spans="1:9">
      <c r="A20" s="3343"/>
      <c r="B20" s="3345" t="s">
        <v>1060</v>
      </c>
      <c r="C20" s="3345"/>
      <c r="D20" s="1211">
        <f>SUM(D17:D19)</f>
        <v>0</v>
      </c>
      <c r="E20" s="1211"/>
      <c r="F20" s="1212"/>
      <c r="G20" s="1209"/>
      <c r="H20" s="1216"/>
      <c r="I20" s="1217">
        <f>SUM(I17:I19)</f>
        <v>0</v>
      </c>
    </row>
    <row r="21" spans="1:9">
      <c r="A21" s="3343" t="s">
        <v>1077</v>
      </c>
      <c r="B21" s="3346"/>
      <c r="C21" s="3346"/>
      <c r="D21" s="3346"/>
      <c r="E21" s="3346"/>
      <c r="F21" s="3346"/>
      <c r="G21" s="3346"/>
      <c r="H21" s="1495">
        <v>0.1</v>
      </c>
      <c r="I21" s="1214">
        <f>ROUND(I10*H21,0)</f>
        <v>0</v>
      </c>
    </row>
    <row r="22" spans="1:9" ht="15.6">
      <c r="A22" s="3347" t="s">
        <v>1078</v>
      </c>
      <c r="B22" s="3348"/>
      <c r="C22" s="3349"/>
      <c r="D22" s="1221" t="s">
        <v>1079</v>
      </c>
      <c r="E22" s="1221" t="s">
        <v>1080</v>
      </c>
      <c r="F22" s="1222" t="s">
        <v>1081</v>
      </c>
      <c r="G22" s="1222" t="s">
        <v>1082</v>
      </c>
      <c r="H22" s="1215" t="s">
        <v>1083</v>
      </c>
      <c r="I22" s="1206" t="s">
        <v>1084</v>
      </c>
    </row>
    <row r="23" spans="1:9" ht="15" thickBot="1">
      <c r="A23" s="3350"/>
      <c r="B23" s="3351"/>
      <c r="C23" s="3352"/>
      <c r="D23" s="1223"/>
      <c r="E23" s="1223"/>
      <c r="F23" s="1223"/>
      <c r="G23" s="1224"/>
      <c r="H23" s="1225"/>
      <c r="I23" s="1226">
        <f>ROUND(E23*D23*F23*(1-G23)/10000,0)</f>
        <v>0</v>
      </c>
    </row>
    <row r="26" spans="1:9">
      <c r="A26" s="1227" t="s">
        <v>1085</v>
      </c>
      <c r="B26" s="1227"/>
      <c r="C26" s="1227"/>
      <c r="D26" s="1227"/>
      <c r="E26" s="3340">
        <f>C27-C30-C31-C32</f>
        <v>0</v>
      </c>
      <c r="F26" s="3340"/>
      <c r="G26" s="3340"/>
      <c r="H26" s="1492" t="s">
        <v>1306</v>
      </c>
    </row>
    <row r="27" spans="1:9">
      <c r="A27" s="1228">
        <v>1</v>
      </c>
      <c r="B27" s="1229" t="s">
        <v>1086</v>
      </c>
      <c r="C27" s="1229">
        <f>C28+C29</f>
        <v>0</v>
      </c>
      <c r="D27" s="1229"/>
      <c r="E27" s="3341"/>
      <c r="F27" s="3341"/>
      <c r="G27" s="3341"/>
    </row>
    <row r="28" spans="1:9">
      <c r="A28" s="1230" t="s">
        <v>1087</v>
      </c>
      <c r="B28" s="1229" t="s">
        <v>1088</v>
      </c>
      <c r="C28" s="1229"/>
      <c r="D28" s="1229"/>
      <c r="E28" s="3341"/>
      <c r="F28" s="3341"/>
      <c r="G28" s="3341"/>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42"/>
      <c r="F32" s="3342"/>
      <c r="G32" s="3342"/>
    </row>
    <row r="33" spans="1:7" hidden="1">
      <c r="A33" s="3337" t="s">
        <v>1097</v>
      </c>
      <c r="B33" s="3338"/>
      <c r="C33" s="3338"/>
      <c r="D33" s="3339"/>
      <c r="E33" s="3340"/>
      <c r="F33" s="3340"/>
      <c r="G33" s="3340"/>
    </row>
    <row r="34" spans="1:7" hidden="1">
      <c r="A34" s="1232">
        <v>1</v>
      </c>
      <c r="B34" s="1229" t="s">
        <v>1098</v>
      </c>
      <c r="C34" s="1229"/>
      <c r="D34" s="1229"/>
      <c r="E34" s="3341"/>
      <c r="F34" s="3341"/>
      <c r="G34" s="3341"/>
    </row>
    <row r="35" spans="1:7" hidden="1">
      <c r="A35" s="1232">
        <v>2</v>
      </c>
      <c r="B35" s="1229" t="s">
        <v>1099</v>
      </c>
      <c r="C35" s="1229"/>
      <c r="D35" s="1229"/>
      <c r="E35" s="3341"/>
      <c r="F35" s="3341"/>
      <c r="G35" s="3341"/>
    </row>
    <row r="36" spans="1:7" hidden="1">
      <c r="A36" s="1232">
        <v>3</v>
      </c>
      <c r="B36" s="1229" t="s">
        <v>1100</v>
      </c>
      <c r="C36" s="1229"/>
      <c r="D36" s="1229"/>
      <c r="E36" s="3341"/>
      <c r="F36" s="3341"/>
      <c r="G36" s="3341"/>
    </row>
    <row r="37" spans="1:7" hidden="1">
      <c r="A37" s="1232">
        <v>4</v>
      </c>
      <c r="B37" s="1229" t="s">
        <v>1101</v>
      </c>
      <c r="C37" s="1229"/>
      <c r="D37" s="1229"/>
      <c r="E37" s="3341"/>
      <c r="F37" s="3341"/>
      <c r="G37" s="3341"/>
    </row>
    <row r="38" spans="1:7" hidden="1">
      <c r="A38" s="3337" t="s">
        <v>1102</v>
      </c>
      <c r="B38" s="3338"/>
      <c r="C38" s="3338"/>
      <c r="D38" s="3339"/>
      <c r="E38" s="3340"/>
      <c r="F38" s="3340"/>
      <c r="G38" s="33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5" customWidth="1"/>
    <col min="2" max="16384" width="9" style="1655"/>
  </cols>
  <sheetData>
    <row r="1" spans="1:1" ht="22.8">
      <c r="A1" s="1654" t="s">
        <v>1576</v>
      </c>
    </row>
    <row r="2" spans="1:1">
      <c r="A2" s="1656"/>
    </row>
    <row r="3" spans="1:1" ht="17.399999999999999">
      <c r="A3" s="1657" t="str">
        <f>项目基本情况!B5&amp;"："</f>
        <v>：</v>
      </c>
    </row>
    <row r="4" spans="1:1" ht="17.399999999999999">
      <c r="A4" s="1658" t="str">
        <f>"受贵公司委托，我公司对"&amp;项目基本情况!S1&amp;"进行了预评估。"</f>
        <v>受贵公司委托，我公司对北京市房地产抵押价值进行了预评估。</v>
      </c>
    </row>
    <row r="5" spans="1:1" ht="17.399999999999999">
      <c r="A5" s="1659" t="s">
        <v>1577</v>
      </c>
    </row>
    <row r="6" spans="1:1" ht="17.399999999999999">
      <c r="A6" s="1660" t="s">
        <v>1578</v>
      </c>
    </row>
    <row r="7" spans="1:1" ht="52.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估价对象为北京市房地产，为所有。根据《国有土地使用证》[]，估价对象（分摊）出让国有建设用地使用权面积为27615.81平方米，建筑面积为183777.08平方米。</v>
      </c>
    </row>
    <row r="8" spans="1:1" ht="54.6">
      <c r="A8" s="1661" t="s">
        <v>1579</v>
      </c>
    </row>
    <row r="9" spans="1:1" ht="17.399999999999999">
      <c r="A9" s="1660" t="s">
        <v>1580</v>
      </c>
    </row>
    <row r="10" spans="1:1" ht="52.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估价对象为北京市房地产,属开发建设的商业项目，该项目尚在开发建设中。根据《国有土地使用证》[]，估价对象（分摊）出让国有建设用地使用权面积为27615.81平方米，规划建筑面积为183777.08平方米。</v>
      </c>
    </row>
    <row r="11" spans="1:1" ht="72">
      <c r="A11" s="1661" t="s">
        <v>1581</v>
      </c>
    </row>
    <row r="12" spans="1:1" ht="17.399999999999999">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3" t="s">
        <v>1583</v>
      </c>
    </row>
    <row r="15" spans="1:1" ht="17.399999999999999">
      <c r="A15" s="1664" t="str">
        <f>TEXT(项目基本情况!D3,"yyyy年m月d日;;")&amp;IF(项目基本情况!D3=项目基本情况!B3,"（评估专业人员实地查勘之日）","")</f>
        <v>2021年7月20日（评估专业人员实地查勘之日）</v>
      </c>
    </row>
    <row r="16" spans="1:1" ht="17.399999999999999">
      <c r="A16" s="1663" t="s">
        <v>1584</v>
      </c>
    </row>
    <row r="17" spans="1:1" ht="69.599999999999994">
      <c r="A17" s="1658" t="s">
        <v>1585</v>
      </c>
    </row>
    <row r="18" spans="1:1" ht="69.59999999999999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3" t="s">
        <v>1574</v>
      </c>
    </row>
    <row r="24" spans="1:1" ht="17.399999999999999">
      <c r="A24" s="1665" t="str">
        <f>"本次评估采用的主估价方法为"&amp;结果表!K4&amp;"和"&amp;结果表!L4&amp;"。"</f>
        <v>本次评估采用的主估价方法为成本法和假设开发法。</v>
      </c>
    </row>
    <row r="25" spans="1:1" ht="17.399999999999999">
      <c r="A25" s="1665"/>
    </row>
    <row r="26" spans="1:1" ht="17.399999999999999">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2343</v>
      </c>
      <c r="B1" s="2056" t="s">
        <v>2344</v>
      </c>
      <c r="C1" s="1399" t="s">
        <v>2345</v>
      </c>
      <c r="D1" s="1386"/>
      <c r="E1" s="2536"/>
      <c r="F1" s="2057" t="s">
        <v>2346</v>
      </c>
      <c r="G1" s="1396" t="s">
        <v>2347</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2348</v>
      </c>
      <c r="F2" s="2061"/>
      <c r="G2" s="1032"/>
      <c r="H2" s="1032"/>
      <c r="I2" s="1032"/>
      <c r="J2" s="1032"/>
      <c r="K2" s="2062"/>
      <c r="L2" s="2934"/>
      <c r="M2" s="2935"/>
      <c r="N2" s="2935"/>
      <c r="O2" s="2935"/>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2349</v>
      </c>
      <c r="D3" s="359">
        <f>IF(D1="",'数据-汇总表'!E3,SUMIF('数据-汇总表'!$C19:$C33,D1,'数据-汇总表'!$E19:$E33))</f>
        <v>183777.08000000002</v>
      </c>
      <c r="E3" s="1032"/>
      <c r="F3" s="2066"/>
      <c r="G3" s="1032"/>
      <c r="H3" s="1032"/>
      <c r="I3" s="1032"/>
      <c r="J3" s="1032"/>
      <c r="K3" s="2062"/>
      <c r="L3" s="2934"/>
      <c r="M3" s="2935"/>
      <c r="N3" s="2935"/>
      <c r="O3" s="2935"/>
      <c r="P3" s="2063"/>
      <c r="Q3" s="2064"/>
      <c r="R3" s="2064"/>
      <c r="S3" s="2064"/>
      <c r="T3" s="2064"/>
      <c r="U3" s="2064"/>
      <c r="V3" s="2064"/>
      <c r="W3" s="2064"/>
      <c r="X3" s="2064"/>
      <c r="Y3" s="2064"/>
      <c r="Z3" s="2064"/>
      <c r="AA3" s="2064"/>
      <c r="AB3" s="2064"/>
      <c r="AC3" s="1186"/>
    </row>
    <row r="4" spans="1:29" ht="14.4">
      <c r="A4" s="361" t="s">
        <v>2350</v>
      </c>
      <c r="B4" s="362"/>
      <c r="C4" s="3287" t="s">
        <v>2351</v>
      </c>
      <c r="D4" s="3300"/>
      <c r="E4" s="3301" t="s">
        <v>2352</v>
      </c>
      <c r="F4" s="3302"/>
      <c r="G4" s="3287" t="s">
        <v>2353</v>
      </c>
      <c r="H4" s="3300"/>
      <c r="I4" s="3287" t="s">
        <v>2354</v>
      </c>
      <c r="J4" s="3300"/>
      <c r="K4" s="2067" t="s">
        <v>2355</v>
      </c>
      <c r="L4" s="2936"/>
      <c r="M4" s="2937"/>
      <c r="N4" s="2937"/>
      <c r="O4" s="2937"/>
      <c r="P4" s="3303" t="s">
        <v>2356</v>
      </c>
      <c r="Q4" s="3304"/>
      <c r="R4" s="3309" t="s">
        <v>2352</v>
      </c>
      <c r="S4" s="3310"/>
      <c r="T4" s="3309" t="s">
        <v>2353</v>
      </c>
      <c r="U4" s="3310"/>
      <c r="V4" s="3296" t="s">
        <v>2354</v>
      </c>
      <c r="W4" s="3296"/>
      <c r="X4" s="1532"/>
      <c r="Y4" s="3309" t="s">
        <v>2356</v>
      </c>
      <c r="Z4" s="3310"/>
      <c r="AA4" s="3297" t="s">
        <v>2352</v>
      </c>
      <c r="AB4" s="3297" t="s">
        <v>2353</v>
      </c>
      <c r="AC4" s="3297" t="s">
        <v>2354</v>
      </c>
    </row>
    <row r="5" spans="1:29">
      <c r="A5" s="364"/>
      <c r="B5" s="365"/>
      <c r="C5" s="3317" t="s">
        <v>2357</v>
      </c>
      <c r="D5" s="3318"/>
      <c r="E5" s="3325" t="s">
        <v>2358</v>
      </c>
      <c r="F5" s="3326"/>
      <c r="G5" s="3317" t="s">
        <v>2359</v>
      </c>
      <c r="H5" s="3318"/>
      <c r="I5" s="3317" t="s">
        <v>2360</v>
      </c>
      <c r="J5" s="3318"/>
      <c r="K5" s="2068"/>
      <c r="L5" s="2936"/>
      <c r="M5" s="2937"/>
      <c r="N5" s="2937"/>
      <c r="O5" s="2937"/>
      <c r="P5" s="3305"/>
      <c r="Q5" s="3306"/>
      <c r="R5" s="3311"/>
      <c r="S5" s="3312"/>
      <c r="T5" s="3311"/>
      <c r="U5" s="3312"/>
      <c r="V5" s="3296"/>
      <c r="W5" s="3296"/>
      <c r="X5" s="1532"/>
      <c r="Y5" s="3311"/>
      <c r="Z5" s="3312"/>
      <c r="AA5" s="3298"/>
      <c r="AB5" s="3298"/>
      <c r="AC5" s="3298"/>
    </row>
    <row r="6" spans="1:29" ht="15" thickBot="1">
      <c r="A6" s="366"/>
      <c r="B6" s="367"/>
      <c r="C6" s="3315" t="s">
        <v>2361</v>
      </c>
      <c r="D6" s="3316"/>
      <c r="E6" s="3323" t="s">
        <v>2361</v>
      </c>
      <c r="F6" s="3324"/>
      <c r="G6" s="3315" t="s">
        <v>2361</v>
      </c>
      <c r="H6" s="3316"/>
      <c r="I6" s="3315" t="s">
        <v>2361</v>
      </c>
      <c r="J6" s="3316"/>
      <c r="K6" s="2068" t="s">
        <v>2362</v>
      </c>
      <c r="L6" s="2936"/>
      <c r="M6" s="2937"/>
      <c r="N6" s="2937"/>
      <c r="O6" s="2937"/>
      <c r="P6" s="3307"/>
      <c r="Q6" s="3308"/>
      <c r="R6" s="3311"/>
      <c r="S6" s="3312"/>
      <c r="T6" s="3313"/>
      <c r="U6" s="3314"/>
      <c r="V6" s="3296"/>
      <c r="W6" s="3296"/>
      <c r="X6" s="1532"/>
      <c r="Y6" s="3313"/>
      <c r="Z6" s="3314"/>
      <c r="AA6" s="3299"/>
      <c r="AB6" s="3299"/>
      <c r="AC6" s="3299"/>
    </row>
    <row r="7" spans="1:29" s="113" customFormat="1" ht="1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2069"/>
      <c r="L7" s="2938"/>
      <c r="M7" s="2939"/>
      <c r="N7" s="2939"/>
      <c r="O7" s="2939"/>
      <c r="P7" s="3319" t="s">
        <v>2364</v>
      </c>
      <c r="Q7" s="3321"/>
      <c r="R7" s="710" t="s">
        <v>23</v>
      </c>
      <c r="S7" s="711">
        <f t="shared" ref="S7:S15" si="0">F7</f>
        <v>0</v>
      </c>
      <c r="T7" s="710" t="s">
        <v>23</v>
      </c>
      <c r="U7" s="711">
        <f t="shared" ref="U7:U15" si="1">H7</f>
        <v>0</v>
      </c>
      <c r="V7" s="710" t="s">
        <v>23</v>
      </c>
      <c r="W7" s="711">
        <f t="shared" ref="W7:W15" si="2">J7</f>
        <v>0</v>
      </c>
      <c r="X7" s="712"/>
      <c r="Y7" s="3319" t="s">
        <v>2364</v>
      </c>
      <c r="Z7" s="3320"/>
      <c r="AA7" s="713" t="e">
        <f>D7/F7</f>
        <v>#DIV/0!</v>
      </c>
      <c r="AB7" s="713" t="e">
        <f>D7/H7</f>
        <v>#DIV/0!</v>
      </c>
      <c r="AC7" s="713" t="e">
        <f>D7/J7</f>
        <v>#DIV/0!</v>
      </c>
    </row>
    <row r="8" spans="1:29" s="113" customFormat="1" ht="15" thickBot="1">
      <c r="A8" s="368" t="s">
        <v>2365</v>
      </c>
      <c r="B8" s="369"/>
      <c r="C8" s="374" t="s">
        <v>2366</v>
      </c>
      <c r="D8" s="371">
        <v>100</v>
      </c>
      <c r="E8" s="2070"/>
      <c r="F8" s="373">
        <f>SUMIF(61:61,E8,62:62)-SUMIF(61:61,C8,62:62)+100</f>
        <v>0</v>
      </c>
      <c r="G8" s="374"/>
      <c r="H8" s="371">
        <f>SUMIF(61:61,G8,62:62)-SUMIF(61:61,C8,62:62)+100</f>
        <v>0</v>
      </c>
      <c r="I8" s="2070"/>
      <c r="J8" s="371">
        <f>SUMIF(61:61,I8,62:62)-SUMIF(61:61,C8,62:62)+100</f>
        <v>0</v>
      </c>
      <c r="K8" s="2069"/>
      <c r="L8" s="2938"/>
      <c r="M8" s="2939"/>
      <c r="N8" s="2939"/>
      <c r="O8" s="2939"/>
      <c r="P8" s="3319" t="s">
        <v>2367</v>
      </c>
      <c r="Q8" s="3320"/>
      <c r="R8" s="710" t="s">
        <v>23</v>
      </c>
      <c r="S8" s="711">
        <f t="shared" si="0"/>
        <v>0</v>
      </c>
      <c r="T8" s="710" t="s">
        <v>23</v>
      </c>
      <c r="U8" s="711">
        <f t="shared" si="1"/>
        <v>0</v>
      </c>
      <c r="V8" s="710" t="s">
        <v>23</v>
      </c>
      <c r="W8" s="711">
        <f t="shared" si="2"/>
        <v>0</v>
      </c>
      <c r="X8" s="712"/>
      <c r="Y8" s="3319" t="s">
        <v>2367</v>
      </c>
      <c r="Z8" s="3320"/>
      <c r="AA8" s="713" t="e">
        <f t="shared" ref="AA8:AA19" si="3">D8/F8</f>
        <v>#DIV/0!</v>
      </c>
      <c r="AB8" s="713" t="e">
        <f t="shared" ref="AB8:AB19" si="4">D8/H8</f>
        <v>#DIV/0!</v>
      </c>
      <c r="AC8" s="713" t="e">
        <f t="shared" ref="AC8:AC19" si="5">D8/J8</f>
        <v>#DIV/0!</v>
      </c>
    </row>
    <row r="9" spans="1:29" s="113" customFormat="1" ht="14.4">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69"/>
      <c r="L9" s="2938"/>
      <c r="M9" s="2939"/>
      <c r="N9" s="2939"/>
      <c r="O9" s="2939"/>
      <c r="P9" s="3289"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289"/>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289"/>
      <c r="Q11" s="1520" t="str">
        <f t="shared" si="6"/>
        <v>容积率</v>
      </c>
      <c r="R11" s="710" t="s">
        <v>21</v>
      </c>
      <c r="S11" s="711" t="e">
        <f t="shared" si="0"/>
        <v>#N/A</v>
      </c>
      <c r="T11" s="710" t="s">
        <v>21</v>
      </c>
      <c r="U11" s="711" t="e">
        <f t="shared" si="1"/>
        <v>#N/A</v>
      </c>
      <c r="V11" s="710" t="s">
        <v>21</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8"/>
      <c r="M12" s="2939"/>
      <c r="N12" s="2939"/>
      <c r="O12" s="2939"/>
      <c r="P12" s="3289"/>
      <c r="Q12" s="1520">
        <f t="shared" si="6"/>
        <v>111</v>
      </c>
      <c r="R12" s="710" t="s">
        <v>21</v>
      </c>
      <c r="S12" s="711">
        <f t="shared" si="0"/>
        <v>100</v>
      </c>
      <c r="T12" s="710" t="s">
        <v>21</v>
      </c>
      <c r="U12" s="711">
        <f t="shared" si="1"/>
        <v>100</v>
      </c>
      <c r="V12" s="710" t="s">
        <v>21</v>
      </c>
      <c r="W12" s="711">
        <f t="shared" si="2"/>
        <v>100</v>
      </c>
      <c r="X12" s="712"/>
      <c r="Y12" s="318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3"/>
      <c r="M13" s="2937"/>
      <c r="N13" s="2937"/>
      <c r="O13" s="2937"/>
      <c r="P13" s="3289"/>
      <c r="Q13" s="1520">
        <f t="shared" si="6"/>
        <v>111</v>
      </c>
      <c r="R13" s="710" t="s">
        <v>21</v>
      </c>
      <c r="S13" s="711">
        <f t="shared" si="0"/>
        <v>100</v>
      </c>
      <c r="T13" s="710" t="s">
        <v>21</v>
      </c>
      <c r="U13" s="711">
        <f t="shared" si="1"/>
        <v>100</v>
      </c>
      <c r="V13" s="710" t="s">
        <v>21</v>
      </c>
      <c r="W13" s="711">
        <f t="shared" si="2"/>
        <v>100</v>
      </c>
      <c r="X13" s="712"/>
      <c r="Y13" s="3187"/>
      <c r="Z13" s="55">
        <f t="shared" si="7"/>
        <v>111</v>
      </c>
      <c r="AA13" s="713">
        <f t="shared" si="3"/>
        <v>1</v>
      </c>
      <c r="AB13" s="713">
        <f t="shared" si="4"/>
        <v>1</v>
      </c>
      <c r="AC13" s="713">
        <f t="shared" si="5"/>
        <v>1</v>
      </c>
    </row>
    <row r="14" spans="1:29" ht="15.6"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3"/>
      <c r="M14" s="2937"/>
      <c r="N14" s="2937"/>
      <c r="O14" s="2937"/>
      <c r="P14" s="3289"/>
      <c r="Q14" s="1520">
        <f t="shared" si="6"/>
        <v>111</v>
      </c>
      <c r="R14" s="710" t="s">
        <v>21</v>
      </c>
      <c r="S14" s="711">
        <f t="shared" si="0"/>
        <v>100</v>
      </c>
      <c r="T14" s="710" t="s">
        <v>21</v>
      </c>
      <c r="U14" s="711">
        <f t="shared" si="1"/>
        <v>100</v>
      </c>
      <c r="V14" s="710" t="s">
        <v>21</v>
      </c>
      <c r="W14" s="711">
        <f t="shared" si="2"/>
        <v>100</v>
      </c>
      <c r="X14" s="712"/>
      <c r="Y14" s="3187"/>
      <c r="Z14" s="55">
        <f t="shared" si="7"/>
        <v>111</v>
      </c>
      <c r="AA14" s="713">
        <f t="shared" si="3"/>
        <v>1</v>
      </c>
      <c r="AB14" s="713">
        <f t="shared" si="4"/>
        <v>1</v>
      </c>
      <c r="AC14" s="713">
        <f t="shared" si="5"/>
        <v>1</v>
      </c>
    </row>
    <row r="15" spans="1:29" ht="96.6">
      <c r="A15" s="399" t="s">
        <v>2374</v>
      </c>
      <c r="B15" s="65" t="s">
        <v>1940</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64" t="s">
        <v>2375</v>
      </c>
      <c r="Q15" s="1529" t="str">
        <f t="shared" si="6"/>
        <v>居住社区成熟度</v>
      </c>
      <c r="R15" s="714" t="s">
        <v>21</v>
      </c>
      <c r="S15" s="715">
        <f t="shared" si="0"/>
        <v>100</v>
      </c>
      <c r="T15" s="714" t="s">
        <v>21</v>
      </c>
      <c r="U15" s="715">
        <f t="shared" si="1"/>
        <v>100</v>
      </c>
      <c r="V15" s="714" t="s">
        <v>21</v>
      </c>
      <c r="W15" s="715">
        <f t="shared" si="2"/>
        <v>100</v>
      </c>
      <c r="X15" s="1532"/>
      <c r="Y15" s="3292" t="s">
        <v>2375</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3"/>
      <c r="M16" s="2937"/>
      <c r="N16" s="2937"/>
      <c r="O16" s="2937"/>
      <c r="P16" s="3365"/>
      <c r="Q16" s="1529"/>
      <c r="R16" s="714"/>
      <c r="S16" s="715"/>
      <c r="T16" s="714"/>
      <c r="U16" s="715"/>
      <c r="V16" s="714"/>
      <c r="W16" s="715"/>
      <c r="X16" s="1532"/>
      <c r="Y16" s="3293"/>
      <c r="Z16" s="1533"/>
      <c r="AA16" s="1530">
        <v>1</v>
      </c>
      <c r="AB16" s="1530">
        <v>1</v>
      </c>
      <c r="AC16" s="1530">
        <v>1</v>
      </c>
    </row>
    <row r="17" spans="1:29" ht="82.8">
      <c r="A17" s="387"/>
      <c r="B17" s="410" t="s">
        <v>1942</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65"/>
      <c r="Q17" s="1529" t="str">
        <f>B17</f>
        <v>交通便捷度</v>
      </c>
      <c r="R17" s="714" t="s">
        <v>21</v>
      </c>
      <c r="S17" s="715">
        <f>F17</f>
        <v>100</v>
      </c>
      <c r="T17" s="714" t="s">
        <v>21</v>
      </c>
      <c r="U17" s="715">
        <f>H17</f>
        <v>100</v>
      </c>
      <c r="V17" s="714" t="s">
        <v>21</v>
      </c>
      <c r="W17" s="715">
        <f>J17</f>
        <v>100</v>
      </c>
      <c r="X17" s="1532"/>
      <c r="Y17" s="3293"/>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3"/>
      <c r="M18" s="2937"/>
      <c r="N18" s="2937"/>
      <c r="O18" s="2937"/>
      <c r="P18" s="3365"/>
      <c r="Q18" s="1529"/>
      <c r="R18" s="714"/>
      <c r="S18" s="715"/>
      <c r="T18" s="714"/>
      <c r="U18" s="715"/>
      <c r="V18" s="714"/>
      <c r="W18" s="715"/>
      <c r="X18" s="1532"/>
      <c r="Y18" s="3293"/>
      <c r="Z18" s="1533"/>
      <c r="AA18" s="1530">
        <v>1</v>
      </c>
      <c r="AB18" s="1530">
        <v>1</v>
      </c>
      <c r="AC18" s="1530">
        <v>1</v>
      </c>
    </row>
    <row r="19" spans="1:29" ht="41.4">
      <c r="A19" s="387"/>
      <c r="B19" s="410" t="s">
        <v>1941</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65"/>
      <c r="Q19" s="1529" t="str">
        <f>B19</f>
        <v>公共配套设施</v>
      </c>
      <c r="R19" s="714" t="s">
        <v>21</v>
      </c>
      <c r="S19" s="715">
        <f>F19</f>
        <v>100</v>
      </c>
      <c r="T19" s="714" t="s">
        <v>21</v>
      </c>
      <c r="U19" s="715">
        <f>H19</f>
        <v>100</v>
      </c>
      <c r="V19" s="714" t="s">
        <v>21</v>
      </c>
      <c r="W19" s="715">
        <f>J19</f>
        <v>100</v>
      </c>
      <c r="X19" s="1532"/>
      <c r="Y19" s="3293"/>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3"/>
      <c r="M20" s="2937"/>
      <c r="N20" s="2937"/>
      <c r="O20" s="2937"/>
      <c r="P20" s="3365"/>
      <c r="Q20" s="1529"/>
      <c r="R20" s="714"/>
      <c r="S20" s="715"/>
      <c r="T20" s="714"/>
      <c r="U20" s="715"/>
      <c r="V20" s="714"/>
      <c r="W20" s="715"/>
      <c r="X20" s="1532"/>
      <c r="Y20" s="3293"/>
      <c r="Z20" s="1533"/>
      <c r="AA20" s="1530">
        <v>1</v>
      </c>
      <c r="AB20" s="1530">
        <v>1</v>
      </c>
      <c r="AC20" s="1530">
        <v>1</v>
      </c>
    </row>
    <row r="21" spans="1:29" ht="27.6">
      <c r="A21" s="387"/>
      <c r="B21" s="1287" t="s">
        <v>1943</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65"/>
      <c r="Q21" s="1529" t="str">
        <f>B21</f>
        <v>基础设施水平</v>
      </c>
      <c r="R21" s="714" t="s">
        <v>17</v>
      </c>
      <c r="S21" s="715">
        <f>F21</f>
        <v>100</v>
      </c>
      <c r="T21" s="714" t="s">
        <v>17</v>
      </c>
      <c r="U21" s="715">
        <f>H21</f>
        <v>100</v>
      </c>
      <c r="V21" s="714" t="s">
        <v>17</v>
      </c>
      <c r="W21" s="715">
        <f>J21</f>
        <v>100</v>
      </c>
      <c r="X21" s="1532"/>
      <c r="Y21" s="3293"/>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3"/>
      <c r="M22" s="2937"/>
      <c r="N22" s="2937"/>
      <c r="O22" s="2937"/>
      <c r="P22" s="3365"/>
      <c r="Q22" s="1529"/>
      <c r="R22" s="714"/>
      <c r="S22" s="715"/>
      <c r="T22" s="714"/>
      <c r="U22" s="715"/>
      <c r="V22" s="714"/>
      <c r="W22" s="715"/>
      <c r="X22" s="1532"/>
      <c r="Y22" s="3293"/>
      <c r="Z22" s="1533"/>
      <c r="AA22" s="1530">
        <v>1</v>
      </c>
      <c r="AB22" s="1530">
        <v>1</v>
      </c>
      <c r="AC22" s="1530">
        <v>1</v>
      </c>
    </row>
    <row r="23" spans="1:29" ht="55.2">
      <c r="A23" s="387"/>
      <c r="B23" s="410" t="s">
        <v>1944</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65"/>
      <c r="Q23" s="1529" t="str">
        <f>B23</f>
        <v>自然及人文环境</v>
      </c>
      <c r="R23" s="714" t="s">
        <v>21</v>
      </c>
      <c r="S23" s="715">
        <f>F23</f>
        <v>100</v>
      </c>
      <c r="T23" s="714" t="s">
        <v>21</v>
      </c>
      <c r="U23" s="715">
        <f>H23</f>
        <v>100</v>
      </c>
      <c r="V23" s="714" t="s">
        <v>21</v>
      </c>
      <c r="W23" s="715">
        <f>J23</f>
        <v>100</v>
      </c>
      <c r="X23" s="1532"/>
      <c r="Y23" s="3293"/>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3"/>
      <c r="M24" s="2937"/>
      <c r="N24" s="2937"/>
      <c r="O24" s="2937"/>
      <c r="P24" s="3365"/>
      <c r="Q24" s="1529"/>
      <c r="R24" s="714"/>
      <c r="S24" s="715"/>
      <c r="T24" s="714"/>
      <c r="U24" s="715"/>
      <c r="V24" s="714"/>
      <c r="W24" s="715"/>
      <c r="X24" s="1532"/>
      <c r="Y24" s="3293"/>
      <c r="Z24" s="1533"/>
      <c r="AA24" s="1530">
        <v>1</v>
      </c>
      <c r="AB24" s="1530">
        <v>1</v>
      </c>
      <c r="AC24" s="1530">
        <v>1</v>
      </c>
    </row>
    <row r="25" spans="1:29" ht="15">
      <c r="A25" s="387"/>
      <c r="B25" s="381" t="s">
        <v>2376</v>
      </c>
      <c r="C25" s="419"/>
      <c r="D25" s="394">
        <v>100</v>
      </c>
      <c r="E25" s="2084"/>
      <c r="F25" s="394">
        <f>SUMIF(86:86,E25,87:87)-SUMIF(86:86,C25,87:87)+100</f>
        <v>100</v>
      </c>
      <c r="G25" s="2085"/>
      <c r="H25" s="394">
        <f>SUMIF(86:86,G25,87:87)-SUMIF(86:86,C25,87:87)+100</f>
        <v>100</v>
      </c>
      <c r="I25" s="2085"/>
      <c r="J25" s="394">
        <f>SUMIF(86:86,I25,87:87)-SUMIF(86:86,C25,87:87)+100</f>
        <v>100</v>
      </c>
      <c r="K25" s="385"/>
      <c r="L25" s="2943"/>
      <c r="M25" s="2937"/>
      <c r="N25" s="2937"/>
      <c r="O25" s="2937"/>
      <c r="P25" s="3365"/>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293"/>
      <c r="Z25" s="1533" t="str">
        <f>Q25</f>
        <v>楼层-1</v>
      </c>
      <c r="AA25" s="1530">
        <f t="shared" ref="AA25:AA46" si="15">D25/F25</f>
        <v>1</v>
      </c>
      <c r="AB25" s="1530">
        <f t="shared" ref="AB25:AB46" si="16">D25/H25</f>
        <v>1</v>
      </c>
      <c r="AC25" s="1530">
        <f t="shared" ref="AC25:AC46" si="17">D25/J25</f>
        <v>1</v>
      </c>
    </row>
    <row r="26" spans="1:29" ht="15">
      <c r="A26" s="387"/>
      <c r="B26" s="381" t="s">
        <v>2377</v>
      </c>
      <c r="C26" s="419"/>
      <c r="D26" s="394">
        <v>100</v>
      </c>
      <c r="E26" s="2084"/>
      <c r="F26" s="394">
        <f>SUMIF(88:88,E26,89:89)-SUMIF(88:88,C26,89:89)+100</f>
        <v>100</v>
      </c>
      <c r="G26" s="2085"/>
      <c r="H26" s="394">
        <f>SUMIF(88:88,G26,89:89)-SUMIF(88:88,C26,89:89)+100</f>
        <v>100</v>
      </c>
      <c r="I26" s="2085"/>
      <c r="J26" s="394">
        <f>SUMIF(88:88,I26,89:89)-SUMIF(88:88,C26,89:89)+100</f>
        <v>100</v>
      </c>
      <c r="K26" s="385"/>
      <c r="L26" s="2943"/>
      <c r="M26" s="2937"/>
      <c r="N26" s="2937"/>
      <c r="O26" s="2937"/>
      <c r="P26" s="3365"/>
      <c r="Q26" s="1529" t="str">
        <f t="shared" si="11"/>
        <v>朝向</v>
      </c>
      <c r="R26" s="714" t="s">
        <v>21</v>
      </c>
      <c r="S26" s="715">
        <f t="shared" si="12"/>
        <v>100</v>
      </c>
      <c r="T26" s="714" t="s">
        <v>21</v>
      </c>
      <c r="U26" s="715">
        <f t="shared" si="13"/>
        <v>100</v>
      </c>
      <c r="V26" s="714" t="s">
        <v>21</v>
      </c>
      <c r="W26" s="715">
        <f t="shared" si="14"/>
        <v>100</v>
      </c>
      <c r="X26" s="1532"/>
      <c r="Y26" s="3293"/>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8"/>
      <c r="M27" s="2939"/>
      <c r="N27" s="2939"/>
      <c r="O27" s="2939"/>
      <c r="P27" s="3365"/>
      <c r="Q27" s="1520">
        <f t="shared" si="11"/>
        <v>111</v>
      </c>
      <c r="R27" s="710" t="s">
        <v>21</v>
      </c>
      <c r="S27" s="711">
        <f t="shared" si="12"/>
        <v>100</v>
      </c>
      <c r="T27" s="710" t="s">
        <v>21</v>
      </c>
      <c r="U27" s="711">
        <f t="shared" si="13"/>
        <v>100</v>
      </c>
      <c r="V27" s="710" t="s">
        <v>21</v>
      </c>
      <c r="W27" s="711">
        <f t="shared" si="14"/>
        <v>100</v>
      </c>
      <c r="X27" s="712"/>
      <c r="Y27" s="3293"/>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3"/>
      <c r="M28" s="2937"/>
      <c r="N28" s="2937"/>
      <c r="O28" s="2937"/>
      <c r="P28" s="3365"/>
      <c r="Q28" s="1529">
        <f t="shared" si="11"/>
        <v>111</v>
      </c>
      <c r="R28" s="714" t="s">
        <v>21</v>
      </c>
      <c r="S28" s="715">
        <f t="shared" si="12"/>
        <v>100</v>
      </c>
      <c r="T28" s="714" t="s">
        <v>21</v>
      </c>
      <c r="U28" s="715">
        <f t="shared" si="13"/>
        <v>100</v>
      </c>
      <c r="V28" s="714" t="s">
        <v>21</v>
      </c>
      <c r="W28" s="715">
        <f t="shared" si="14"/>
        <v>100</v>
      </c>
      <c r="X28" s="1532"/>
      <c r="Y28" s="3293"/>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3"/>
      <c r="M29" s="2937"/>
      <c r="N29" s="2937"/>
      <c r="O29" s="2937"/>
      <c r="P29" s="3365"/>
      <c r="Q29" s="1529">
        <f t="shared" si="11"/>
        <v>111</v>
      </c>
      <c r="R29" s="714" t="s">
        <v>21</v>
      </c>
      <c r="S29" s="715">
        <f t="shared" si="12"/>
        <v>100</v>
      </c>
      <c r="T29" s="714" t="s">
        <v>21</v>
      </c>
      <c r="U29" s="715">
        <f t="shared" si="13"/>
        <v>100</v>
      </c>
      <c r="V29" s="714" t="s">
        <v>21</v>
      </c>
      <c r="W29" s="715">
        <f t="shared" si="14"/>
        <v>100</v>
      </c>
      <c r="X29" s="1532"/>
      <c r="Y29" s="3293"/>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3"/>
      <c r="M30" s="2937"/>
      <c r="N30" s="2937"/>
      <c r="O30" s="2937"/>
      <c r="P30" s="3365"/>
      <c r="Q30" s="1529">
        <f t="shared" si="11"/>
        <v>111</v>
      </c>
      <c r="R30" s="714" t="s">
        <v>21</v>
      </c>
      <c r="S30" s="715">
        <f t="shared" si="12"/>
        <v>100</v>
      </c>
      <c r="T30" s="714" t="s">
        <v>21</v>
      </c>
      <c r="U30" s="715">
        <f t="shared" si="13"/>
        <v>100</v>
      </c>
      <c r="V30" s="714" t="s">
        <v>21</v>
      </c>
      <c r="W30" s="715">
        <f t="shared" si="14"/>
        <v>100</v>
      </c>
      <c r="X30" s="1532"/>
      <c r="Y30" s="3293"/>
      <c r="Z30" s="1533">
        <f t="shared" si="18"/>
        <v>111</v>
      </c>
      <c r="AA30" s="1530">
        <f t="shared" si="15"/>
        <v>1</v>
      </c>
      <c r="AB30" s="1530">
        <f t="shared" si="16"/>
        <v>1</v>
      </c>
      <c r="AC30" s="1530">
        <f t="shared" si="17"/>
        <v>1</v>
      </c>
    </row>
    <row r="31" spans="1:29" ht="15.6"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3"/>
      <c r="M31" s="2937"/>
      <c r="N31" s="2937"/>
      <c r="O31" s="2937"/>
      <c r="P31" s="3365"/>
      <c r="Q31" s="1529">
        <f t="shared" si="11"/>
        <v>111</v>
      </c>
      <c r="R31" s="714" t="s">
        <v>21</v>
      </c>
      <c r="S31" s="715">
        <f t="shared" si="12"/>
        <v>100</v>
      </c>
      <c r="T31" s="714" t="s">
        <v>21</v>
      </c>
      <c r="U31" s="715">
        <f t="shared" si="13"/>
        <v>100</v>
      </c>
      <c r="V31" s="714" t="s">
        <v>21</v>
      </c>
      <c r="W31" s="715">
        <f t="shared" si="14"/>
        <v>100</v>
      </c>
      <c r="X31" s="1532"/>
      <c r="Y31" s="3293"/>
      <c r="Z31" s="1533">
        <f t="shared" si="18"/>
        <v>111</v>
      </c>
      <c r="AA31" s="1530">
        <f t="shared" si="15"/>
        <v>1</v>
      </c>
      <c r="AB31" s="1530">
        <f t="shared" si="16"/>
        <v>1</v>
      </c>
      <c r="AC31" s="1530">
        <f t="shared" si="17"/>
        <v>1</v>
      </c>
    </row>
    <row r="32" spans="1:29" ht="15">
      <c r="A32" s="399" t="s">
        <v>2378</v>
      </c>
      <c r="B32" s="67" t="s">
        <v>2379</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3"/>
      <c r="M32" s="2937"/>
      <c r="N32" s="2937"/>
      <c r="O32" s="2937"/>
      <c r="P32" s="3360" t="s">
        <v>2380</v>
      </c>
      <c r="Q32" s="1529" t="str">
        <f t="shared" si="11"/>
        <v>建筑类型</v>
      </c>
      <c r="R32" s="714" t="s">
        <v>21</v>
      </c>
      <c r="S32" s="715">
        <f t="shared" si="12"/>
        <v>100</v>
      </c>
      <c r="T32" s="714" t="s">
        <v>21</v>
      </c>
      <c r="U32" s="715">
        <f t="shared" si="13"/>
        <v>100</v>
      </c>
      <c r="V32" s="714" t="s">
        <v>21</v>
      </c>
      <c r="W32" s="715">
        <f t="shared" si="14"/>
        <v>100</v>
      </c>
      <c r="X32" s="1532"/>
      <c r="Y32" s="3295" t="s">
        <v>2380</v>
      </c>
      <c r="Z32" s="1533" t="str">
        <f t="shared" si="18"/>
        <v>建筑类型</v>
      </c>
      <c r="AA32" s="1530">
        <f t="shared" si="15"/>
        <v>1</v>
      </c>
      <c r="AB32" s="1530">
        <f t="shared" si="16"/>
        <v>1</v>
      </c>
      <c r="AC32" s="1530">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2"/>
      <c r="M33" s="2944"/>
      <c r="N33" s="2944"/>
      <c r="O33" s="2944"/>
      <c r="P33" s="3361"/>
      <c r="Q33" s="716" t="str">
        <f t="shared" si="11"/>
        <v>项目建筑规模</v>
      </c>
      <c r="R33" s="717" t="s">
        <v>21</v>
      </c>
      <c r="S33" s="718" t="e">
        <f t="shared" si="12"/>
        <v>#N/A</v>
      </c>
      <c r="T33" s="717" t="s">
        <v>21</v>
      </c>
      <c r="U33" s="718" t="e">
        <f t="shared" si="13"/>
        <v>#N/A</v>
      </c>
      <c r="V33" s="717" t="s">
        <v>21</v>
      </c>
      <c r="W33" s="718" t="e">
        <f t="shared" si="14"/>
        <v>#N/A</v>
      </c>
      <c r="X33" s="719"/>
      <c r="Y33" s="3295"/>
      <c r="Z33" s="720" t="str">
        <f t="shared" si="18"/>
        <v>项目建筑规模</v>
      </c>
      <c r="AA33" s="1530" t="e">
        <f t="shared" si="15"/>
        <v>#N/A</v>
      </c>
      <c r="AB33" s="1530" t="e">
        <f t="shared" si="16"/>
        <v>#N/A</v>
      </c>
      <c r="AC33" s="1530" t="e">
        <f t="shared" si="17"/>
        <v>#N/A</v>
      </c>
    </row>
    <row r="34" spans="1:29" ht="15">
      <c r="A34" s="431"/>
      <c r="B34" s="381" t="s">
        <v>2382</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3"/>
      <c r="M34" s="2937"/>
      <c r="N34" s="2937"/>
      <c r="O34" s="2937"/>
      <c r="P34" s="3361"/>
      <c r="Q34" s="1529" t="str">
        <f t="shared" si="11"/>
        <v>建筑结构</v>
      </c>
      <c r="R34" s="714" t="s">
        <v>21</v>
      </c>
      <c r="S34" s="715">
        <f t="shared" si="12"/>
        <v>100</v>
      </c>
      <c r="T34" s="714" t="s">
        <v>21</v>
      </c>
      <c r="U34" s="715">
        <f t="shared" si="13"/>
        <v>100</v>
      </c>
      <c r="V34" s="714" t="s">
        <v>21</v>
      </c>
      <c r="W34" s="715">
        <f t="shared" si="14"/>
        <v>100</v>
      </c>
      <c r="X34" s="1532"/>
      <c r="Y34" s="3295"/>
      <c r="Z34" s="1533" t="str">
        <f t="shared" si="18"/>
        <v>建筑结构</v>
      </c>
      <c r="AA34" s="1530">
        <f t="shared" si="15"/>
        <v>1</v>
      </c>
      <c r="AB34" s="1530">
        <f t="shared" si="16"/>
        <v>1</v>
      </c>
      <c r="AC34" s="1530">
        <f t="shared" si="17"/>
        <v>1</v>
      </c>
    </row>
    <row r="35" spans="1:29" ht="15">
      <c r="A35" s="431"/>
      <c r="B35" s="381" t="s">
        <v>2383</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3"/>
      <c r="M35" s="2937"/>
      <c r="N35" s="2937"/>
      <c r="O35" s="2937"/>
      <c r="P35" s="3361"/>
      <c r="Q35" s="1529" t="str">
        <f t="shared" si="11"/>
        <v>建筑品质</v>
      </c>
      <c r="R35" s="714" t="s">
        <v>21</v>
      </c>
      <c r="S35" s="715">
        <f t="shared" si="12"/>
        <v>100</v>
      </c>
      <c r="T35" s="714" t="s">
        <v>21</v>
      </c>
      <c r="U35" s="715">
        <f t="shared" si="13"/>
        <v>100</v>
      </c>
      <c r="V35" s="714" t="s">
        <v>21</v>
      </c>
      <c r="W35" s="715">
        <f t="shared" si="14"/>
        <v>100</v>
      </c>
      <c r="X35" s="1532"/>
      <c r="Y35" s="3295"/>
      <c r="Z35" s="1533" t="str">
        <f t="shared" si="18"/>
        <v>建筑品质</v>
      </c>
      <c r="AA35" s="1530">
        <f t="shared" si="15"/>
        <v>1</v>
      </c>
      <c r="AB35" s="1530">
        <f t="shared" si="16"/>
        <v>1</v>
      </c>
      <c r="AC35" s="1530">
        <f t="shared" si="17"/>
        <v>1</v>
      </c>
    </row>
    <row r="36" spans="1:29" ht="15">
      <c r="A36" s="431"/>
      <c r="B36" s="381" t="s">
        <v>2384</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3"/>
      <c r="M36" s="2937"/>
      <c r="N36" s="2937"/>
      <c r="O36" s="2937"/>
      <c r="P36" s="3361"/>
      <c r="Q36" s="1529" t="str">
        <f t="shared" si="11"/>
        <v>公共部分装修</v>
      </c>
      <c r="R36" s="714" t="s">
        <v>21</v>
      </c>
      <c r="S36" s="715">
        <f t="shared" si="12"/>
        <v>100</v>
      </c>
      <c r="T36" s="714" t="s">
        <v>21</v>
      </c>
      <c r="U36" s="715">
        <f t="shared" si="13"/>
        <v>100</v>
      </c>
      <c r="V36" s="714" t="s">
        <v>21</v>
      </c>
      <c r="W36" s="715">
        <f t="shared" si="14"/>
        <v>100</v>
      </c>
      <c r="X36" s="1532"/>
      <c r="Y36" s="3295"/>
      <c r="Z36" s="1533" t="str">
        <f t="shared" si="18"/>
        <v>公共部分装修</v>
      </c>
      <c r="AA36" s="1530">
        <f t="shared" si="15"/>
        <v>1</v>
      </c>
      <c r="AB36" s="1530">
        <f t="shared" si="16"/>
        <v>1</v>
      </c>
      <c r="AC36" s="1530">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61"/>
      <c r="Q37" s="1520" t="str">
        <f t="shared" si="11"/>
        <v>成新度</v>
      </c>
      <c r="R37" s="710" t="s">
        <v>21</v>
      </c>
      <c r="S37" s="711" t="e">
        <f t="shared" si="12"/>
        <v>#N/A</v>
      </c>
      <c r="T37" s="710" t="s">
        <v>21</v>
      </c>
      <c r="U37" s="711" t="e">
        <f t="shared" si="13"/>
        <v>#N/A</v>
      </c>
      <c r="V37" s="710" t="s">
        <v>21</v>
      </c>
      <c r="W37" s="711" t="e">
        <f t="shared" si="14"/>
        <v>#N/A</v>
      </c>
      <c r="X37" s="712"/>
      <c r="Y37" s="3295"/>
      <c r="Z37" s="55" t="str">
        <f t="shared" si="18"/>
        <v>成新度</v>
      </c>
      <c r="AA37" s="713" t="e">
        <f t="shared" si="15"/>
        <v>#N/A</v>
      </c>
      <c r="AB37" s="713" t="e">
        <f t="shared" si="16"/>
        <v>#N/A</v>
      </c>
      <c r="AC37" s="713" t="e">
        <f t="shared" si="17"/>
        <v>#N/A</v>
      </c>
    </row>
    <row r="38" spans="1:29" ht="15">
      <c r="A38" s="431"/>
      <c r="B38" s="381" t="s">
        <v>2386</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3"/>
      <c r="M38" s="2937"/>
      <c r="N38" s="2937"/>
      <c r="O38" s="2937"/>
      <c r="P38" s="3361" t="s">
        <v>2380</v>
      </c>
      <c r="Q38" s="1529" t="str">
        <f t="shared" si="11"/>
        <v>物业管理</v>
      </c>
      <c r="R38" s="714" t="s">
        <v>21</v>
      </c>
      <c r="S38" s="715">
        <f t="shared" si="12"/>
        <v>100</v>
      </c>
      <c r="T38" s="714" t="s">
        <v>21</v>
      </c>
      <c r="U38" s="715">
        <f t="shared" si="13"/>
        <v>100</v>
      </c>
      <c r="V38" s="714" t="s">
        <v>21</v>
      </c>
      <c r="W38" s="715">
        <f t="shared" si="14"/>
        <v>100</v>
      </c>
      <c r="X38" s="1532"/>
      <c r="Y38" s="3295" t="s">
        <v>2380</v>
      </c>
      <c r="Z38" s="1533" t="str">
        <f t="shared" si="18"/>
        <v>物业管理</v>
      </c>
      <c r="AA38" s="1530">
        <f t="shared" si="15"/>
        <v>1</v>
      </c>
      <c r="AB38" s="1530">
        <f t="shared" si="16"/>
        <v>1</v>
      </c>
      <c r="AC38" s="1530">
        <f t="shared" si="17"/>
        <v>1</v>
      </c>
    </row>
    <row r="39" spans="1:29" ht="15">
      <c r="A39" s="431"/>
      <c r="B39" s="381" t="s">
        <v>2387</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3"/>
      <c r="M39" s="2937"/>
      <c r="N39" s="2937"/>
      <c r="O39" s="2937"/>
      <c r="P39" s="3361"/>
      <c r="Q39" s="1529" t="str">
        <f t="shared" si="11"/>
        <v>市政基础设施</v>
      </c>
      <c r="R39" s="714" t="s">
        <v>21</v>
      </c>
      <c r="S39" s="715">
        <f t="shared" si="12"/>
        <v>100</v>
      </c>
      <c r="T39" s="714" t="s">
        <v>21</v>
      </c>
      <c r="U39" s="715">
        <f t="shared" si="13"/>
        <v>100</v>
      </c>
      <c r="V39" s="714" t="s">
        <v>21</v>
      </c>
      <c r="W39" s="715">
        <f t="shared" si="14"/>
        <v>100</v>
      </c>
      <c r="X39" s="1532"/>
      <c r="Y39" s="3295"/>
      <c r="Z39" s="1533" t="str">
        <f t="shared" si="18"/>
        <v>市政基础设施</v>
      </c>
      <c r="AA39" s="1530">
        <f t="shared" si="15"/>
        <v>1</v>
      </c>
      <c r="AB39" s="1530">
        <f t="shared" si="16"/>
        <v>1</v>
      </c>
      <c r="AC39" s="1530">
        <f t="shared" si="17"/>
        <v>1</v>
      </c>
    </row>
    <row r="40" spans="1:29" ht="15">
      <c r="A40" s="431"/>
      <c r="B40" s="381" t="s">
        <v>2388</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3"/>
      <c r="M40" s="2937"/>
      <c r="N40" s="2937"/>
      <c r="O40" s="2937"/>
      <c r="P40" s="3361"/>
      <c r="Q40" s="1529" t="str">
        <f t="shared" si="11"/>
        <v>房型</v>
      </c>
      <c r="R40" s="714" t="s">
        <v>21</v>
      </c>
      <c r="S40" s="715">
        <f t="shared" si="12"/>
        <v>100</v>
      </c>
      <c r="T40" s="714" t="s">
        <v>21</v>
      </c>
      <c r="U40" s="715">
        <f t="shared" si="13"/>
        <v>100</v>
      </c>
      <c r="V40" s="714" t="s">
        <v>21</v>
      </c>
      <c r="W40" s="715">
        <f t="shared" si="14"/>
        <v>100</v>
      </c>
      <c r="X40" s="1532"/>
      <c r="Y40" s="3295"/>
      <c r="Z40" s="1533" t="str">
        <f t="shared" si="18"/>
        <v>房型</v>
      </c>
      <c r="AA40" s="1530">
        <f t="shared" si="15"/>
        <v>1</v>
      </c>
      <c r="AB40" s="1530">
        <f t="shared" si="16"/>
        <v>1</v>
      </c>
      <c r="AC40" s="1530">
        <f t="shared" si="17"/>
        <v>1</v>
      </c>
    </row>
    <row r="41" spans="1:29" s="430" customFormat="1" ht="28.8">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2"/>
      <c r="M41" s="2944"/>
      <c r="N41" s="2944"/>
      <c r="O41" s="2944"/>
      <c r="P41" s="3361"/>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0">
        <f t="shared" si="15"/>
        <v>1</v>
      </c>
      <c r="AB41" s="1530">
        <f t="shared" si="16"/>
        <v>1</v>
      </c>
      <c r="AC41" s="1530">
        <f t="shared" si="17"/>
        <v>1</v>
      </c>
    </row>
    <row r="42" spans="1:29" ht="15">
      <c r="A42" s="431"/>
      <c r="B42" s="381" t="s">
        <v>2390</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3"/>
      <c r="M42" s="2937"/>
      <c r="N42" s="2937"/>
      <c r="O42" s="2937"/>
      <c r="P42" s="3361"/>
      <c r="Q42" s="1529" t="str">
        <f t="shared" si="11"/>
        <v>内部装修</v>
      </c>
      <c r="R42" s="714" t="s">
        <v>21</v>
      </c>
      <c r="S42" s="715">
        <f t="shared" si="12"/>
        <v>100</v>
      </c>
      <c r="T42" s="714" t="s">
        <v>21</v>
      </c>
      <c r="U42" s="715">
        <f t="shared" si="13"/>
        <v>100</v>
      </c>
      <c r="V42" s="714" t="s">
        <v>21</v>
      </c>
      <c r="W42" s="715">
        <f t="shared" si="14"/>
        <v>100</v>
      </c>
      <c r="X42" s="1532"/>
      <c r="Y42" s="3295"/>
      <c r="Z42" s="1533" t="str">
        <f t="shared" si="18"/>
        <v>内部装修</v>
      </c>
      <c r="AA42" s="1530">
        <f t="shared" si="15"/>
        <v>1</v>
      </c>
      <c r="AB42" s="1530">
        <f t="shared" si="16"/>
        <v>1</v>
      </c>
      <c r="AC42" s="1530">
        <f t="shared" si="17"/>
        <v>1</v>
      </c>
    </row>
    <row r="43" spans="1:29" ht="28.8">
      <c r="A43" s="431"/>
      <c r="B43" s="381" t="s">
        <v>2391</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3"/>
      <c r="M43" s="2937"/>
      <c r="N43" s="2937"/>
      <c r="O43" s="2937"/>
      <c r="P43" s="3361"/>
      <c r="Q43" s="1529" t="str">
        <f t="shared" si="11"/>
        <v>内部装修维护情况</v>
      </c>
      <c r="R43" s="714" t="s">
        <v>21</v>
      </c>
      <c r="S43" s="715">
        <f t="shared" si="12"/>
        <v>100</v>
      </c>
      <c r="T43" s="714" t="s">
        <v>21</v>
      </c>
      <c r="U43" s="715">
        <f t="shared" si="13"/>
        <v>100</v>
      </c>
      <c r="V43" s="714" t="s">
        <v>21</v>
      </c>
      <c r="W43" s="715">
        <f t="shared" si="14"/>
        <v>100</v>
      </c>
      <c r="X43" s="1532"/>
      <c r="Y43" s="3295"/>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8"/>
      <c r="M44" s="2939"/>
      <c r="N44" s="2939"/>
      <c r="O44" s="2939"/>
      <c r="P44" s="3361"/>
      <c r="Q44" s="1520">
        <f t="shared" si="11"/>
        <v>111</v>
      </c>
      <c r="R44" s="710" t="s">
        <v>21</v>
      </c>
      <c r="S44" s="711">
        <f t="shared" si="12"/>
        <v>100</v>
      </c>
      <c r="T44" s="710" t="s">
        <v>21</v>
      </c>
      <c r="U44" s="711">
        <f t="shared" si="13"/>
        <v>100</v>
      </c>
      <c r="V44" s="710" t="s">
        <v>21</v>
      </c>
      <c r="W44" s="711">
        <f t="shared" si="14"/>
        <v>100</v>
      </c>
      <c r="X44" s="712"/>
      <c r="Y44" s="3295"/>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3"/>
      <c r="M45" s="2937"/>
      <c r="N45" s="2937"/>
      <c r="O45" s="2937"/>
      <c r="P45" s="3361"/>
      <c r="Q45" s="1529">
        <f t="shared" si="11"/>
        <v>111</v>
      </c>
      <c r="R45" s="714" t="s">
        <v>21</v>
      </c>
      <c r="S45" s="715">
        <f t="shared" si="12"/>
        <v>100</v>
      </c>
      <c r="T45" s="714" t="s">
        <v>21</v>
      </c>
      <c r="U45" s="715">
        <f t="shared" si="13"/>
        <v>100</v>
      </c>
      <c r="V45" s="714" t="s">
        <v>21</v>
      </c>
      <c r="W45" s="715">
        <f t="shared" si="14"/>
        <v>100</v>
      </c>
      <c r="X45" s="1532"/>
      <c r="Y45" s="3295"/>
      <c r="Z45" s="1533">
        <f t="shared" si="18"/>
        <v>111</v>
      </c>
      <c r="AA45" s="1530">
        <f t="shared" si="15"/>
        <v>1</v>
      </c>
      <c r="AB45" s="1530">
        <f t="shared" si="16"/>
        <v>1</v>
      </c>
      <c r="AC45" s="1530">
        <f t="shared" si="17"/>
        <v>1</v>
      </c>
    </row>
    <row r="46" spans="1:29" ht="15.6"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3"/>
      <c r="M46" s="2937"/>
      <c r="N46" s="2937"/>
      <c r="O46" s="2937"/>
      <c r="P46" s="3362"/>
      <c r="Q46" s="1529">
        <f t="shared" si="11"/>
        <v>111</v>
      </c>
      <c r="R46" s="714" t="s">
        <v>20</v>
      </c>
      <c r="S46" s="715">
        <f t="shared" si="12"/>
        <v>100</v>
      </c>
      <c r="T46" s="714" t="s">
        <v>20</v>
      </c>
      <c r="U46" s="715">
        <f t="shared" si="13"/>
        <v>100</v>
      </c>
      <c r="V46" s="714" t="s">
        <v>20</v>
      </c>
      <c r="W46" s="715">
        <f t="shared" si="14"/>
        <v>100</v>
      </c>
      <c r="X46" s="1532"/>
      <c r="Y46" s="3363"/>
      <c r="Z46" s="1533">
        <f t="shared" si="18"/>
        <v>111</v>
      </c>
      <c r="AA46" s="1530">
        <f t="shared" si="15"/>
        <v>1</v>
      </c>
      <c r="AB46" s="1530">
        <f t="shared" si="16"/>
        <v>1</v>
      </c>
      <c r="AC46" s="1530">
        <f t="shared" si="17"/>
        <v>1</v>
      </c>
    </row>
    <row r="47" spans="1:29" ht="14.4">
      <c r="A47" s="438" t="s">
        <v>2392</v>
      </c>
      <c r="B47" s="439"/>
      <c r="C47" s="1310" t="s">
        <v>19</v>
      </c>
      <c r="D47" s="1311"/>
      <c r="E47" s="1312"/>
      <c r="F47" s="1313"/>
      <c r="G47" s="1314"/>
      <c r="H47" s="1315"/>
      <c r="I47" s="1312"/>
      <c r="J47" s="1315"/>
      <c r="K47" s="2092"/>
      <c r="L47" s="2945"/>
      <c r="M47" s="2946"/>
      <c r="N47" s="2937"/>
      <c r="O47" s="2946"/>
      <c r="P47" s="3290" t="str">
        <f>A47</f>
        <v>成交单价（元/平方米）</v>
      </c>
      <c r="Q47" s="3290"/>
      <c r="R47" s="3359">
        <f>E47</f>
        <v>0</v>
      </c>
      <c r="S47" s="3359"/>
      <c r="T47" s="3359">
        <f>G47</f>
        <v>0</v>
      </c>
      <c r="U47" s="3359"/>
      <c r="V47" s="3359">
        <f>I47</f>
        <v>0</v>
      </c>
      <c r="W47" s="3359"/>
      <c r="X47" s="699"/>
      <c r="Y47" s="721"/>
      <c r="Z47" s="699"/>
      <c r="AA47" s="699"/>
      <c r="AB47" s="699"/>
      <c r="AC47" s="699"/>
    </row>
    <row r="48" spans="1:29" ht="15" thickBot="1">
      <c r="A48" s="445" t="s">
        <v>2393</v>
      </c>
      <c r="B48" s="446"/>
      <c r="C48" s="1316" t="e">
        <f>R49</f>
        <v>#DIV/0!</v>
      </c>
      <c r="D48" s="2530" t="s">
        <v>2872</v>
      </c>
      <c r="E48" s="1317" t="e">
        <f>R48</f>
        <v>#DIV/0!</v>
      </c>
      <c r="F48" s="2531"/>
      <c r="G48" s="1316" t="e">
        <f>T48</f>
        <v>#DIV/0!</v>
      </c>
      <c r="H48" s="2531"/>
      <c r="I48" s="1317" t="e">
        <f>V48</f>
        <v>#DIV/0!</v>
      </c>
      <c r="J48" s="2531"/>
      <c r="K48" s="2532">
        <f>F48+H48+J48</f>
        <v>0</v>
      </c>
      <c r="L48" s="2945"/>
      <c r="M48" s="2946"/>
      <c r="N48" s="2946"/>
      <c r="O48" s="2946"/>
      <c r="P48" s="3290" t="str">
        <f>A48</f>
        <v>比较价值（元/平方米）</v>
      </c>
      <c r="Q48" s="3290"/>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 thickBot="1">
      <c r="A49" s="449" t="s">
        <v>2394</v>
      </c>
      <c r="B49" s="450"/>
      <c r="C49" s="1318" t="e">
        <f>R49</f>
        <v>#DIV/0!</v>
      </c>
      <c r="D49" s="1319"/>
      <c r="E49" s="1319"/>
      <c r="F49" s="1319"/>
      <c r="G49" s="1319"/>
      <c r="H49" s="1319"/>
      <c r="I49" s="1319"/>
      <c r="J49" s="1319"/>
      <c r="K49" s="2093"/>
      <c r="L49" s="2945"/>
      <c r="M49" s="2946"/>
      <c r="N49" s="2946"/>
      <c r="O49" s="2946"/>
      <c r="P49" s="3284" t="str">
        <f>A49</f>
        <v>估价对象XX用房的比较价值（楼面单价，元/平方米）</v>
      </c>
      <c r="Q49" s="3285"/>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5"/>
    </row>
    <row r="55" spans="1:29" s="459"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2.2" thickBot="1">
      <c r="A57" s="703" t="s">
        <v>2398</v>
      </c>
      <c r="B57" s="699"/>
      <c r="C57" s="704"/>
      <c r="D57" s="704"/>
      <c r="E57" s="704"/>
      <c r="F57" s="705"/>
      <c r="G57" s="705"/>
      <c r="H57" s="704"/>
      <c r="I57" s="704"/>
      <c r="J57" s="704"/>
      <c r="K57" s="1066"/>
      <c r="L57" s="1067"/>
      <c r="M57" s="1065"/>
      <c r="N57" s="1065"/>
      <c r="O57" s="1065"/>
      <c r="P57" s="2096"/>
      <c r="Q57" s="461"/>
    </row>
    <row r="58" spans="1:29" s="465" customFormat="1" ht="14.4">
      <c r="A58" s="462" t="s">
        <v>2399</v>
      </c>
      <c r="B58" s="463"/>
      <c r="C58" s="1341" t="str">
        <f>YEAR(C7)&amp;"-"&amp;MONTH(C7)</f>
        <v>2021-7</v>
      </c>
      <c r="D58" s="1340">
        <f>EDATE(C58,-1)</f>
        <v>44348</v>
      </c>
      <c r="E58" s="1340">
        <f>EDATE(D58,-1)</f>
        <v>44317</v>
      </c>
      <c r="F58" s="1340">
        <f t="shared" ref="F58:O58" si="19">EDATE(E58,-1)</f>
        <v>44287</v>
      </c>
      <c r="G58" s="1340">
        <f t="shared" si="19"/>
        <v>44256</v>
      </c>
      <c r="H58" s="1340">
        <f t="shared" si="19"/>
        <v>44228</v>
      </c>
      <c r="I58" s="1340">
        <f t="shared" si="19"/>
        <v>44197</v>
      </c>
      <c r="J58" s="1340">
        <f t="shared" si="19"/>
        <v>44166</v>
      </c>
      <c r="K58" s="1340">
        <f t="shared" si="19"/>
        <v>44136</v>
      </c>
      <c r="L58" s="1340">
        <f t="shared" si="19"/>
        <v>44105</v>
      </c>
      <c r="M58" s="1340">
        <f t="shared" si="19"/>
        <v>44075</v>
      </c>
      <c r="N58" s="1340">
        <f t="shared" si="19"/>
        <v>44044</v>
      </c>
      <c r="O58" s="1340">
        <f t="shared" si="19"/>
        <v>44013</v>
      </c>
      <c r="P58" s="1336"/>
    </row>
    <row r="59" spans="1:29" s="113" customFormat="1">
      <c r="A59" s="466"/>
      <c r="B59" s="2097"/>
      <c r="C59" s="1338">
        <v>100</v>
      </c>
      <c r="D59" s="468"/>
      <c r="E59" s="469"/>
      <c r="F59" s="469"/>
      <c r="G59" s="469"/>
      <c r="H59" s="469"/>
      <c r="I59" s="469"/>
      <c r="J59" s="469"/>
      <c r="K59" s="469"/>
      <c r="L59" s="469"/>
      <c r="M59" s="470"/>
      <c r="N59" s="469"/>
      <c r="O59" s="470"/>
      <c r="P59" s="2098"/>
    </row>
    <row r="60" spans="1:29" s="113" customFormat="1" ht="15" thickBot="1">
      <c r="A60" s="472" t="s">
        <v>2400</v>
      </c>
      <c r="B60" s="473"/>
      <c r="C60" s="474"/>
      <c r="D60" s="475"/>
      <c r="E60" s="475"/>
      <c r="F60" s="475"/>
      <c r="G60" s="475"/>
      <c r="H60" s="475"/>
      <c r="I60" s="475"/>
      <c r="J60" s="475"/>
      <c r="K60" s="475"/>
      <c r="L60" s="475"/>
      <c r="M60" s="476"/>
      <c r="N60" s="475"/>
      <c r="O60" s="476"/>
      <c r="P60" s="2098"/>
      <c r="Q60" s="461"/>
    </row>
    <row r="61" spans="1:29" s="113" customFormat="1" ht="14.4">
      <c r="A61" s="478" t="s">
        <v>2401</v>
      </c>
      <c r="B61" s="467"/>
      <c r="C61" s="479" t="s">
        <v>2402</v>
      </c>
      <c r="D61" s="480"/>
      <c r="E61" s="480"/>
      <c r="F61" s="480"/>
      <c r="G61" s="480"/>
      <c r="H61" s="480"/>
      <c r="I61" s="480"/>
      <c r="J61" s="480"/>
      <c r="K61" s="480"/>
      <c r="L61" s="481"/>
      <c r="M61" s="482"/>
      <c r="N61" s="1057"/>
      <c r="O61" s="1057"/>
      <c r="P61" s="2099"/>
      <c r="Q61" s="461"/>
    </row>
    <row r="62" spans="1:29" s="113" customFormat="1" ht="14.4" thickBot="1">
      <c r="A62" s="478"/>
      <c r="B62" s="467"/>
      <c r="C62" s="468">
        <v>100</v>
      </c>
      <c r="D62" s="469"/>
      <c r="E62" s="469"/>
      <c r="F62" s="469"/>
      <c r="G62" s="469"/>
      <c r="H62" s="469"/>
      <c r="I62" s="469"/>
      <c r="J62" s="469"/>
      <c r="K62" s="469"/>
      <c r="L62" s="469"/>
      <c r="M62" s="471"/>
      <c r="N62" s="1057"/>
      <c r="O62" s="1057"/>
      <c r="P62" s="2098"/>
      <c r="Q62" s="461"/>
    </row>
    <row r="63" spans="1:29" ht="14.4">
      <c r="A63" s="484" t="s">
        <v>2403</v>
      </c>
      <c r="B63" s="485" t="s">
        <v>2369</v>
      </c>
      <c r="C63" s="486">
        <f>C9</f>
        <v>0</v>
      </c>
      <c r="D63" s="487"/>
      <c r="E63" s="487"/>
      <c r="F63" s="487"/>
      <c r="G63" s="487"/>
      <c r="H63" s="487"/>
      <c r="I63" s="487"/>
      <c r="J63" s="487"/>
      <c r="K63" s="488"/>
      <c r="L63" s="489"/>
      <c r="M63" s="490"/>
      <c r="N63" s="1058"/>
      <c r="O63" s="1058"/>
      <c r="P63" s="2100"/>
      <c r="Q63" s="461"/>
    </row>
    <row r="64" spans="1:29" ht="14.4" thickBot="1">
      <c r="A64" s="491"/>
      <c r="B64" s="492"/>
      <c r="C64" s="493">
        <v>100</v>
      </c>
      <c r="D64" s="493"/>
      <c r="E64" s="493"/>
      <c r="F64" s="493"/>
      <c r="G64" s="493"/>
      <c r="H64" s="493"/>
      <c r="I64" s="493"/>
      <c r="J64" s="493"/>
      <c r="K64" s="493"/>
      <c r="L64" s="493"/>
      <c r="M64" s="494"/>
      <c r="N64" s="1059"/>
      <c r="O64" s="1059"/>
      <c r="P64" s="2100"/>
      <c r="Q64" s="461"/>
    </row>
    <row r="65" spans="1:17" ht="29.4" thickTop="1">
      <c r="A65" s="491"/>
      <c r="B65" s="495" t="s">
        <v>2372</v>
      </c>
      <c r="C65" s="496" t="s">
        <v>2404</v>
      </c>
      <c r="D65" s="496" t="s">
        <v>2405</v>
      </c>
      <c r="E65" s="496" t="s">
        <v>2406</v>
      </c>
      <c r="F65" s="496" t="s">
        <v>2407</v>
      </c>
      <c r="G65" s="496" t="s">
        <v>2408</v>
      </c>
      <c r="H65" s="496" t="s">
        <v>2409</v>
      </c>
      <c r="I65" s="496" t="s">
        <v>2410</v>
      </c>
      <c r="J65" s="496"/>
      <c r="K65" s="497"/>
      <c r="L65" s="498"/>
      <c r="M65" s="499"/>
      <c r="N65" s="1058"/>
      <c r="O65" s="1058"/>
      <c r="P65" s="2100"/>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c r="A68" s="491"/>
      <c r="B68" s="505"/>
      <c r="C68" s="506"/>
      <c r="D68" s="506"/>
      <c r="E68" s="506"/>
      <c r="F68" s="506"/>
      <c r="G68" s="506"/>
      <c r="H68" s="506"/>
      <c r="I68" s="506"/>
      <c r="J68" s="506"/>
      <c r="K68" s="507"/>
      <c r="L68" s="508"/>
      <c r="M68" s="509"/>
      <c r="N68" s="1058"/>
      <c r="O68" s="1058"/>
      <c r="P68" s="2100"/>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4.4" thickTop="1">
      <c r="A70" s="510"/>
      <c r="B70" s="495">
        <f>B12</f>
        <v>111</v>
      </c>
      <c r="C70" s="511"/>
      <c r="D70" s="511"/>
      <c r="E70" s="511"/>
      <c r="F70" s="511"/>
      <c r="G70" s="511"/>
      <c r="H70" s="512"/>
      <c r="I70" s="512"/>
      <c r="J70" s="512"/>
      <c r="K70" s="512"/>
      <c r="L70" s="513"/>
      <c r="M70" s="514"/>
      <c r="N70" s="1060"/>
      <c r="O70" s="1060"/>
      <c r="P70" s="2101"/>
      <c r="Q70" s="516"/>
    </row>
    <row r="71" spans="1:17" s="430" customFormat="1" ht="14.4" thickBot="1">
      <c r="A71" s="510"/>
      <c r="B71" s="500"/>
      <c r="C71" s="517"/>
      <c r="D71" s="493"/>
      <c r="E71" s="493"/>
      <c r="F71" s="493"/>
      <c r="G71" s="493"/>
      <c r="H71" s="493"/>
      <c r="I71" s="493"/>
      <c r="J71" s="493"/>
      <c r="K71" s="493"/>
      <c r="L71" s="493"/>
      <c r="M71" s="494"/>
      <c r="N71" s="1059"/>
      <c r="O71" s="1059"/>
      <c r="P71" s="2101"/>
      <c r="Q71" s="516"/>
    </row>
    <row r="72" spans="1:17" s="430" customFormat="1" ht="14.4" thickTop="1">
      <c r="A72" s="510"/>
      <c r="B72" s="495">
        <f>B13</f>
        <v>111</v>
      </c>
      <c r="C72" s="511"/>
      <c r="D72" s="511"/>
      <c r="E72" s="511"/>
      <c r="F72" s="511"/>
      <c r="G72" s="511"/>
      <c r="H72" s="512"/>
      <c r="I72" s="512"/>
      <c r="J72" s="512"/>
      <c r="K72" s="512"/>
      <c r="L72" s="513"/>
      <c r="M72" s="514"/>
      <c r="N72" s="1060"/>
      <c r="O72" s="1060"/>
      <c r="P72" s="2102"/>
      <c r="Q72" s="518"/>
    </row>
    <row r="73" spans="1:17" s="430" customFormat="1" ht="14.4" thickBot="1">
      <c r="A73" s="510"/>
      <c r="B73" s="500"/>
      <c r="C73" s="517"/>
      <c r="D73" s="517"/>
      <c r="E73" s="517"/>
      <c r="F73" s="517"/>
      <c r="G73" s="517"/>
      <c r="H73" s="519"/>
      <c r="I73" s="519"/>
      <c r="J73" s="519"/>
      <c r="K73" s="519"/>
      <c r="L73" s="519"/>
      <c r="M73" s="520"/>
      <c r="N73" s="1060"/>
      <c r="O73" s="1060"/>
      <c r="P73" s="2101"/>
      <c r="Q73" s="516"/>
    </row>
    <row r="74" spans="1:17" s="430" customFormat="1" ht="14.4" thickTop="1">
      <c r="A74" s="510"/>
      <c r="B74" s="503">
        <f>B14</f>
        <v>111</v>
      </c>
      <c r="C74" s="511"/>
      <c r="D74" s="511"/>
      <c r="E74" s="511"/>
      <c r="F74" s="511"/>
      <c r="G74" s="480"/>
      <c r="H74" s="521"/>
      <c r="I74" s="521"/>
      <c r="J74" s="521"/>
      <c r="K74" s="521"/>
      <c r="L74" s="522"/>
      <c r="M74" s="523"/>
      <c r="N74" s="1060"/>
      <c r="O74" s="1060"/>
      <c r="P74" s="2103"/>
      <c r="Q74" s="516"/>
    </row>
    <row r="75" spans="1:17" s="430" customFormat="1" ht="14.4" thickBot="1">
      <c r="A75" s="525"/>
      <c r="B75" s="526"/>
      <c r="C75" s="527"/>
      <c r="D75" s="527"/>
      <c r="E75" s="527"/>
      <c r="F75" s="527"/>
      <c r="G75" s="527"/>
      <c r="H75" s="528"/>
      <c r="I75" s="528"/>
      <c r="J75" s="528"/>
      <c r="K75" s="528"/>
      <c r="L75" s="528"/>
      <c r="M75" s="529"/>
      <c r="N75" s="1060"/>
      <c r="O75" s="1060"/>
      <c r="P75" s="2101"/>
      <c r="Q75" s="516"/>
    </row>
    <row r="76" spans="1:17" ht="14.4">
      <c r="A76" s="484" t="s">
        <v>2374</v>
      </c>
      <c r="B76" s="485" t="s">
        <v>2411</v>
      </c>
      <c r="C76" s="530" t="s">
        <v>2412</v>
      </c>
      <c r="D76" s="530" t="s">
        <v>2413</v>
      </c>
      <c r="E76" s="530" t="s">
        <v>2414</v>
      </c>
      <c r="F76" s="530" t="s">
        <v>2415</v>
      </c>
      <c r="G76" s="530" t="s">
        <v>2416</v>
      </c>
      <c r="H76" s="486"/>
      <c r="I76" s="486"/>
      <c r="J76" s="486"/>
      <c r="K76" s="531"/>
      <c r="L76" s="532"/>
      <c r="M76" s="533"/>
      <c r="N76" s="1058"/>
      <c r="O76" s="1058"/>
      <c r="P76" s="2104"/>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 thickTop="1">
      <c r="A78" s="491"/>
      <c r="B78" s="495" t="s">
        <v>2417</v>
      </c>
      <c r="C78" s="535" t="s">
        <v>2412</v>
      </c>
      <c r="D78" s="535" t="s">
        <v>2413</v>
      </c>
      <c r="E78" s="535" t="s">
        <v>2414</v>
      </c>
      <c r="F78" s="535" t="s">
        <v>2415</v>
      </c>
      <c r="G78" s="535" t="s">
        <v>2416</v>
      </c>
      <c r="H78" s="496"/>
      <c r="I78" s="496"/>
      <c r="J78" s="496"/>
      <c r="K78" s="497"/>
      <c r="L78" s="498"/>
      <c r="M78" s="499"/>
      <c r="N78" s="1058"/>
      <c r="O78" s="1058"/>
      <c r="P78" s="2100"/>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 thickTop="1">
      <c r="A80" s="491"/>
      <c r="B80" s="495" t="s">
        <v>2418</v>
      </c>
      <c r="C80" s="535" t="s">
        <v>2412</v>
      </c>
      <c r="D80" s="535" t="s">
        <v>2413</v>
      </c>
      <c r="E80" s="535" t="s">
        <v>2414</v>
      </c>
      <c r="F80" s="535" t="s">
        <v>2415</v>
      </c>
      <c r="G80" s="535" t="s">
        <v>2416</v>
      </c>
      <c r="H80" s="496"/>
      <c r="I80" s="496"/>
      <c r="J80" s="496"/>
      <c r="K80" s="497"/>
      <c r="L80" s="498"/>
      <c r="M80" s="499"/>
      <c r="N80" s="1058"/>
      <c r="O80" s="1058"/>
      <c r="P80" s="2100"/>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 thickTop="1">
      <c r="A82" s="491"/>
      <c r="B82" s="503" t="s">
        <v>1943</v>
      </c>
      <c r="C82" s="496" t="s">
        <v>2419</v>
      </c>
      <c r="D82" s="496" t="s">
        <v>2420</v>
      </c>
      <c r="E82" s="496" t="s">
        <v>2421</v>
      </c>
      <c r="F82" s="496" t="s">
        <v>2422</v>
      </c>
      <c r="G82" s="496" t="s">
        <v>2423</v>
      </c>
      <c r="H82" s="496"/>
      <c r="I82" s="496"/>
      <c r="J82" s="496"/>
      <c r="K82" s="496"/>
      <c r="L82" s="496"/>
      <c r="M82" s="1285"/>
      <c r="N82" s="1059"/>
      <c r="O82" s="1059"/>
      <c r="P82" s="2100"/>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 thickTop="1">
      <c r="A84" s="491"/>
      <c r="B84" s="495" t="s">
        <v>2424</v>
      </c>
      <c r="C84" s="535" t="s">
        <v>2412</v>
      </c>
      <c r="D84" s="535" t="s">
        <v>2413</v>
      </c>
      <c r="E84" s="535" t="s">
        <v>2414</v>
      </c>
      <c r="F84" s="535" t="s">
        <v>2415</v>
      </c>
      <c r="G84" s="535" t="s">
        <v>2416</v>
      </c>
      <c r="H84" s="496"/>
      <c r="I84" s="496"/>
      <c r="J84" s="496"/>
      <c r="K84" s="497"/>
      <c r="L84" s="498"/>
      <c r="M84" s="499"/>
      <c r="N84" s="1058"/>
      <c r="O84" s="1058"/>
      <c r="P84" s="2100"/>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 thickTop="1">
      <c r="A86" s="536"/>
      <c r="B86" s="495" t="s">
        <v>2425</v>
      </c>
      <c r="C86" s="511"/>
      <c r="D86" s="511"/>
      <c r="E86" s="511"/>
      <c r="F86" s="511"/>
      <c r="G86" s="511"/>
      <c r="H86" s="511"/>
      <c r="I86" s="511"/>
      <c r="J86" s="511"/>
      <c r="K86" s="511"/>
      <c r="L86" s="537"/>
      <c r="M86" s="538"/>
      <c r="N86" s="1057"/>
      <c r="O86" s="1057"/>
      <c r="P86" s="2100"/>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 thickTop="1">
      <c r="A88" s="536"/>
      <c r="B88" s="495" t="s">
        <v>2426</v>
      </c>
      <c r="C88" s="511"/>
      <c r="D88" s="511"/>
      <c r="E88" s="511"/>
      <c r="F88" s="2105"/>
      <c r="G88" s="511"/>
      <c r="H88" s="511"/>
      <c r="I88" s="511"/>
      <c r="J88" s="511"/>
      <c r="K88" s="511"/>
      <c r="L88" s="511"/>
      <c r="M88" s="538"/>
      <c r="N88" s="1057"/>
      <c r="O88" s="1057"/>
      <c r="P88" s="2100"/>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4.4" thickTop="1">
      <c r="A90" s="510"/>
      <c r="B90" s="495">
        <f>B27</f>
        <v>111</v>
      </c>
      <c r="C90" s="511"/>
      <c r="D90" s="511"/>
      <c r="E90" s="511"/>
      <c r="F90" s="511"/>
      <c r="G90" s="511"/>
      <c r="H90" s="512"/>
      <c r="I90" s="512"/>
      <c r="J90" s="512"/>
      <c r="K90" s="512"/>
      <c r="L90" s="513"/>
      <c r="M90" s="514"/>
      <c r="N90" s="1060"/>
      <c r="O90" s="1060"/>
      <c r="P90" s="2101"/>
      <c r="Q90" s="516"/>
    </row>
    <row r="91" spans="1:17" s="430" customFormat="1" ht="14.4" thickBot="1">
      <c r="A91" s="510"/>
      <c r="B91" s="500"/>
      <c r="C91" s="517"/>
      <c r="D91" s="517"/>
      <c r="E91" s="517"/>
      <c r="F91" s="517"/>
      <c r="G91" s="517"/>
      <c r="H91" s="519"/>
      <c r="I91" s="519"/>
      <c r="J91" s="519"/>
      <c r="K91" s="519"/>
      <c r="L91" s="519"/>
      <c r="M91" s="520"/>
      <c r="N91" s="1060"/>
      <c r="O91" s="1060"/>
      <c r="P91" s="2101"/>
      <c r="Q91" s="516"/>
    </row>
    <row r="92" spans="1:17" ht="14.4" thickTop="1">
      <c r="A92" s="491"/>
      <c r="B92" s="495">
        <f>B28</f>
        <v>111</v>
      </c>
      <c r="C92" s="511"/>
      <c r="D92" s="511"/>
      <c r="E92" s="511"/>
      <c r="F92" s="511"/>
      <c r="G92" s="540"/>
      <c r="H92" s="540"/>
      <c r="I92" s="540"/>
      <c r="J92" s="540"/>
      <c r="K92" s="541"/>
      <c r="L92" s="542"/>
      <c r="M92" s="543"/>
      <c r="N92" s="1058"/>
      <c r="O92" s="1058"/>
      <c r="P92" s="2100"/>
      <c r="Q92" s="461"/>
    </row>
    <row r="93" spans="1:17" ht="14.4" thickBot="1">
      <c r="A93" s="491"/>
      <c r="B93" s="500"/>
      <c r="C93" s="517"/>
      <c r="D93" s="493"/>
      <c r="E93" s="493"/>
      <c r="F93" s="493"/>
      <c r="G93" s="493"/>
      <c r="H93" s="493"/>
      <c r="I93" s="493"/>
      <c r="J93" s="493"/>
      <c r="K93" s="493"/>
      <c r="L93" s="493"/>
      <c r="M93" s="494"/>
      <c r="N93" s="1059"/>
      <c r="O93" s="1059"/>
      <c r="P93" s="2100"/>
      <c r="Q93" s="461"/>
    </row>
    <row r="94" spans="1:17" ht="14.4" thickTop="1">
      <c r="A94" s="491"/>
      <c r="B94" s="495">
        <f>B29</f>
        <v>111</v>
      </c>
      <c r="C94" s="511"/>
      <c r="D94" s="511"/>
      <c r="E94" s="511"/>
      <c r="F94" s="511"/>
      <c r="G94" s="540"/>
      <c r="H94" s="540"/>
      <c r="I94" s="540"/>
      <c r="J94" s="540"/>
      <c r="K94" s="541"/>
      <c r="L94" s="542"/>
      <c r="M94" s="543"/>
      <c r="N94" s="1058"/>
      <c r="O94" s="1058"/>
      <c r="P94" s="2100"/>
      <c r="Q94" s="461"/>
    </row>
    <row r="95" spans="1:17" ht="14.4" thickBot="1">
      <c r="A95" s="491"/>
      <c r="B95" s="500"/>
      <c r="C95" s="517"/>
      <c r="D95" s="517"/>
      <c r="E95" s="517"/>
      <c r="F95" s="517"/>
      <c r="G95" s="493"/>
      <c r="H95" s="493"/>
      <c r="I95" s="493"/>
      <c r="J95" s="493"/>
      <c r="K95" s="493"/>
      <c r="L95" s="493"/>
      <c r="M95" s="494"/>
      <c r="N95" s="1059"/>
      <c r="O95" s="1059"/>
      <c r="P95" s="2100"/>
      <c r="Q95" s="461"/>
    </row>
    <row r="96" spans="1:17" ht="14.4" thickTop="1">
      <c r="A96" s="491"/>
      <c r="B96" s="495">
        <f>B30</f>
        <v>111</v>
      </c>
      <c r="C96" s="511"/>
      <c r="D96" s="511"/>
      <c r="E96" s="511"/>
      <c r="F96" s="511"/>
      <c r="G96" s="540"/>
      <c r="H96" s="540"/>
      <c r="I96" s="540"/>
      <c r="J96" s="540"/>
      <c r="K96" s="541"/>
      <c r="L96" s="542"/>
      <c r="M96" s="543"/>
      <c r="N96" s="1058"/>
      <c r="O96" s="1058"/>
      <c r="P96" s="2100"/>
      <c r="Q96" s="461"/>
    </row>
    <row r="97" spans="1:17" ht="14.4" thickBot="1">
      <c r="A97" s="491"/>
      <c r="B97" s="500"/>
      <c r="C97" s="527"/>
      <c r="D97" s="527"/>
      <c r="E97" s="527"/>
      <c r="F97" s="527"/>
      <c r="G97" s="493"/>
      <c r="H97" s="493"/>
      <c r="I97" s="493"/>
      <c r="J97" s="493"/>
      <c r="K97" s="493"/>
      <c r="L97" s="493"/>
      <c r="M97" s="494"/>
      <c r="N97" s="1059"/>
      <c r="O97" s="1059"/>
      <c r="P97" s="2100"/>
      <c r="Q97" s="461"/>
    </row>
    <row r="98" spans="1:17" ht="14.4" thickTop="1">
      <c r="A98" s="491"/>
      <c r="B98" s="503">
        <f>B31</f>
        <v>111</v>
      </c>
      <c r="C98" s="544"/>
      <c r="D98" s="544"/>
      <c r="E98" s="544"/>
      <c r="F98" s="544"/>
      <c r="G98" s="544"/>
      <c r="H98" s="544"/>
      <c r="I98" s="544"/>
      <c r="J98" s="544"/>
      <c r="K98" s="545"/>
      <c r="L98" s="546"/>
      <c r="M98" s="547"/>
      <c r="N98" s="1058"/>
      <c r="O98" s="1058"/>
      <c r="P98" s="2100"/>
      <c r="Q98" s="461"/>
    </row>
    <row r="99" spans="1:17" ht="14.4" thickBot="1">
      <c r="A99" s="2106"/>
      <c r="B99" s="526"/>
      <c r="C99" s="548"/>
      <c r="D99" s="548"/>
      <c r="E99" s="548"/>
      <c r="F99" s="548"/>
      <c r="G99" s="548"/>
      <c r="H99" s="548"/>
      <c r="I99" s="548"/>
      <c r="J99" s="548"/>
      <c r="K99" s="548"/>
      <c r="L99" s="548"/>
      <c r="M99" s="549"/>
      <c r="N99" s="1059"/>
      <c r="O99" s="1059"/>
      <c r="P99" s="2100"/>
      <c r="Q99" s="461"/>
    </row>
    <row r="100" spans="1:17" ht="14.4">
      <c r="A100" s="484" t="s">
        <v>2378</v>
      </c>
      <c r="B100" s="485" t="s">
        <v>2427</v>
      </c>
      <c r="C100" s="487"/>
      <c r="D100" s="487"/>
      <c r="E100" s="487"/>
      <c r="F100" s="487"/>
      <c r="G100" s="487"/>
      <c r="H100" s="487"/>
      <c r="I100" s="487"/>
      <c r="J100" s="487"/>
      <c r="K100" s="488"/>
      <c r="L100" s="489"/>
      <c r="M100" s="490"/>
      <c r="N100" s="1058"/>
      <c r="O100" s="1058"/>
      <c r="P100" s="2100"/>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4.4"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2429</v>
      </c>
      <c r="C105" s="511"/>
      <c r="D105" s="511"/>
      <c r="E105" s="540"/>
      <c r="F105" s="540"/>
      <c r="G105" s="540"/>
      <c r="H105" s="540"/>
      <c r="I105" s="540"/>
      <c r="J105" s="540"/>
      <c r="K105" s="541"/>
      <c r="L105" s="542"/>
      <c r="M105" s="543"/>
      <c r="N105" s="1058"/>
      <c r="O105" s="1058"/>
      <c r="P105" s="2100"/>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2430</v>
      </c>
      <c r="C107" s="540"/>
      <c r="D107" s="540"/>
      <c r="E107" s="540"/>
      <c r="F107" s="540"/>
      <c r="G107" s="540"/>
      <c r="H107" s="540"/>
      <c r="I107" s="540"/>
      <c r="J107" s="540"/>
      <c r="K107" s="541"/>
      <c r="L107" s="542"/>
      <c r="M107" s="543"/>
      <c r="N107" s="1058"/>
      <c r="O107" s="1058"/>
      <c r="P107" s="2100"/>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2431</v>
      </c>
      <c r="C109" s="511"/>
      <c r="D109" s="511"/>
      <c r="E109" s="511"/>
      <c r="F109" s="540"/>
      <c r="G109" s="540"/>
      <c r="H109" s="540"/>
      <c r="I109" s="540"/>
      <c r="J109" s="540"/>
      <c r="K109" s="541"/>
      <c r="L109" s="542"/>
      <c r="M109" s="543"/>
      <c r="N109" s="1058"/>
      <c r="O109" s="1058"/>
      <c r="P109" s="2100"/>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2432</v>
      </c>
      <c r="C114" s="511"/>
      <c r="D114" s="511"/>
      <c r="E114" s="540"/>
      <c r="F114" s="540"/>
      <c r="G114" s="540"/>
      <c r="H114" s="540"/>
      <c r="I114" s="540"/>
      <c r="J114" s="540"/>
      <c r="K114" s="541"/>
      <c r="L114" s="542"/>
      <c r="M114" s="543"/>
      <c r="N114" s="1058"/>
      <c r="O114" s="1058"/>
      <c r="P114" s="2100"/>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2433</v>
      </c>
      <c r="C116" s="511"/>
      <c r="D116" s="511"/>
      <c r="E116" s="511"/>
      <c r="F116" s="511"/>
      <c r="G116" s="511"/>
      <c r="H116" s="540"/>
      <c r="I116" s="540"/>
      <c r="J116" s="540"/>
      <c r="K116" s="541"/>
      <c r="L116" s="542"/>
      <c r="M116" s="543"/>
      <c r="N116" s="1058"/>
      <c r="O116" s="1058"/>
      <c r="P116" s="2100"/>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2434</v>
      </c>
      <c r="C118" s="540"/>
      <c r="D118" s="540"/>
      <c r="E118" s="540"/>
      <c r="F118" s="540"/>
      <c r="G118" s="540"/>
      <c r="H118" s="540"/>
      <c r="I118" s="540"/>
      <c r="J118" s="540"/>
      <c r="K118" s="541"/>
      <c r="L118" s="542"/>
      <c r="M118" s="543"/>
      <c r="N118" s="1058"/>
      <c r="O118" s="1058"/>
      <c r="P118" s="2100"/>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9.4" thickTop="1">
      <c r="A120" s="550"/>
      <c r="B120" s="495" t="s">
        <v>2389</v>
      </c>
      <c r="C120" s="511"/>
      <c r="D120" s="511"/>
      <c r="E120" s="511"/>
      <c r="F120" s="511"/>
      <c r="G120" s="511"/>
      <c r="H120" s="511"/>
      <c r="I120" s="511"/>
      <c r="J120" s="511"/>
      <c r="K120" s="511"/>
      <c r="L120" s="537"/>
      <c r="M120" s="538"/>
      <c r="N120" s="1060"/>
      <c r="O120" s="1060"/>
      <c r="P120" s="2101"/>
      <c r="Q120" s="516"/>
    </row>
    <row r="121" spans="1:17" s="430" customFormat="1" ht="14.4"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2435</v>
      </c>
      <c r="C122" s="511"/>
      <c r="D122" s="511"/>
      <c r="E122" s="511"/>
      <c r="F122" s="540"/>
      <c r="G122" s="540"/>
      <c r="H122" s="540"/>
      <c r="I122" s="540"/>
      <c r="J122" s="540"/>
      <c r="K122" s="541"/>
      <c r="L122" s="542"/>
      <c r="M122" s="543"/>
      <c r="N122" s="1058"/>
      <c r="O122" s="1058"/>
      <c r="P122" s="2100"/>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29.4" thickTop="1">
      <c r="A124" s="556"/>
      <c r="B124" s="495" t="s">
        <v>2436</v>
      </c>
      <c r="C124" s="535" t="s">
        <v>2412</v>
      </c>
      <c r="D124" s="535" t="s">
        <v>2413</v>
      </c>
      <c r="E124" s="535" t="s">
        <v>2414</v>
      </c>
      <c r="F124" s="535" t="s">
        <v>2415</v>
      </c>
      <c r="G124" s="535" t="s">
        <v>2416</v>
      </c>
      <c r="H124" s="496"/>
      <c r="I124" s="496"/>
      <c r="J124" s="496"/>
      <c r="K124" s="497"/>
      <c r="L124" s="498"/>
      <c r="M124" s="499"/>
      <c r="N124" s="1058"/>
      <c r="O124" s="1058"/>
      <c r="P124" s="2101"/>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4.4"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4.4" thickBot="1">
      <c r="A127" s="510"/>
      <c r="B127" s="500"/>
      <c r="C127" s="517"/>
      <c r="D127" s="493"/>
      <c r="E127" s="493"/>
      <c r="F127" s="493"/>
      <c r="G127" s="517"/>
      <c r="H127" s="519"/>
      <c r="I127" s="519"/>
      <c r="J127" s="519"/>
      <c r="K127" s="519"/>
      <c r="L127" s="519"/>
      <c r="M127" s="520"/>
      <c r="N127" s="1060"/>
      <c r="O127" s="1060"/>
      <c r="P127" s="2101"/>
      <c r="Q127" s="516"/>
    </row>
    <row r="128" spans="1:17" ht="14.4" thickTop="1">
      <c r="A128" s="556"/>
      <c r="B128" s="495">
        <f>B45</f>
        <v>111</v>
      </c>
      <c r="C128" s="511"/>
      <c r="D128" s="511"/>
      <c r="E128" s="511"/>
      <c r="F128" s="511"/>
      <c r="G128" s="540"/>
      <c r="H128" s="540"/>
      <c r="I128" s="540"/>
      <c r="J128" s="540"/>
      <c r="K128" s="541"/>
      <c r="L128" s="542"/>
      <c r="M128" s="543"/>
      <c r="N128" s="1058"/>
      <c r="O128" s="1058"/>
      <c r="P128" s="2100"/>
      <c r="Q128" s="461"/>
    </row>
    <row r="129" spans="1:17" ht="14.4" thickBot="1">
      <c r="A129" s="491"/>
      <c r="B129" s="500"/>
      <c r="C129" s="517"/>
      <c r="D129" s="517"/>
      <c r="E129" s="517"/>
      <c r="F129" s="517"/>
      <c r="G129" s="493"/>
      <c r="H129" s="493"/>
      <c r="I129" s="493"/>
      <c r="J129" s="493"/>
      <c r="K129" s="493"/>
      <c r="L129" s="493"/>
      <c r="M129" s="494"/>
      <c r="N129" s="1059"/>
      <c r="O129" s="1059"/>
      <c r="P129" s="2100"/>
      <c r="Q129" s="461"/>
    </row>
    <row r="130" spans="1:17" ht="14.4" thickTop="1">
      <c r="A130" s="556"/>
      <c r="B130" s="503">
        <f>B46</f>
        <v>111</v>
      </c>
      <c r="C130" s="511"/>
      <c r="D130" s="511"/>
      <c r="E130" s="511"/>
      <c r="F130" s="511"/>
      <c r="G130" s="544"/>
      <c r="H130" s="544"/>
      <c r="I130" s="544"/>
      <c r="J130" s="544"/>
      <c r="K130" s="480"/>
      <c r="L130" s="481"/>
      <c r="M130" s="547"/>
      <c r="N130" s="1058"/>
      <c r="O130" s="1058"/>
      <c r="P130" s="2100"/>
      <c r="Q130" s="461"/>
    </row>
    <row r="131" spans="1:17" ht="14.4"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2437</v>
      </c>
    </row>
    <row r="137" spans="1:17" ht="15">
      <c r="B137" s="2108" t="s">
        <v>2438</v>
      </c>
      <c r="C137" s="2109"/>
      <c r="D137" s="2109"/>
      <c r="E137" s="2109"/>
      <c r="F137" s="2109"/>
      <c r="G137" s="2110"/>
      <c r="H137" s="2111"/>
      <c r="I137" s="2112" t="s">
        <v>2439</v>
      </c>
      <c r="J137" s="2109"/>
      <c r="K137" s="2113"/>
    </row>
    <row r="138" spans="1:17" ht="15">
      <c r="B138" s="2114"/>
      <c r="C138" s="142" t="s">
        <v>2440</v>
      </c>
      <c r="D138" s="142" t="s">
        <v>2441</v>
      </c>
      <c r="E138" s="2115" t="s">
        <v>2442</v>
      </c>
      <c r="F138" s="2116" t="s">
        <v>2443</v>
      </c>
      <c r="G138" s="142" t="s">
        <v>2441</v>
      </c>
      <c r="H138" s="143" t="s">
        <v>2442</v>
      </c>
      <c r="I138" s="2117"/>
      <c r="J138" s="142" t="s">
        <v>2444</v>
      </c>
      <c r="K138" s="143" t="s">
        <v>2445</v>
      </c>
    </row>
    <row r="139" spans="1:17" ht="15">
      <c r="B139" s="992">
        <v>6</v>
      </c>
      <c r="C139" s="993">
        <v>96</v>
      </c>
      <c r="D139" s="2118" t="s">
        <v>2446</v>
      </c>
      <c r="E139" s="994">
        <v>100</v>
      </c>
      <c r="F139" s="995">
        <v>102.5</v>
      </c>
      <c r="G139" s="2118" t="s">
        <v>2446</v>
      </c>
      <c r="H139" s="996">
        <v>105</v>
      </c>
      <c r="I139" s="2119" t="s">
        <v>2447</v>
      </c>
      <c r="J139" s="993">
        <v>20</v>
      </c>
      <c r="K139" s="997">
        <f>C145/(J139-2)</f>
        <v>4.0555555555555553E-3</v>
      </c>
    </row>
    <row r="140" spans="1:17" ht="15">
      <c r="B140" s="998">
        <v>5</v>
      </c>
      <c r="C140" s="999">
        <v>100</v>
      </c>
      <c r="D140" s="999"/>
      <c r="E140" s="1000"/>
      <c r="F140" s="1001">
        <v>102</v>
      </c>
      <c r="G140" s="999"/>
      <c r="H140" s="1002"/>
      <c r="I140" s="2120" t="s">
        <v>2448</v>
      </c>
      <c r="J140" s="277">
        <f>ROUNDUP((J139-1)/2,0)</f>
        <v>10</v>
      </c>
      <c r="K140" s="1003">
        <v>100</v>
      </c>
    </row>
    <row r="141" spans="1:17" ht="15">
      <c r="B141" s="998">
        <v>4</v>
      </c>
      <c r="C141" s="999">
        <v>102</v>
      </c>
      <c r="D141" s="999"/>
      <c r="E141" s="1000"/>
      <c r="F141" s="1001">
        <v>101.5</v>
      </c>
      <c r="G141" s="999"/>
      <c r="H141" s="1002"/>
      <c r="I141" s="2120" t="s">
        <v>2449</v>
      </c>
      <c r="J141" s="277">
        <v>1</v>
      </c>
      <c r="K141" s="1004">
        <f>ROUND(100+(J141-J140)*K139*100,1)</f>
        <v>96.4</v>
      </c>
    </row>
    <row r="142" spans="1:17" ht="15">
      <c r="B142" s="998">
        <v>3</v>
      </c>
      <c r="C142" s="999">
        <v>103</v>
      </c>
      <c r="D142" s="999"/>
      <c r="E142" s="1000"/>
      <c r="F142" s="1001">
        <v>101</v>
      </c>
      <c r="G142" s="999"/>
      <c r="H142" s="1002"/>
      <c r="I142" s="2120" t="s">
        <v>2450</v>
      </c>
      <c r="J142" s="277">
        <f>J139</f>
        <v>20</v>
      </c>
      <c r="K142" s="1005">
        <v>95</v>
      </c>
    </row>
    <row r="143" spans="1:17" ht="15">
      <c r="B143" s="998">
        <v>2</v>
      </c>
      <c r="C143" s="999">
        <v>100</v>
      </c>
      <c r="D143" s="999"/>
      <c r="E143" s="1000"/>
      <c r="F143" s="1001">
        <v>100.5</v>
      </c>
      <c r="G143" s="999"/>
      <c r="H143" s="1002"/>
      <c r="I143" s="2120" t="s">
        <v>2451</v>
      </c>
      <c r="J143" s="999">
        <v>15</v>
      </c>
      <c r="K143" s="1004">
        <f>ROUND(100+(J143-J140)*K139*100,1)</f>
        <v>102</v>
      </c>
    </row>
    <row r="144" spans="1:17" ht="15">
      <c r="B144" s="998">
        <v>1</v>
      </c>
      <c r="C144" s="999">
        <v>98</v>
      </c>
      <c r="D144" s="2121" t="s">
        <v>2452</v>
      </c>
      <c r="E144" s="1000">
        <v>102</v>
      </c>
      <c r="F144" s="1006">
        <v>100</v>
      </c>
      <c r="G144" s="2121" t="s">
        <v>2452</v>
      </c>
      <c r="H144" s="1002">
        <v>105</v>
      </c>
      <c r="I144" s="2120" t="s">
        <v>2451</v>
      </c>
      <c r="J144" s="999">
        <v>18</v>
      </c>
      <c r="K144" s="1004">
        <f>ROUND(100+(J144-J140)*K139*100,1)</f>
        <v>103.2</v>
      </c>
    </row>
    <row r="145" spans="2:11" ht="16.2" thickBot="1">
      <c r="B145" s="2122" t="s">
        <v>2453</v>
      </c>
      <c r="C145" s="1007">
        <f>ROUND(MAX(C139:C144)/MIN(C139:C144)-1,3)</f>
        <v>7.2999999999999995E-2</v>
      </c>
      <c r="D145" s="1008"/>
      <c r="E145" s="1008"/>
      <c r="F145" s="2123" t="s">
        <v>2454</v>
      </c>
      <c r="G145" s="2124"/>
      <c r="H145" s="2125"/>
      <c r="I145" s="2126" t="s">
        <v>2451</v>
      </c>
      <c r="J145" s="1009">
        <v>8</v>
      </c>
      <c r="K145" s="1010">
        <f>ROUND(100+(J145-J140)*K139*100,1)</f>
        <v>99.2</v>
      </c>
    </row>
    <row r="147" spans="2:11" ht="14.4">
      <c r="B147" s="2107" t="s">
        <v>2455</v>
      </c>
    </row>
    <row r="148" spans="2:11" ht="14.4">
      <c r="B148" s="2107"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2343</v>
      </c>
      <c r="B1" s="2056" t="s">
        <v>2457</v>
      </c>
      <c r="C1" s="1399" t="s">
        <v>2345</v>
      </c>
      <c r="D1" s="1386"/>
      <c r="E1" s="2535"/>
      <c r="F1" s="2057"/>
      <c r="G1" s="1396" t="s">
        <v>2458</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5"/>
      <c r="M2" s="2956"/>
      <c r="N2" s="2956"/>
      <c r="O2" s="2956"/>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2459</v>
      </c>
      <c r="D3" s="359">
        <f>IF(D1="",'数据-汇总表'!E3,SUMIF('数据-汇总表'!$C19:$C33,D1,'数据-汇总表'!$E19:$E33))</f>
        <v>183777.08000000002</v>
      </c>
      <c r="E3" s="2132"/>
      <c r="F3" s="1034"/>
      <c r="G3" s="1033"/>
      <c r="H3" s="1033"/>
      <c r="I3" s="1033"/>
      <c r="J3" s="1033"/>
      <c r="K3" s="1035"/>
      <c r="L3" s="2955"/>
      <c r="M3" s="2956"/>
      <c r="N3" s="2956"/>
      <c r="O3" s="2956"/>
      <c r="P3" s="2130"/>
      <c r="Q3" s="1037"/>
      <c r="R3" s="1037"/>
      <c r="S3" s="1037"/>
      <c r="T3" s="1037"/>
      <c r="U3" s="1037"/>
      <c r="V3" s="1037"/>
      <c r="W3" s="1037"/>
      <c r="X3" s="1037"/>
      <c r="Y3" s="1037"/>
      <c r="Z3" s="1037"/>
      <c r="AA3" s="1037"/>
      <c r="AB3" s="1037"/>
      <c r="AC3" s="2132"/>
    </row>
    <row r="4" spans="1:29" ht="14.4">
      <c r="A4" s="361" t="s">
        <v>2460</v>
      </c>
      <c r="B4" s="362"/>
      <c r="C4" s="3287" t="s">
        <v>2461</v>
      </c>
      <c r="D4" s="3300"/>
      <c r="E4" s="3301" t="s">
        <v>2462</v>
      </c>
      <c r="F4" s="3302"/>
      <c r="G4" s="3287" t="s">
        <v>2463</v>
      </c>
      <c r="H4" s="3300"/>
      <c r="I4" s="3287" t="s">
        <v>2464</v>
      </c>
      <c r="J4" s="3300"/>
      <c r="K4" s="567" t="s">
        <v>2465</v>
      </c>
      <c r="L4" s="2936"/>
      <c r="M4" s="2937"/>
      <c r="N4" s="2937"/>
      <c r="O4" s="2937"/>
      <c r="P4" s="3303" t="s">
        <v>2466</v>
      </c>
      <c r="Q4" s="3304"/>
      <c r="R4" s="3309" t="s">
        <v>2462</v>
      </c>
      <c r="S4" s="3310"/>
      <c r="T4" s="3309" t="s">
        <v>2463</v>
      </c>
      <c r="U4" s="3310"/>
      <c r="V4" s="3296" t="s">
        <v>2464</v>
      </c>
      <c r="W4" s="3296"/>
      <c r="X4" s="1532"/>
      <c r="Y4" s="3309" t="s">
        <v>2466</v>
      </c>
      <c r="Z4" s="3310"/>
      <c r="AA4" s="3297" t="s">
        <v>2462</v>
      </c>
      <c r="AB4" s="3296" t="s">
        <v>2463</v>
      </c>
      <c r="AC4" s="3297" t="s">
        <v>2464</v>
      </c>
    </row>
    <row r="5" spans="1:29">
      <c r="A5" s="364"/>
      <c r="B5" s="365"/>
      <c r="C5" s="3317" t="s">
        <v>2357</v>
      </c>
      <c r="D5" s="3318"/>
      <c r="E5" s="3325" t="s">
        <v>2358</v>
      </c>
      <c r="F5" s="3326"/>
      <c r="G5" s="3317" t="s">
        <v>2359</v>
      </c>
      <c r="H5" s="3318"/>
      <c r="I5" s="3317" t="s">
        <v>2360</v>
      </c>
      <c r="J5" s="3318"/>
      <c r="K5" s="567"/>
      <c r="L5" s="2936"/>
      <c r="M5" s="2937"/>
      <c r="N5" s="2937"/>
      <c r="O5" s="2937"/>
      <c r="P5" s="3305"/>
      <c r="Q5" s="3306"/>
      <c r="R5" s="3311"/>
      <c r="S5" s="3312"/>
      <c r="T5" s="3311"/>
      <c r="U5" s="3312"/>
      <c r="V5" s="3296"/>
      <c r="W5" s="3296"/>
      <c r="X5" s="1532"/>
      <c r="Y5" s="3311"/>
      <c r="Z5" s="3312"/>
      <c r="AA5" s="3298"/>
      <c r="AB5" s="3296"/>
      <c r="AC5" s="3298"/>
    </row>
    <row r="6" spans="1:29" ht="15" thickBot="1">
      <c r="A6" s="366"/>
      <c r="B6" s="367"/>
      <c r="C6" s="3315" t="s">
        <v>2361</v>
      </c>
      <c r="D6" s="3316"/>
      <c r="E6" s="3323" t="s">
        <v>2361</v>
      </c>
      <c r="F6" s="3324"/>
      <c r="G6" s="3315" t="s">
        <v>2361</v>
      </c>
      <c r="H6" s="3316"/>
      <c r="I6" s="3315" t="s">
        <v>2361</v>
      </c>
      <c r="J6" s="3316"/>
      <c r="K6" s="567" t="s">
        <v>2362</v>
      </c>
      <c r="L6" s="2936"/>
      <c r="M6" s="2937"/>
      <c r="N6" s="2937"/>
      <c r="O6" s="2937"/>
      <c r="P6" s="3307"/>
      <c r="Q6" s="3308"/>
      <c r="R6" s="3311"/>
      <c r="S6" s="3312"/>
      <c r="T6" s="3313"/>
      <c r="U6" s="3314"/>
      <c r="V6" s="3296"/>
      <c r="W6" s="3296"/>
      <c r="X6" s="1532"/>
      <c r="Y6" s="3313"/>
      <c r="Z6" s="3314"/>
      <c r="AA6" s="3299"/>
      <c r="AB6" s="3296"/>
      <c r="AC6" s="3299"/>
    </row>
    <row r="7" spans="1:29" s="113" customFormat="1" ht="1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19" t="s">
        <v>2364</v>
      </c>
      <c r="Q7" s="3321"/>
      <c r="R7" s="710" t="s">
        <v>17</v>
      </c>
      <c r="S7" s="711">
        <f t="shared" ref="S7:S15" si="0">F7</f>
        <v>0</v>
      </c>
      <c r="T7" s="710" t="s">
        <v>17</v>
      </c>
      <c r="U7" s="711">
        <f t="shared" ref="U7:U15" si="1">H7</f>
        <v>0</v>
      </c>
      <c r="V7" s="710" t="s">
        <v>17</v>
      </c>
      <c r="W7" s="711">
        <f t="shared" ref="W7:W15" si="2">J7</f>
        <v>0</v>
      </c>
      <c r="X7" s="712"/>
      <c r="Y7" s="3319" t="s">
        <v>2364</v>
      </c>
      <c r="Z7" s="3320"/>
      <c r="AA7" s="713" t="e">
        <f>D7/F7</f>
        <v>#DIV/0!</v>
      </c>
      <c r="AB7" s="713" t="e">
        <f>D7/H7</f>
        <v>#DIV/0!</v>
      </c>
      <c r="AC7" s="713" t="e">
        <f>D7/J7</f>
        <v>#DIV/0!</v>
      </c>
    </row>
    <row r="8" spans="1:29" s="113" customFormat="1" ht="1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19" t="s">
        <v>2367</v>
      </c>
      <c r="Q8" s="3320"/>
      <c r="R8" s="710" t="s">
        <v>17</v>
      </c>
      <c r="S8" s="711">
        <f t="shared" si="0"/>
        <v>0</v>
      </c>
      <c r="T8" s="710" t="s">
        <v>17</v>
      </c>
      <c r="U8" s="711">
        <f t="shared" si="1"/>
        <v>0</v>
      </c>
      <c r="V8" s="710" t="s">
        <v>17</v>
      </c>
      <c r="W8" s="711">
        <f t="shared" si="2"/>
        <v>0</v>
      </c>
      <c r="X8" s="712"/>
      <c r="Y8" s="3319" t="s">
        <v>2367</v>
      </c>
      <c r="Z8" s="3320"/>
      <c r="AA8" s="713" t="e">
        <f t="shared" ref="AA8:AA46" si="3">D8/F8</f>
        <v>#DIV/0!</v>
      </c>
      <c r="AB8" s="713" t="e">
        <f t="shared" ref="AB8:AB46" si="4">D8/H8</f>
        <v>#DIV/0!</v>
      </c>
      <c r="AC8" s="713" t="e">
        <f t="shared" ref="AC8:AC46" si="5">D8/J8</f>
        <v>#DIV/0!</v>
      </c>
    </row>
    <row r="9" spans="1:29" s="113" customFormat="1" ht="14.4">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289"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289"/>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289"/>
      <c r="Q11" s="1520"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289"/>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289"/>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289"/>
      <c r="Q14" s="1520">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65" t="s">
        <v>2468</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64" t="s">
        <v>2375</v>
      </c>
      <c r="Q15" s="1529" t="str">
        <f t="shared" si="6"/>
        <v>商业繁华度</v>
      </c>
      <c r="R15" s="714" t="s">
        <v>17</v>
      </c>
      <c r="S15" s="715">
        <f t="shared" si="0"/>
        <v>100</v>
      </c>
      <c r="T15" s="714" t="s">
        <v>17</v>
      </c>
      <c r="U15" s="715">
        <f t="shared" si="1"/>
        <v>100</v>
      </c>
      <c r="V15" s="714" t="s">
        <v>17</v>
      </c>
      <c r="W15" s="715">
        <f t="shared" si="2"/>
        <v>100</v>
      </c>
      <c r="X15" s="1532"/>
      <c r="Y15" s="3292" t="s">
        <v>2375</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3"/>
      <c r="M16" s="2937"/>
      <c r="N16" s="2937"/>
      <c r="O16" s="2937"/>
      <c r="P16" s="3365"/>
      <c r="Q16" s="1529"/>
      <c r="R16" s="714"/>
      <c r="S16" s="715"/>
      <c r="T16" s="714"/>
      <c r="U16" s="715"/>
      <c r="V16" s="714"/>
      <c r="W16" s="715"/>
      <c r="X16" s="1532"/>
      <c r="Y16" s="3293"/>
      <c r="Z16" s="1533"/>
      <c r="AA16" s="1530">
        <v>1</v>
      </c>
      <c r="AB16" s="1530">
        <v>1</v>
      </c>
      <c r="AC16" s="1530">
        <v>1</v>
      </c>
    </row>
    <row r="17" spans="1:29" ht="82.8">
      <c r="A17" s="387"/>
      <c r="B17" s="410" t="s">
        <v>1942</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65"/>
      <c r="Q17" s="1529" t="str">
        <f>B17</f>
        <v>交通便捷度</v>
      </c>
      <c r="R17" s="714" t="s">
        <v>17</v>
      </c>
      <c r="S17" s="715">
        <f>F17</f>
        <v>100</v>
      </c>
      <c r="T17" s="714" t="s">
        <v>17</v>
      </c>
      <c r="U17" s="715">
        <f>H17</f>
        <v>100</v>
      </c>
      <c r="V17" s="714" t="s">
        <v>17</v>
      </c>
      <c r="W17" s="715">
        <f>J17</f>
        <v>100</v>
      </c>
      <c r="X17" s="1532"/>
      <c r="Y17" s="3293"/>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3"/>
      <c r="M18" s="2937"/>
      <c r="N18" s="2937"/>
      <c r="O18" s="2937"/>
      <c r="P18" s="3365"/>
      <c r="Q18" s="1529"/>
      <c r="R18" s="714"/>
      <c r="S18" s="715"/>
      <c r="T18" s="714"/>
      <c r="U18" s="715"/>
      <c r="V18" s="714"/>
      <c r="W18" s="715"/>
      <c r="X18" s="1532"/>
      <c r="Y18" s="3293"/>
      <c r="Z18" s="1533"/>
      <c r="AA18" s="1530">
        <v>1</v>
      </c>
      <c r="AB18" s="1530">
        <v>1</v>
      </c>
      <c r="AC18" s="1530">
        <v>1</v>
      </c>
    </row>
    <row r="19" spans="1:29" ht="41.4">
      <c r="A19" s="387"/>
      <c r="B19" s="410" t="s">
        <v>2469</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65"/>
      <c r="Q19" s="1529" t="str">
        <f>B19</f>
        <v>公共配套设施</v>
      </c>
      <c r="R19" s="714" t="s">
        <v>17</v>
      </c>
      <c r="S19" s="715">
        <f>F19</f>
        <v>100</v>
      </c>
      <c r="T19" s="714" t="s">
        <v>17</v>
      </c>
      <c r="U19" s="715">
        <f>H19</f>
        <v>100</v>
      </c>
      <c r="V19" s="714" t="s">
        <v>17</v>
      </c>
      <c r="W19" s="715">
        <f>J19</f>
        <v>100</v>
      </c>
      <c r="X19" s="1532"/>
      <c r="Y19" s="3293"/>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3"/>
      <c r="M20" s="2937"/>
      <c r="N20" s="2937"/>
      <c r="O20" s="2937"/>
      <c r="P20" s="3365"/>
      <c r="Q20" s="1529"/>
      <c r="R20" s="714"/>
      <c r="S20" s="715"/>
      <c r="T20" s="714"/>
      <c r="U20" s="715"/>
      <c r="V20" s="714"/>
      <c r="W20" s="715"/>
      <c r="X20" s="1532"/>
      <c r="Y20" s="3293"/>
      <c r="Z20" s="1533"/>
      <c r="AA20" s="1530">
        <v>1</v>
      </c>
      <c r="AB20" s="1530">
        <v>1</v>
      </c>
      <c r="AC20" s="1530">
        <v>1</v>
      </c>
    </row>
    <row r="21" spans="1:29" ht="27.6">
      <c r="A21" s="387"/>
      <c r="B21" s="1287" t="s">
        <v>2470</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65"/>
      <c r="Q21" s="1529" t="str">
        <f>B21</f>
        <v>基础设施水平</v>
      </c>
      <c r="R21" s="714" t="s">
        <v>17</v>
      </c>
      <c r="S21" s="715">
        <f>F21</f>
        <v>100</v>
      </c>
      <c r="T21" s="714" t="s">
        <v>17</v>
      </c>
      <c r="U21" s="715">
        <f>H21</f>
        <v>100</v>
      </c>
      <c r="V21" s="714" t="s">
        <v>17</v>
      </c>
      <c r="W21" s="715">
        <f>J21</f>
        <v>100</v>
      </c>
      <c r="X21" s="1532"/>
      <c r="Y21" s="3293"/>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3"/>
      <c r="M22" s="2937"/>
      <c r="N22" s="2937"/>
      <c r="O22" s="2937"/>
      <c r="P22" s="3365"/>
      <c r="Q22" s="1529"/>
      <c r="R22" s="714"/>
      <c r="S22" s="715"/>
      <c r="T22" s="714"/>
      <c r="U22" s="715"/>
      <c r="V22" s="714"/>
      <c r="W22" s="715"/>
      <c r="X22" s="1532"/>
      <c r="Y22" s="3293"/>
      <c r="Z22" s="1533"/>
      <c r="AA22" s="1530">
        <v>1</v>
      </c>
      <c r="AB22" s="1530">
        <v>1</v>
      </c>
      <c r="AC22" s="1530">
        <v>1</v>
      </c>
    </row>
    <row r="23" spans="1:29" ht="55.2">
      <c r="A23" s="387"/>
      <c r="B23" s="410" t="s">
        <v>1944</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65"/>
      <c r="Q23" s="1529" t="str">
        <f>B23</f>
        <v>自然及人文环境</v>
      </c>
      <c r="R23" s="714" t="s">
        <v>17</v>
      </c>
      <c r="S23" s="715">
        <f>F23</f>
        <v>100</v>
      </c>
      <c r="T23" s="714" t="s">
        <v>17</v>
      </c>
      <c r="U23" s="715">
        <f>H23</f>
        <v>100</v>
      </c>
      <c r="V23" s="714" t="s">
        <v>17</v>
      </c>
      <c r="W23" s="715">
        <f>J23</f>
        <v>100</v>
      </c>
      <c r="X23" s="1532"/>
      <c r="Y23" s="3293"/>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3"/>
      <c r="M24" s="2937"/>
      <c r="N24" s="2937"/>
      <c r="O24" s="2937"/>
      <c r="P24" s="3365"/>
      <c r="Q24" s="1529"/>
      <c r="R24" s="714"/>
      <c r="S24" s="715"/>
      <c r="T24" s="714"/>
      <c r="U24" s="715"/>
      <c r="V24" s="714"/>
      <c r="W24" s="715"/>
      <c r="X24" s="1532"/>
      <c r="Y24" s="3293"/>
      <c r="Z24" s="1533"/>
      <c r="AA24" s="1530">
        <v>1</v>
      </c>
      <c r="AB24" s="1530">
        <v>1</v>
      </c>
      <c r="AC24" s="1530">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65"/>
      <c r="Q25" s="1529" t="str">
        <f t="shared" ref="Q25:Q46" si="11">B25</f>
        <v>临街状况</v>
      </c>
      <c r="R25" s="714" t="s">
        <v>17</v>
      </c>
      <c r="S25" s="715">
        <f>F25</f>
        <v>100</v>
      </c>
      <c r="T25" s="714" t="s">
        <v>17</v>
      </c>
      <c r="U25" s="715">
        <f>H25</f>
        <v>100</v>
      </c>
      <c r="V25" s="714" t="s">
        <v>17</v>
      </c>
      <c r="W25" s="715">
        <f>J25</f>
        <v>100</v>
      </c>
      <c r="X25" s="1532"/>
      <c r="Y25" s="3293"/>
      <c r="Z25" s="1533" t="str">
        <f>Q25</f>
        <v>临街状况</v>
      </c>
      <c r="AA25" s="1530">
        <f t="shared" si="3"/>
        <v>1</v>
      </c>
      <c r="AB25" s="1530">
        <f t="shared" si="4"/>
        <v>1</v>
      </c>
      <c r="AC25" s="1530">
        <f t="shared" si="5"/>
        <v>1</v>
      </c>
    </row>
    <row r="26" spans="1:29" ht="15">
      <c r="A26" s="387"/>
      <c r="B26" s="1289" t="s">
        <v>2472</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65"/>
      <c r="Q26" s="1529" t="str">
        <f t="shared" si="11"/>
        <v>平面位置/可视性</v>
      </c>
      <c r="R26" s="714" t="s">
        <v>17</v>
      </c>
      <c r="S26" s="715">
        <f>F26</f>
        <v>100</v>
      </c>
      <c r="T26" s="714" t="s">
        <v>17</v>
      </c>
      <c r="U26" s="715">
        <f>H26</f>
        <v>100</v>
      </c>
      <c r="V26" s="714" t="s">
        <v>17</v>
      </c>
      <c r="W26" s="715">
        <f>J26</f>
        <v>100</v>
      </c>
      <c r="X26" s="1532"/>
      <c r="Y26" s="3293"/>
      <c r="Z26" s="1533" t="str">
        <f>Q26</f>
        <v>平面位置/可视性</v>
      </c>
      <c r="AA26" s="1530">
        <f t="shared" si="3"/>
        <v>1</v>
      </c>
      <c r="AB26" s="1530">
        <f t="shared" si="4"/>
        <v>1</v>
      </c>
      <c r="AC26" s="1530">
        <f t="shared" si="5"/>
        <v>1</v>
      </c>
    </row>
    <row r="27" spans="1:29" s="113" customFormat="1" ht="15">
      <c r="A27" s="390"/>
      <c r="B27" s="410" t="s">
        <v>2473</v>
      </c>
      <c r="C27" s="2134"/>
      <c r="D27" s="421">
        <v>100</v>
      </c>
      <c r="E27" s="2134"/>
      <c r="F27" s="423">
        <f>SUMIF(90:90,E27,91:91)-SUMIF(90:90,C27,91:91)+100</f>
        <v>100</v>
      </c>
      <c r="G27" s="2134"/>
      <c r="H27" s="421">
        <f>SUMIF(90:90,G27,91:91)-SUMIF(90:90,C27,91:91)+100</f>
        <v>100</v>
      </c>
      <c r="I27" s="2134"/>
      <c r="J27" s="421">
        <f>SUMIF(90:90,I27,91:91)-SUMIF(90:90,C27,91:91)+100</f>
        <v>100</v>
      </c>
      <c r="K27" s="569"/>
      <c r="L27" s="2938"/>
      <c r="M27" s="2939"/>
      <c r="N27" s="2939"/>
      <c r="O27" s="2939"/>
      <c r="P27" s="3365"/>
      <c r="Q27" s="1520" t="str">
        <f t="shared" si="11"/>
        <v>人流量</v>
      </c>
      <c r="R27" s="710" t="s">
        <v>17</v>
      </c>
      <c r="S27" s="711">
        <f>F27</f>
        <v>100</v>
      </c>
      <c r="T27" s="710" t="s">
        <v>17</v>
      </c>
      <c r="U27" s="711">
        <f>H27</f>
        <v>100</v>
      </c>
      <c r="V27" s="710" t="s">
        <v>17</v>
      </c>
      <c r="W27" s="711">
        <f>J27</f>
        <v>100</v>
      </c>
      <c r="X27" s="712"/>
      <c r="Y27" s="3293"/>
      <c r="Z27" s="55" t="str">
        <f>Q27</f>
        <v>人流量</v>
      </c>
      <c r="AA27" s="1530">
        <f>D27/F27</f>
        <v>1</v>
      </c>
      <c r="AB27" s="1530">
        <f>D27/H27</f>
        <v>1</v>
      </c>
      <c r="AC27" s="1530">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65"/>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293"/>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65"/>
      <c r="Q29" s="1529">
        <f t="shared" si="11"/>
        <v>111</v>
      </c>
      <c r="R29" s="714" t="s">
        <v>17</v>
      </c>
      <c r="S29" s="715">
        <f t="shared" si="12"/>
        <v>100</v>
      </c>
      <c r="T29" s="714" t="s">
        <v>17</v>
      </c>
      <c r="U29" s="715">
        <f t="shared" si="13"/>
        <v>100</v>
      </c>
      <c r="V29" s="714" t="s">
        <v>17</v>
      </c>
      <c r="W29" s="715">
        <f t="shared" si="14"/>
        <v>100</v>
      </c>
      <c r="X29" s="1532"/>
      <c r="Y29" s="3293"/>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65"/>
      <c r="Q30" s="1529">
        <f t="shared" si="11"/>
        <v>111</v>
      </c>
      <c r="R30" s="714" t="s">
        <v>17</v>
      </c>
      <c r="S30" s="715">
        <f t="shared" si="12"/>
        <v>100</v>
      </c>
      <c r="T30" s="714" t="s">
        <v>17</v>
      </c>
      <c r="U30" s="715">
        <f t="shared" si="13"/>
        <v>100</v>
      </c>
      <c r="V30" s="714" t="s">
        <v>17</v>
      </c>
      <c r="W30" s="715">
        <f t="shared" si="14"/>
        <v>100</v>
      </c>
      <c r="X30" s="1532"/>
      <c r="Y30" s="3293"/>
      <c r="Z30" s="1533">
        <f t="shared" si="15"/>
        <v>111</v>
      </c>
      <c r="AA30" s="1530">
        <f t="shared" si="3"/>
        <v>1</v>
      </c>
      <c r="AB30" s="1530">
        <f t="shared" si="4"/>
        <v>1</v>
      </c>
      <c r="AC30" s="1530">
        <f t="shared" si="5"/>
        <v>1</v>
      </c>
    </row>
    <row r="31" spans="1:29" ht="15.6"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65"/>
      <c r="Q31" s="1529">
        <f t="shared" si="11"/>
        <v>111</v>
      </c>
      <c r="R31" s="714" t="s">
        <v>17</v>
      </c>
      <c r="S31" s="715">
        <f t="shared" si="12"/>
        <v>100</v>
      </c>
      <c r="T31" s="714" t="s">
        <v>17</v>
      </c>
      <c r="U31" s="715">
        <f t="shared" si="13"/>
        <v>100</v>
      </c>
      <c r="V31" s="714" t="s">
        <v>17</v>
      </c>
      <c r="W31" s="715">
        <f t="shared" si="14"/>
        <v>100</v>
      </c>
      <c r="X31" s="1532"/>
      <c r="Y31" s="3293"/>
      <c r="Z31" s="1533">
        <f t="shared" si="15"/>
        <v>111</v>
      </c>
      <c r="AA31" s="1530">
        <f t="shared" si="3"/>
        <v>1</v>
      </c>
      <c r="AB31" s="1530">
        <f t="shared" si="4"/>
        <v>1</v>
      </c>
      <c r="AC31" s="1530">
        <f t="shared" si="5"/>
        <v>1</v>
      </c>
    </row>
    <row r="32" spans="1:29" ht="15">
      <c r="A32" s="399" t="s">
        <v>2378</v>
      </c>
      <c r="B32" s="67" t="s">
        <v>2475</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3"/>
      <c r="M32" s="2937"/>
      <c r="N32" s="2937"/>
      <c r="O32" s="2937"/>
      <c r="P32" s="3360" t="s">
        <v>2380</v>
      </c>
      <c r="Q32" s="1529" t="str">
        <f t="shared" si="11"/>
        <v>商业类型</v>
      </c>
      <c r="R32" s="714" t="s">
        <v>17</v>
      </c>
      <c r="S32" s="715">
        <f t="shared" si="12"/>
        <v>100</v>
      </c>
      <c r="T32" s="714" t="s">
        <v>17</v>
      </c>
      <c r="U32" s="715">
        <f t="shared" si="13"/>
        <v>100</v>
      </c>
      <c r="V32" s="714" t="s">
        <v>17</v>
      </c>
      <c r="W32" s="715">
        <f t="shared" si="14"/>
        <v>100</v>
      </c>
      <c r="X32" s="1532"/>
      <c r="Y32" s="3295" t="s">
        <v>2380</v>
      </c>
      <c r="Z32" s="1533" t="str">
        <f t="shared" si="15"/>
        <v>商业类型</v>
      </c>
      <c r="AA32" s="1530">
        <f t="shared" si="3"/>
        <v>1</v>
      </c>
      <c r="AB32" s="1530">
        <f t="shared" si="4"/>
        <v>1</v>
      </c>
      <c r="AC32" s="1530">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61"/>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0" t="e">
        <f t="shared" si="3"/>
        <v>#N/A</v>
      </c>
      <c r="AB33" s="1530" t="e">
        <f t="shared" si="4"/>
        <v>#N/A</v>
      </c>
      <c r="AC33" s="1530" t="e">
        <f t="shared" si="5"/>
        <v>#N/A</v>
      </c>
    </row>
    <row r="34" spans="1:29" ht="15">
      <c r="A34" s="431"/>
      <c r="B34" s="381" t="s">
        <v>2382</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3"/>
      <c r="M34" s="2937"/>
      <c r="N34" s="2937"/>
      <c r="O34" s="2937"/>
      <c r="P34" s="3361"/>
      <c r="Q34" s="1529" t="str">
        <f t="shared" si="11"/>
        <v>建筑结构</v>
      </c>
      <c r="R34" s="714" t="s">
        <v>17</v>
      </c>
      <c r="S34" s="715">
        <f t="shared" si="12"/>
        <v>100</v>
      </c>
      <c r="T34" s="714" t="s">
        <v>17</v>
      </c>
      <c r="U34" s="715">
        <f t="shared" si="13"/>
        <v>100</v>
      </c>
      <c r="V34" s="714" t="s">
        <v>17</v>
      </c>
      <c r="W34" s="715">
        <f t="shared" si="14"/>
        <v>100</v>
      </c>
      <c r="X34" s="1532"/>
      <c r="Y34" s="3295"/>
      <c r="Z34" s="1533" t="str">
        <f t="shared" si="15"/>
        <v>建筑结构</v>
      </c>
      <c r="AA34" s="1530">
        <f t="shared" si="3"/>
        <v>1</v>
      </c>
      <c r="AB34" s="1530">
        <f t="shared" si="4"/>
        <v>1</v>
      </c>
      <c r="AC34" s="1530">
        <f t="shared" si="5"/>
        <v>1</v>
      </c>
    </row>
    <row r="35" spans="1:29" ht="15">
      <c r="A35" s="431"/>
      <c r="B35" s="381" t="s">
        <v>2476</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3"/>
      <c r="M35" s="2937"/>
      <c r="N35" s="2937"/>
      <c r="O35" s="2937"/>
      <c r="P35" s="3361"/>
      <c r="Q35" s="1529" t="str">
        <f t="shared" si="11"/>
        <v>公共部分装修</v>
      </c>
      <c r="R35" s="714" t="s">
        <v>17</v>
      </c>
      <c r="S35" s="715">
        <f t="shared" si="12"/>
        <v>100</v>
      </c>
      <c r="T35" s="714" t="s">
        <v>17</v>
      </c>
      <c r="U35" s="715">
        <f t="shared" si="13"/>
        <v>100</v>
      </c>
      <c r="V35" s="714" t="s">
        <v>17</v>
      </c>
      <c r="W35" s="715">
        <f t="shared" si="14"/>
        <v>100</v>
      </c>
      <c r="X35" s="1532"/>
      <c r="Y35" s="3295"/>
      <c r="Z35" s="1533" t="str">
        <f t="shared" si="15"/>
        <v>公共部分装修</v>
      </c>
      <c r="AA35" s="1530">
        <f t="shared" si="3"/>
        <v>1</v>
      </c>
      <c r="AB35" s="1530">
        <f t="shared" si="4"/>
        <v>1</v>
      </c>
      <c r="AC35" s="1530">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61"/>
      <c r="Q36" s="1529" t="str">
        <f t="shared" si="11"/>
        <v>成新度</v>
      </c>
      <c r="R36" s="714" t="s">
        <v>17</v>
      </c>
      <c r="S36" s="715" t="e">
        <f t="shared" si="12"/>
        <v>#N/A</v>
      </c>
      <c r="T36" s="714" t="s">
        <v>17</v>
      </c>
      <c r="U36" s="715" t="e">
        <f t="shared" si="13"/>
        <v>#N/A</v>
      </c>
      <c r="V36" s="714" t="s">
        <v>17</v>
      </c>
      <c r="W36" s="715" t="e">
        <f t="shared" si="14"/>
        <v>#N/A</v>
      </c>
      <c r="X36" s="1532"/>
      <c r="Y36" s="3295"/>
      <c r="Z36" s="1533" t="str">
        <f t="shared" si="15"/>
        <v>成新度</v>
      </c>
      <c r="AA36" s="1530" t="e">
        <f t="shared" si="3"/>
        <v>#N/A</v>
      </c>
      <c r="AB36" s="1530" t="e">
        <f t="shared" si="4"/>
        <v>#N/A</v>
      </c>
      <c r="AC36" s="1530" t="e">
        <f t="shared" si="5"/>
        <v>#N/A</v>
      </c>
    </row>
    <row r="37" spans="1:29" s="113" customFormat="1" ht="15">
      <c r="A37" s="432"/>
      <c r="B37" s="381" t="s">
        <v>2478</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8"/>
      <c r="M37" s="2939"/>
      <c r="N37" s="2939"/>
      <c r="O37" s="2939"/>
      <c r="P37" s="3361"/>
      <c r="Q37" s="1520"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2479</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3"/>
      <c r="M38" s="2937"/>
      <c r="N38" s="2937"/>
      <c r="O38" s="2937"/>
      <c r="P38" s="3361" t="s">
        <v>2380</v>
      </c>
      <c r="Q38" s="1529" t="str">
        <f t="shared" si="11"/>
        <v>业态</v>
      </c>
      <c r="R38" s="714" t="s">
        <v>17</v>
      </c>
      <c r="S38" s="715">
        <f t="shared" si="12"/>
        <v>100</v>
      </c>
      <c r="T38" s="714" t="s">
        <v>17</v>
      </c>
      <c r="U38" s="715">
        <f t="shared" si="13"/>
        <v>100</v>
      </c>
      <c r="V38" s="714" t="s">
        <v>17</v>
      </c>
      <c r="W38" s="715">
        <f t="shared" si="14"/>
        <v>100</v>
      </c>
      <c r="X38" s="1532"/>
      <c r="Y38" s="3295" t="s">
        <v>2380</v>
      </c>
      <c r="Z38" s="1533" t="str">
        <f t="shared" si="15"/>
        <v>业态</v>
      </c>
      <c r="AA38" s="1530">
        <f t="shared" si="3"/>
        <v>1</v>
      </c>
      <c r="AB38" s="1530">
        <f t="shared" si="4"/>
        <v>1</v>
      </c>
      <c r="AC38" s="1530">
        <f t="shared" si="5"/>
        <v>1</v>
      </c>
    </row>
    <row r="39" spans="1:29" ht="15">
      <c r="A39" s="431"/>
      <c r="B39" s="381" t="s">
        <v>2480</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3"/>
      <c r="M39" s="2937"/>
      <c r="N39" s="2937"/>
      <c r="O39" s="2937"/>
      <c r="P39" s="3361"/>
      <c r="Q39" s="1529" t="str">
        <f t="shared" si="11"/>
        <v>层高</v>
      </c>
      <c r="R39" s="714" t="s">
        <v>17</v>
      </c>
      <c r="S39" s="715">
        <f t="shared" si="12"/>
        <v>100</v>
      </c>
      <c r="T39" s="714" t="s">
        <v>17</v>
      </c>
      <c r="U39" s="715">
        <f t="shared" si="13"/>
        <v>100</v>
      </c>
      <c r="V39" s="714" t="s">
        <v>17</v>
      </c>
      <c r="W39" s="715">
        <f t="shared" si="14"/>
        <v>100</v>
      </c>
      <c r="X39" s="1532"/>
      <c r="Y39" s="3295"/>
      <c r="Z39" s="1533" t="str">
        <f t="shared" si="15"/>
        <v>层高</v>
      </c>
      <c r="AA39" s="1530">
        <f t="shared" si="3"/>
        <v>1</v>
      </c>
      <c r="AB39" s="1530">
        <f t="shared" si="4"/>
        <v>1</v>
      </c>
      <c r="AC39" s="1530">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61"/>
      <c r="Q40" s="1529" t="str">
        <f t="shared" si="11"/>
        <v>单套建筑面积</v>
      </c>
      <c r="R40" s="714" t="s">
        <v>17</v>
      </c>
      <c r="S40" s="715">
        <f t="shared" si="12"/>
        <v>100</v>
      </c>
      <c r="T40" s="714" t="s">
        <v>17</v>
      </c>
      <c r="U40" s="715">
        <f t="shared" si="13"/>
        <v>100</v>
      </c>
      <c r="V40" s="714" t="s">
        <v>17</v>
      </c>
      <c r="W40" s="715">
        <f t="shared" si="14"/>
        <v>100</v>
      </c>
      <c r="X40" s="1532"/>
      <c r="Y40" s="3295"/>
      <c r="Z40" s="1533" t="str">
        <f t="shared" si="15"/>
        <v>单套建筑面积</v>
      </c>
      <c r="AA40" s="1530">
        <f t="shared" si="3"/>
        <v>1</v>
      </c>
      <c r="AB40" s="1530">
        <f t="shared" si="4"/>
        <v>1</v>
      </c>
      <c r="AC40" s="1530">
        <f t="shared" si="5"/>
        <v>1</v>
      </c>
    </row>
    <row r="41" spans="1:29" s="430" customFormat="1" ht="15">
      <c r="A41" s="427"/>
      <c r="B41" s="1531"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61"/>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0">
        <f t="shared" si="3"/>
        <v>1</v>
      </c>
      <c r="AB41" s="1530">
        <f t="shared" si="4"/>
        <v>1</v>
      </c>
      <c r="AC41" s="1530">
        <f t="shared" si="5"/>
        <v>1</v>
      </c>
    </row>
    <row r="42" spans="1:29" ht="15">
      <c r="A42" s="431"/>
      <c r="B42" s="381" t="s">
        <v>2483</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3"/>
      <c r="M42" s="2937"/>
      <c r="N42" s="2937"/>
      <c r="O42" s="2937"/>
      <c r="P42" s="3361"/>
      <c r="Q42" s="1529" t="str">
        <f t="shared" si="11"/>
        <v>内部装修</v>
      </c>
      <c r="R42" s="714" t="s">
        <v>17</v>
      </c>
      <c r="S42" s="715">
        <f t="shared" si="12"/>
        <v>100</v>
      </c>
      <c r="T42" s="714" t="s">
        <v>17</v>
      </c>
      <c r="U42" s="715">
        <f t="shared" si="13"/>
        <v>100</v>
      </c>
      <c r="V42" s="714" t="s">
        <v>17</v>
      </c>
      <c r="W42" s="715">
        <f t="shared" si="14"/>
        <v>100</v>
      </c>
      <c r="X42" s="1532"/>
      <c r="Y42" s="3295"/>
      <c r="Z42" s="1533" t="str">
        <f t="shared" si="15"/>
        <v>内部装修</v>
      </c>
      <c r="AA42" s="1530">
        <f t="shared" si="3"/>
        <v>1</v>
      </c>
      <c r="AB42" s="1530">
        <f t="shared" si="4"/>
        <v>1</v>
      </c>
      <c r="AC42" s="1530">
        <f t="shared" si="5"/>
        <v>1</v>
      </c>
    </row>
    <row r="43" spans="1:29" ht="28.8">
      <c r="A43" s="431"/>
      <c r="B43" s="381" t="s">
        <v>2391</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3"/>
      <c r="M43" s="2937"/>
      <c r="N43" s="2937"/>
      <c r="O43" s="2937"/>
      <c r="P43" s="3361"/>
      <c r="Q43" s="1529" t="str">
        <f t="shared" si="11"/>
        <v>内部装修维护情况</v>
      </c>
      <c r="R43" s="714" t="s">
        <v>17</v>
      </c>
      <c r="S43" s="715">
        <f t="shared" si="12"/>
        <v>100</v>
      </c>
      <c r="T43" s="714" t="s">
        <v>17</v>
      </c>
      <c r="U43" s="715">
        <f t="shared" si="13"/>
        <v>100</v>
      </c>
      <c r="V43" s="714" t="s">
        <v>17</v>
      </c>
      <c r="W43" s="715">
        <f t="shared" si="14"/>
        <v>100</v>
      </c>
      <c r="X43" s="1532"/>
      <c r="Y43" s="3295"/>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61"/>
      <c r="Q44" s="1520">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61"/>
      <c r="Q45" s="1529">
        <f t="shared" si="11"/>
        <v>111</v>
      </c>
      <c r="R45" s="714" t="s">
        <v>17</v>
      </c>
      <c r="S45" s="715">
        <f t="shared" si="12"/>
        <v>100</v>
      </c>
      <c r="T45" s="714" t="s">
        <v>17</v>
      </c>
      <c r="U45" s="715">
        <f t="shared" si="13"/>
        <v>100</v>
      </c>
      <c r="V45" s="714" t="s">
        <v>17</v>
      </c>
      <c r="W45" s="715">
        <f t="shared" si="14"/>
        <v>100</v>
      </c>
      <c r="X45" s="1532"/>
      <c r="Y45" s="3295"/>
      <c r="Z45" s="1533">
        <f t="shared" si="15"/>
        <v>111</v>
      </c>
      <c r="AA45" s="1530">
        <f t="shared" si="3"/>
        <v>1</v>
      </c>
      <c r="AB45" s="1530">
        <f t="shared" si="4"/>
        <v>1</v>
      </c>
      <c r="AC45" s="1530">
        <f t="shared" si="5"/>
        <v>1</v>
      </c>
    </row>
    <row r="46" spans="1:29" ht="15.6"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62"/>
      <c r="Q46" s="1529">
        <f t="shared" si="11"/>
        <v>111</v>
      </c>
      <c r="R46" s="714" t="s">
        <v>17</v>
      </c>
      <c r="S46" s="715">
        <f t="shared" si="12"/>
        <v>100</v>
      </c>
      <c r="T46" s="714" t="s">
        <v>17</v>
      </c>
      <c r="U46" s="715">
        <f t="shared" si="13"/>
        <v>100</v>
      </c>
      <c r="V46" s="714" t="s">
        <v>17</v>
      </c>
      <c r="W46" s="715">
        <f t="shared" si="14"/>
        <v>100</v>
      </c>
      <c r="X46" s="1532"/>
      <c r="Y46" s="3363"/>
      <c r="Z46" s="1533">
        <f t="shared" si="15"/>
        <v>111</v>
      </c>
      <c r="AA46" s="1530">
        <f t="shared" si="3"/>
        <v>1</v>
      </c>
      <c r="AB46" s="1530">
        <f t="shared" si="4"/>
        <v>1</v>
      </c>
      <c r="AC46" s="1530">
        <f t="shared" si="5"/>
        <v>1</v>
      </c>
    </row>
    <row r="47" spans="1:29" ht="14.4">
      <c r="A47" s="438" t="s">
        <v>2392</v>
      </c>
      <c r="B47" s="439"/>
      <c r="C47" s="1310" t="s">
        <v>1</v>
      </c>
      <c r="D47" s="1311"/>
      <c r="E47" s="1312"/>
      <c r="F47" s="1313"/>
      <c r="G47" s="1314"/>
      <c r="H47" s="1315"/>
      <c r="I47" s="1312"/>
      <c r="J47" s="1315"/>
      <c r="K47" s="723"/>
      <c r="L47" s="2945"/>
      <c r="M47" s="2946"/>
      <c r="N47" s="2937"/>
      <c r="O47" s="2946"/>
      <c r="P47" s="3290" t="str">
        <f>A47</f>
        <v>成交单价（元/平方米）</v>
      </c>
      <c r="Q47" s="3290"/>
      <c r="R47" s="3296">
        <f>E47</f>
        <v>0</v>
      </c>
      <c r="S47" s="3296"/>
      <c r="T47" s="3296">
        <f>G47</f>
        <v>0</v>
      </c>
      <c r="U47" s="3296"/>
      <c r="V47" s="3296">
        <f>I47</f>
        <v>0</v>
      </c>
      <c r="W47" s="3296"/>
      <c r="X47" s="699"/>
      <c r="Y47" s="721"/>
      <c r="Z47" s="699"/>
      <c r="AA47" s="699"/>
      <c r="AB47" s="699"/>
      <c r="AC47" s="699"/>
    </row>
    <row r="48" spans="1:29" ht="15" thickBot="1">
      <c r="A48" s="445" t="s">
        <v>2484</v>
      </c>
      <c r="B48" s="446"/>
      <c r="C48" s="1316" t="e">
        <f>R49</f>
        <v>#DIV/0!</v>
      </c>
      <c r="D48" s="2530" t="s">
        <v>2872</v>
      </c>
      <c r="E48" s="1317" t="e">
        <f>R48</f>
        <v>#DIV/0!</v>
      </c>
      <c r="F48" s="2531"/>
      <c r="G48" s="1316" t="e">
        <f>T48</f>
        <v>#DIV/0!</v>
      </c>
      <c r="H48" s="2531"/>
      <c r="I48" s="1317" t="e">
        <f>V48</f>
        <v>#DIV/0!</v>
      </c>
      <c r="J48" s="2531"/>
      <c r="K48" s="2533">
        <f>F48+H48+J48</f>
        <v>0</v>
      </c>
      <c r="L48" s="2945"/>
      <c r="M48" s="2946"/>
      <c r="N48" s="2937"/>
      <c r="O48" s="2946"/>
      <c r="P48" s="3290" t="str">
        <f>A48</f>
        <v>比较价值（元/平方米）</v>
      </c>
      <c r="Q48" s="3290"/>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 thickBot="1">
      <c r="A49" s="449" t="s">
        <v>2485</v>
      </c>
      <c r="B49" s="450"/>
      <c r="C49" s="1319" t="e">
        <f>R49</f>
        <v>#DIV/0!</v>
      </c>
      <c r="D49" s="1319"/>
      <c r="E49" s="1319"/>
      <c r="F49" s="1319"/>
      <c r="G49" s="1319"/>
      <c r="H49" s="1319"/>
      <c r="I49" s="1319"/>
      <c r="J49" s="1319"/>
      <c r="K49" s="724"/>
      <c r="L49" s="2945"/>
      <c r="M49" s="2946"/>
      <c r="N49" s="2937"/>
      <c r="O49" s="2946"/>
      <c r="P49" s="3284" t="str">
        <f>A49</f>
        <v>估价对象XX用房的比较价值（楼面单价，元/平方米）</v>
      </c>
      <c r="Q49" s="3285"/>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2.2" thickBot="1">
      <c r="A57" s="703" t="s">
        <v>2489</v>
      </c>
      <c r="B57" s="699"/>
      <c r="C57" s="704"/>
      <c r="D57" s="704"/>
      <c r="E57" s="704"/>
      <c r="F57" s="705"/>
      <c r="G57" s="705"/>
      <c r="H57" s="704"/>
      <c r="I57" s="704"/>
      <c r="J57" s="704"/>
      <c r="K57" s="706"/>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4.4">
      <c r="A58" s="462" t="s">
        <v>2363</v>
      </c>
      <c r="B58" s="463"/>
      <c r="C58" s="1339" t="str">
        <f>YEAR(C7)&amp;"-"&amp;MONTH(C7)</f>
        <v>2021-7</v>
      </c>
      <c r="D58" s="1340">
        <f>EDATE(C58,-1)</f>
        <v>44348</v>
      </c>
      <c r="E58" s="1340">
        <f t="shared" ref="E58:N58" si="16">EDATE(D58,-1)</f>
        <v>44317</v>
      </c>
      <c r="F58" s="1340">
        <f t="shared" si="16"/>
        <v>44287</v>
      </c>
      <c r="G58" s="1340">
        <f t="shared" si="16"/>
        <v>44256</v>
      </c>
      <c r="H58" s="1340">
        <f t="shared" si="16"/>
        <v>44228</v>
      </c>
      <c r="I58" s="1340">
        <f t="shared" si="16"/>
        <v>44197</v>
      </c>
      <c r="J58" s="1340">
        <f t="shared" si="16"/>
        <v>44166</v>
      </c>
      <c r="K58" s="1340">
        <f t="shared" si="16"/>
        <v>44136</v>
      </c>
      <c r="L58" s="1340">
        <f t="shared" si="16"/>
        <v>44105</v>
      </c>
      <c r="M58" s="1340">
        <f t="shared" si="16"/>
        <v>44075</v>
      </c>
      <c r="N58" s="1340">
        <f t="shared" si="16"/>
        <v>44044</v>
      </c>
      <c r="O58" s="1340">
        <f>EDATE(N58,-1)</f>
        <v>44013</v>
      </c>
      <c r="P58" s="2961"/>
      <c r="Q58" s="2962"/>
      <c r="R58" s="2962"/>
      <c r="S58" s="2962"/>
      <c r="T58" s="2962"/>
      <c r="U58" s="2962"/>
      <c r="V58" s="2962"/>
      <c r="W58" s="2962"/>
      <c r="X58" s="2962"/>
      <c r="Y58" s="2962"/>
      <c r="Z58" s="2962"/>
      <c r="AA58" s="2962"/>
      <c r="AB58" s="2962"/>
      <c r="AC58" s="2962"/>
    </row>
    <row r="59" spans="1:29" s="113" customFormat="1">
      <c r="A59" s="466"/>
      <c r="B59" s="467"/>
      <c r="C59" s="1338">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 thickBot="1">
      <c r="A60" s="472" t="s">
        <v>2400</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4.4">
      <c r="A61" s="478" t="s">
        <v>2365</v>
      </c>
      <c r="B61" s="467"/>
      <c r="C61" s="479" t="s">
        <v>2467</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4.4"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ht="14.4">
      <c r="A63" s="484" t="s">
        <v>2403</v>
      </c>
      <c r="B63" s="485" t="s">
        <v>2369</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4.4"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9.4" thickTop="1">
      <c r="A65" s="491"/>
      <c r="B65" s="495" t="s">
        <v>2372</v>
      </c>
      <c r="C65" s="496" t="s">
        <v>2404</v>
      </c>
      <c r="D65" s="496" t="s">
        <v>2405</v>
      </c>
      <c r="E65" s="496" t="s">
        <v>2406</v>
      </c>
      <c r="F65" s="496" t="s">
        <v>2407</v>
      </c>
      <c r="G65" s="496" t="s">
        <v>2408</v>
      </c>
      <c r="H65" s="496" t="s">
        <v>2409</v>
      </c>
      <c r="I65" s="496" t="s">
        <v>2410</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4.4"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4.4"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4.4"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4.4"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4.4"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4.4"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ht="14.4">
      <c r="A76" s="484" t="s">
        <v>2374</v>
      </c>
      <c r="B76" s="485" t="s">
        <v>2411</v>
      </c>
      <c r="C76" s="530" t="s">
        <v>2412</v>
      </c>
      <c r="D76" s="530" t="s">
        <v>2413</v>
      </c>
      <c r="E76" s="530" t="s">
        <v>2414</v>
      </c>
      <c r="F76" s="530" t="s">
        <v>2415</v>
      </c>
      <c r="G76" s="530" t="s">
        <v>2416</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 thickTop="1">
      <c r="A78" s="491"/>
      <c r="B78" s="495" t="s">
        <v>2417</v>
      </c>
      <c r="C78" s="535" t="s">
        <v>2412</v>
      </c>
      <c r="D78" s="535" t="s">
        <v>2413</v>
      </c>
      <c r="E78" s="535" t="s">
        <v>2414</v>
      </c>
      <c r="F78" s="535" t="s">
        <v>2415</v>
      </c>
      <c r="G78" s="535" t="s">
        <v>2416</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 thickTop="1">
      <c r="A80" s="491"/>
      <c r="B80" s="495" t="s">
        <v>2418</v>
      </c>
      <c r="C80" s="535" t="s">
        <v>2412</v>
      </c>
      <c r="D80" s="535" t="s">
        <v>2413</v>
      </c>
      <c r="E80" s="535" t="s">
        <v>2414</v>
      </c>
      <c r="F80" s="535" t="s">
        <v>2415</v>
      </c>
      <c r="G80" s="535" t="s">
        <v>2416</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 thickTop="1">
      <c r="A82" s="491"/>
      <c r="B82" s="503" t="s">
        <v>2470</v>
      </c>
      <c r="C82" s="616" t="s">
        <v>2490</v>
      </c>
      <c r="D82" s="616" t="s">
        <v>2491</v>
      </c>
      <c r="E82" s="616" t="s">
        <v>2492</v>
      </c>
      <c r="F82" s="616" t="s">
        <v>2493</v>
      </c>
      <c r="G82" s="616" t="s">
        <v>2494</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 thickTop="1">
      <c r="A84" s="491"/>
      <c r="B84" s="495" t="s">
        <v>2424</v>
      </c>
      <c r="C84" s="535" t="s">
        <v>2412</v>
      </c>
      <c r="D84" s="535" t="s">
        <v>2413</v>
      </c>
      <c r="E84" s="535" t="s">
        <v>2414</v>
      </c>
      <c r="F84" s="535" t="s">
        <v>2415</v>
      </c>
      <c r="G84" s="535" t="s">
        <v>2416</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 thickTop="1">
      <c r="A86" s="536"/>
      <c r="B86" s="495" t="s">
        <v>2495</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4.4" thickTop="1">
      <c r="A88" s="536"/>
      <c r="B88" s="495" t="str">
        <f>B26</f>
        <v>平面位置/可视性</v>
      </c>
      <c r="C88" s="511"/>
      <c r="D88" s="511"/>
      <c r="E88" s="511"/>
      <c r="F88" s="2105"/>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4.4"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4.4"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4.4"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4.4"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4.4"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4.4"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4.4"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4.4"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4.4"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4.4" thickBot="1">
      <c r="A99" s="2106"/>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ht="14.4">
      <c r="A100" s="484" t="s">
        <v>2378</v>
      </c>
      <c r="B100" s="485" t="s">
        <v>2496</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4.4"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2429</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2431</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2433</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2497</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2498</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2499</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4.4"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2500</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2435</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29.4" thickTop="1">
      <c r="A124" s="556"/>
      <c r="B124" s="495" t="s">
        <v>2436</v>
      </c>
      <c r="C124" s="535" t="s">
        <v>2412</v>
      </c>
      <c r="D124" s="535" t="s">
        <v>2413</v>
      </c>
      <c r="E124" s="535" t="s">
        <v>2414</v>
      </c>
      <c r="F124" s="535" t="s">
        <v>2415</v>
      </c>
      <c r="G124" s="535" t="s">
        <v>2416</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4.4"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4.4"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4.4"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4.4"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4.4"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4.4" thickBot="1">
      <c r="A131" s="2106"/>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N20" sqref="N20"/>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2343</v>
      </c>
      <c r="B1" s="2135" t="s">
        <v>2501</v>
      </c>
      <c r="C1" s="1385" t="s">
        <v>2345</v>
      </c>
      <c r="D1" s="1386" t="s">
        <v>3604</v>
      </c>
      <c r="E1" s="1395"/>
      <c r="F1" s="2057" t="s">
        <v>3584</v>
      </c>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f>IF(C2="——",ROUND(C50*D3/10000,0),ROUND(C50*D3/10000,0)-D2)</f>
        <v>257668</v>
      </c>
      <c r="C2" s="2059" t="s">
        <v>70</v>
      </c>
      <c r="D2" s="1269" t="e">
        <f ca="1">SUMIF(INDIRECT("'"&amp;F2&amp;"'"&amp;"!A:A"),"承租人权益价值",INDIRECT("'"&amp;F2&amp;"'"&amp;"!c:c"))</f>
        <v>#REF!</v>
      </c>
      <c r="E2" s="2060" t="s">
        <v>2146</v>
      </c>
      <c r="F2" s="2061"/>
      <c r="G2" s="1033"/>
      <c r="H2" s="1033"/>
      <c r="I2" s="1033"/>
      <c r="J2" s="1033"/>
      <c r="K2" s="1033"/>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f>IF(C2="——",C50,ROUND(B2*10000/D3,0))</f>
        <v>34794</v>
      </c>
      <c r="C3" s="360" t="s">
        <v>2459</v>
      </c>
      <c r="D3" s="359">
        <f>IF(D1="",'数据-汇总表'!E3,SUMIF('数据-汇总表'!$C19:$C33,D1,'数据-汇总表'!$E19:$E33))</f>
        <v>74055.320000000007</v>
      </c>
      <c r="E3" s="2132"/>
      <c r="F3" s="1034"/>
      <c r="G3" s="1033"/>
      <c r="H3" s="1033"/>
      <c r="I3" s="1033"/>
      <c r="J3" s="1033"/>
      <c r="K3" s="1035"/>
      <c r="L3" s="2955"/>
      <c r="M3" s="2956"/>
      <c r="N3" s="2956"/>
      <c r="O3" s="2956"/>
      <c r="P3" s="708"/>
      <c r="Q3" s="708"/>
      <c r="R3" s="708"/>
      <c r="S3" s="708"/>
      <c r="T3" s="708"/>
      <c r="U3" s="708"/>
      <c r="V3" s="708"/>
      <c r="W3" s="708"/>
      <c r="X3" s="708"/>
      <c r="Y3" s="708"/>
      <c r="Z3" s="708"/>
      <c r="AA3" s="708"/>
      <c r="AB3" s="708"/>
      <c r="AC3" s="709"/>
    </row>
    <row r="4" spans="1:29" ht="14.4">
      <c r="A4" s="361" t="s">
        <v>2460</v>
      </c>
      <c r="B4" s="362"/>
      <c r="C4" s="3287" t="s">
        <v>2461</v>
      </c>
      <c r="D4" s="3300"/>
      <c r="E4" s="3301" t="s">
        <v>2462</v>
      </c>
      <c r="F4" s="3302"/>
      <c r="G4" s="3287" t="s">
        <v>2463</v>
      </c>
      <c r="H4" s="3300"/>
      <c r="I4" s="3287" t="s">
        <v>2464</v>
      </c>
      <c r="J4" s="3300"/>
      <c r="K4" s="567" t="s">
        <v>2465</v>
      </c>
      <c r="L4" s="2936"/>
      <c r="M4" s="2937"/>
      <c r="N4" s="2937"/>
      <c r="O4" s="2937"/>
      <c r="P4" s="3372" t="s">
        <v>2466</v>
      </c>
      <c r="Q4" s="3373"/>
      <c r="R4" s="3376" t="s">
        <v>2462</v>
      </c>
      <c r="S4" s="3377"/>
      <c r="T4" s="3376" t="s">
        <v>2463</v>
      </c>
      <c r="U4" s="3377"/>
      <c r="V4" s="3378" t="s">
        <v>2464</v>
      </c>
      <c r="W4" s="3378"/>
      <c r="X4" s="2136"/>
      <c r="Y4" s="3376" t="s">
        <v>2466</v>
      </c>
      <c r="Z4" s="3377"/>
      <c r="AA4" s="3380" t="s">
        <v>2462</v>
      </c>
      <c r="AB4" s="3380" t="s">
        <v>2463</v>
      </c>
      <c r="AC4" s="3369" t="s">
        <v>2464</v>
      </c>
    </row>
    <row r="5" spans="1:29">
      <c r="A5" s="364"/>
      <c r="B5" s="365"/>
      <c r="C5" s="3317" t="s">
        <v>2357</v>
      </c>
      <c r="D5" s="3318"/>
      <c r="E5" s="3381" t="s">
        <v>3586</v>
      </c>
      <c r="F5" s="3326"/>
      <c r="G5" s="3322" t="s">
        <v>3585</v>
      </c>
      <c r="H5" s="3318"/>
      <c r="I5" s="3322" t="s">
        <v>3587</v>
      </c>
      <c r="J5" s="3318"/>
      <c r="K5" s="567"/>
      <c r="L5" s="2936"/>
      <c r="M5" s="2937"/>
      <c r="N5" s="2937"/>
      <c r="O5" s="2937"/>
      <c r="P5" s="3374"/>
      <c r="Q5" s="3306"/>
      <c r="R5" s="3311"/>
      <c r="S5" s="3312"/>
      <c r="T5" s="3311"/>
      <c r="U5" s="3312"/>
      <c r="V5" s="3296"/>
      <c r="W5" s="3296"/>
      <c r="X5" s="1532"/>
      <c r="Y5" s="3311"/>
      <c r="Z5" s="3312"/>
      <c r="AA5" s="3298"/>
      <c r="AB5" s="3298"/>
      <c r="AC5" s="3370"/>
    </row>
    <row r="6" spans="1:29" ht="15" thickBot="1">
      <c r="A6" s="366"/>
      <c r="B6" s="367"/>
      <c r="C6" s="3315" t="s">
        <v>2361</v>
      </c>
      <c r="D6" s="3316"/>
      <c r="E6" s="3323" t="s">
        <v>2361</v>
      </c>
      <c r="F6" s="3324"/>
      <c r="G6" s="3315" t="s">
        <v>2361</v>
      </c>
      <c r="H6" s="3316"/>
      <c r="I6" s="3315" t="s">
        <v>2361</v>
      </c>
      <c r="J6" s="3316"/>
      <c r="K6" s="567" t="s">
        <v>2362</v>
      </c>
      <c r="L6" s="2936"/>
      <c r="M6" s="2937"/>
      <c r="N6" s="2937"/>
      <c r="O6" s="2937"/>
      <c r="P6" s="3375"/>
      <c r="Q6" s="3308"/>
      <c r="R6" s="3311"/>
      <c r="S6" s="3312"/>
      <c r="T6" s="3313"/>
      <c r="U6" s="3314"/>
      <c r="V6" s="3296"/>
      <c r="W6" s="3296"/>
      <c r="X6" s="1532"/>
      <c r="Y6" s="3313"/>
      <c r="Z6" s="3314"/>
      <c r="AA6" s="3299"/>
      <c r="AB6" s="3299"/>
      <c r="AC6" s="3371"/>
    </row>
    <row r="7" spans="1:29" s="113" customFormat="1" ht="15" thickBot="1">
      <c r="A7" s="368" t="s">
        <v>2363</v>
      </c>
      <c r="B7" s="369"/>
      <c r="C7" s="370">
        <f>'数据-取费表'!B2</f>
        <v>44397</v>
      </c>
      <c r="D7" s="371">
        <v>100</v>
      </c>
      <c r="E7" s="372">
        <v>44287</v>
      </c>
      <c r="F7" s="373">
        <f>SUMIF(59:59,YEAR(E7)&amp;"-"&amp;MONTH(E7),60:60)</f>
        <v>99.5</v>
      </c>
      <c r="G7" s="372">
        <v>44287</v>
      </c>
      <c r="H7" s="371">
        <f>SUMIF(59:59,YEAR(G7)&amp;"-"&amp;MONTH(G7),60:60)</f>
        <v>99.5</v>
      </c>
      <c r="I7" s="372">
        <v>44287</v>
      </c>
      <c r="J7" s="371">
        <f>SUMIF(59:59,YEAR(I7)&amp;"-"&amp;MONTH(I7),60:60)</f>
        <v>99.5</v>
      </c>
      <c r="K7" s="568"/>
      <c r="L7" s="2938"/>
      <c r="M7" s="2939"/>
      <c r="N7" s="2939"/>
      <c r="O7" s="2939"/>
      <c r="P7" s="3379" t="s">
        <v>2364</v>
      </c>
      <c r="Q7" s="3321"/>
      <c r="R7" s="710" t="s">
        <v>17</v>
      </c>
      <c r="S7" s="711">
        <f t="shared" ref="S7:S15" si="0">F7</f>
        <v>99.5</v>
      </c>
      <c r="T7" s="710" t="s">
        <v>17</v>
      </c>
      <c r="U7" s="711">
        <f t="shared" ref="U7:U15" si="1">H7</f>
        <v>99.5</v>
      </c>
      <c r="V7" s="710" t="s">
        <v>17</v>
      </c>
      <c r="W7" s="711">
        <f t="shared" ref="W7:W15" si="2">J7</f>
        <v>99.5</v>
      </c>
      <c r="X7" s="712"/>
      <c r="Y7" s="3319" t="s">
        <v>2364</v>
      </c>
      <c r="Z7" s="3320"/>
      <c r="AA7" s="713">
        <f>D7/F7</f>
        <v>1.0050251256281406</v>
      </c>
      <c r="AB7" s="713">
        <f>D7/H7</f>
        <v>1.0050251256281406</v>
      </c>
      <c r="AC7" s="2137">
        <f>D7/J7</f>
        <v>1.0050251256281406</v>
      </c>
    </row>
    <row r="8" spans="1:29" s="113" customFormat="1" ht="15" thickBot="1">
      <c r="A8" s="368" t="s">
        <v>2365</v>
      </c>
      <c r="B8" s="369"/>
      <c r="C8" s="374" t="s">
        <v>2467</v>
      </c>
      <c r="D8" s="371">
        <v>100</v>
      </c>
      <c r="E8" s="374" t="s">
        <v>3713</v>
      </c>
      <c r="F8" s="373">
        <f>SUMIF(62:62,E8,63:63)-SUMIF(62:62,C8,63:63)+100</f>
        <v>100</v>
      </c>
      <c r="G8" s="374" t="s">
        <v>3713</v>
      </c>
      <c r="H8" s="371">
        <f>SUMIF(62:62,G8,63:63)-SUMIF(62:62,C8,63:63)+100</f>
        <v>100</v>
      </c>
      <c r="I8" s="374" t="s">
        <v>3713</v>
      </c>
      <c r="J8" s="371">
        <f>SUMIF(62:62,I8,63:63)-SUMIF(62:62,C8,63:63)+100</f>
        <v>100</v>
      </c>
      <c r="K8" s="568"/>
      <c r="L8" s="2938"/>
      <c r="M8" s="2939"/>
      <c r="N8" s="2939"/>
      <c r="O8" s="2939"/>
      <c r="P8" s="3379" t="s">
        <v>2367</v>
      </c>
      <c r="Q8" s="3320"/>
      <c r="R8" s="710" t="s">
        <v>17</v>
      </c>
      <c r="S8" s="711">
        <f t="shared" si="0"/>
        <v>100</v>
      </c>
      <c r="T8" s="710" t="s">
        <v>17</v>
      </c>
      <c r="U8" s="711">
        <f t="shared" si="1"/>
        <v>100</v>
      </c>
      <c r="V8" s="710" t="s">
        <v>17</v>
      </c>
      <c r="W8" s="711">
        <f t="shared" si="2"/>
        <v>100</v>
      </c>
      <c r="X8" s="712"/>
      <c r="Y8" s="3319" t="s">
        <v>2367</v>
      </c>
      <c r="Z8" s="3320"/>
      <c r="AA8" s="713">
        <f t="shared" ref="AA8:AA47" si="3">D8/F8</f>
        <v>1</v>
      </c>
      <c r="AB8" s="713">
        <f t="shared" ref="AB8:AB47" si="4">D8/H8</f>
        <v>1</v>
      </c>
      <c r="AC8" s="2137">
        <f t="shared" ref="AC8:AC47" si="5">D8/J8</f>
        <v>1</v>
      </c>
    </row>
    <row r="9" spans="1:29" s="113" customFormat="1" ht="14.4">
      <c r="A9" s="375" t="s">
        <v>2368</v>
      </c>
      <c r="B9" s="67" t="s">
        <v>2369</v>
      </c>
      <c r="C9" s="3083" t="s">
        <v>3689</v>
      </c>
      <c r="D9" s="131">
        <v>100</v>
      </c>
      <c r="E9" s="379" t="s">
        <v>27</v>
      </c>
      <c r="F9" s="131">
        <f>SUMIF(64:64,E9,65:65)-SUMIF(64:64,C9,65:65)+100</f>
        <v>100</v>
      </c>
      <c r="G9" s="379" t="s">
        <v>27</v>
      </c>
      <c r="H9" s="131">
        <f>SUMIF(64:64,G9,65:65)-SUMIF(64:64,C9,65:65)+100</f>
        <v>100</v>
      </c>
      <c r="I9" s="379" t="s">
        <v>27</v>
      </c>
      <c r="J9" s="131">
        <f>SUMIF(64:64,I9,65:65)-SUMIF(64:64,C9,65:65)+100</f>
        <v>100</v>
      </c>
      <c r="K9" s="568"/>
      <c r="L9" s="2938"/>
      <c r="M9" s="2939"/>
      <c r="N9" s="2939"/>
      <c r="O9" s="2939"/>
      <c r="P9" s="3289"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2137">
        <f t="shared" si="5"/>
        <v>1</v>
      </c>
    </row>
    <row r="10" spans="1:29" s="386" customFormat="1" ht="28.8">
      <c r="A10" s="380"/>
      <c r="B10" s="381" t="s">
        <v>2372</v>
      </c>
      <c r="C10" s="382" t="s">
        <v>3688</v>
      </c>
      <c r="D10" s="132">
        <v>100</v>
      </c>
      <c r="E10" s="382" t="s">
        <v>3688</v>
      </c>
      <c r="F10" s="132">
        <f>SUMIF(66:66,E10,67:67)-SUMIF(66:66,C10,67:67)+100</f>
        <v>100</v>
      </c>
      <c r="G10" s="382" t="s">
        <v>3688</v>
      </c>
      <c r="H10" s="132">
        <f>SUMIF(66:66,G10,67:67)-SUMIF(66:66,C10,67:67)+100</f>
        <v>100</v>
      </c>
      <c r="I10" s="382" t="s">
        <v>3688</v>
      </c>
      <c r="J10" s="132">
        <f>SUMIF(66:66,I10,67:67)-SUMIF(66:66,C10,67:67)+100</f>
        <v>100</v>
      </c>
      <c r="K10" s="569">
        <v>2</v>
      </c>
      <c r="L10" s="2940"/>
      <c r="M10" s="2941"/>
      <c r="N10" s="2941"/>
      <c r="O10" s="2941"/>
      <c r="P10" s="3289"/>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2137">
        <f t="shared" si="5"/>
        <v>1</v>
      </c>
    </row>
    <row r="11" spans="1:29" ht="15.6" thickBot="1">
      <c r="A11" s="387"/>
      <c r="B11" s="381" t="s">
        <v>2373</v>
      </c>
      <c r="C11" s="388">
        <f>'土地比较法-住宅、综合'!C11</f>
        <v>3.96</v>
      </c>
      <c r="D11" s="132">
        <v>100</v>
      </c>
      <c r="E11" s="388">
        <v>2.5</v>
      </c>
      <c r="F11" s="132">
        <f>LOOKUP(E11,69:69,70:70)-LOOKUP(C11,69:69,70:70)+100</f>
        <v>102</v>
      </c>
      <c r="G11" s="389">
        <v>3</v>
      </c>
      <c r="H11" s="132">
        <f>LOOKUP(G11,69:69,70:70)-LOOKUP(C11,69:69,70:70)+100</f>
        <v>100</v>
      </c>
      <c r="I11" s="388">
        <v>3</v>
      </c>
      <c r="J11" s="132">
        <f>LOOKUP(I11,69:69,70:70)-LOOKUP(C11,69:69,70:70)+100</f>
        <v>100</v>
      </c>
      <c r="K11" s="569">
        <v>2</v>
      </c>
      <c r="L11" s="2942"/>
      <c r="M11" s="2937"/>
      <c r="N11" s="2937"/>
      <c r="O11" s="2937"/>
      <c r="P11" s="3289"/>
      <c r="Q11" s="1520" t="str">
        <f t="shared" si="6"/>
        <v>容积率</v>
      </c>
      <c r="R11" s="710" t="s">
        <v>17</v>
      </c>
      <c r="S11" s="711">
        <f t="shared" si="0"/>
        <v>102</v>
      </c>
      <c r="T11" s="710" t="s">
        <v>17</v>
      </c>
      <c r="U11" s="711">
        <f t="shared" si="1"/>
        <v>100</v>
      </c>
      <c r="V11" s="710" t="s">
        <v>17</v>
      </c>
      <c r="W11" s="711">
        <f t="shared" si="2"/>
        <v>100</v>
      </c>
      <c r="X11" s="712"/>
      <c r="Y11" s="3187"/>
      <c r="Z11" s="55" t="str">
        <f t="shared" si="7"/>
        <v>容积率</v>
      </c>
      <c r="AA11" s="713">
        <f t="shared" si="3"/>
        <v>0.98039215686274506</v>
      </c>
      <c r="AB11" s="713">
        <f t="shared" si="4"/>
        <v>1</v>
      </c>
      <c r="AC11" s="2137">
        <f t="shared" si="5"/>
        <v>1</v>
      </c>
    </row>
    <row r="12" spans="1:29" s="113" customFormat="1" ht="15" hidden="1">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8"/>
      <c r="M12" s="2939"/>
      <c r="N12" s="2939"/>
      <c r="O12" s="2939"/>
      <c r="P12" s="3289"/>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2137">
        <f>D12/J12</f>
        <v>1</v>
      </c>
    </row>
    <row r="13" spans="1:29" ht="15" hidden="1">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3"/>
      <c r="M13" s="2937"/>
      <c r="N13" s="2937"/>
      <c r="O13" s="2937"/>
      <c r="P13" s="3289"/>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2137">
        <f t="shared" si="5"/>
        <v>1</v>
      </c>
    </row>
    <row r="14" spans="1:29" ht="15.6" hidden="1"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3"/>
      <c r="M14" s="2937"/>
      <c r="N14" s="2937"/>
      <c r="O14" s="2937"/>
      <c r="P14" s="3289"/>
      <c r="Q14" s="1520">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2137">
        <f t="shared" si="5"/>
        <v>1</v>
      </c>
    </row>
    <row r="15" spans="1:29" ht="69">
      <c r="A15" s="399" t="s">
        <v>2374</v>
      </c>
      <c r="B15" s="585" t="s">
        <v>2502</v>
      </c>
      <c r="C15" s="213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43"/>
      <c r="M15" s="2937"/>
      <c r="N15" s="2937"/>
      <c r="O15" s="2937"/>
      <c r="P15" s="3364" t="s">
        <v>2375</v>
      </c>
      <c r="Q15" s="1529" t="str">
        <f t="shared" si="6"/>
        <v>办公集聚程度</v>
      </c>
      <c r="R15" s="714" t="s">
        <v>17</v>
      </c>
      <c r="S15" s="715">
        <f t="shared" si="0"/>
        <v>102</v>
      </c>
      <c r="T15" s="714" t="s">
        <v>17</v>
      </c>
      <c r="U15" s="715">
        <f t="shared" si="1"/>
        <v>102</v>
      </c>
      <c r="V15" s="714" t="s">
        <v>17</v>
      </c>
      <c r="W15" s="715">
        <f t="shared" si="2"/>
        <v>102</v>
      </c>
      <c r="X15" s="1532"/>
      <c r="Y15" s="3292" t="s">
        <v>2375</v>
      </c>
      <c r="Z15" s="1533" t="str">
        <f t="shared" si="7"/>
        <v>办公集聚程度</v>
      </c>
      <c r="AA15" s="1530">
        <f t="shared" si="3"/>
        <v>0.98039215686274506</v>
      </c>
      <c r="AB15" s="1530">
        <f t="shared" si="4"/>
        <v>0.98039215686274506</v>
      </c>
      <c r="AC15" s="2140">
        <f t="shared" si="5"/>
        <v>0.98039215686274506</v>
      </c>
    </row>
    <row r="16" spans="1:29" ht="15">
      <c r="A16" s="387"/>
      <c r="B16" s="586"/>
      <c r="C16" s="2082" t="s">
        <v>3579</v>
      </c>
      <c r="D16" s="407"/>
      <c r="E16" s="406" t="s">
        <v>3580</v>
      </c>
      <c r="F16" s="407"/>
      <c r="G16" s="406" t="s">
        <v>3580</v>
      </c>
      <c r="H16" s="409"/>
      <c r="I16" s="406" t="s">
        <v>3580</v>
      </c>
      <c r="J16" s="407"/>
      <c r="K16" s="572"/>
      <c r="L16" s="2943"/>
      <c r="M16" s="2937"/>
      <c r="N16" s="2937"/>
      <c r="O16" s="2937"/>
      <c r="P16" s="3365"/>
      <c r="Q16" s="1529"/>
      <c r="R16" s="714"/>
      <c r="S16" s="715"/>
      <c r="T16" s="714"/>
      <c r="U16" s="715"/>
      <c r="V16" s="714"/>
      <c r="W16" s="715"/>
      <c r="X16" s="1532"/>
      <c r="Y16" s="3293"/>
      <c r="Z16" s="1533"/>
      <c r="AA16" s="1530">
        <v>1</v>
      </c>
      <c r="AB16" s="1530">
        <v>1</v>
      </c>
      <c r="AC16" s="2140">
        <v>1</v>
      </c>
    </row>
    <row r="17" spans="1:29" ht="82.8">
      <c r="A17" s="387"/>
      <c r="B17" s="587" t="s">
        <v>1942</v>
      </c>
      <c r="C17" s="2141"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98</v>
      </c>
      <c r="K17" s="571">
        <v>2</v>
      </c>
      <c r="L17" s="2943"/>
      <c r="M17" s="2937"/>
      <c r="N17" s="2937"/>
      <c r="O17" s="2937"/>
      <c r="P17" s="3365"/>
      <c r="Q17" s="1529" t="str">
        <f>B17</f>
        <v>交通便捷度</v>
      </c>
      <c r="R17" s="714" t="s">
        <v>17</v>
      </c>
      <c r="S17" s="715">
        <f>F17</f>
        <v>98</v>
      </c>
      <c r="T17" s="714" t="s">
        <v>17</v>
      </c>
      <c r="U17" s="715">
        <f>H17</f>
        <v>98</v>
      </c>
      <c r="V17" s="714" t="s">
        <v>17</v>
      </c>
      <c r="W17" s="715">
        <f>J17</f>
        <v>98</v>
      </c>
      <c r="X17" s="1532"/>
      <c r="Y17" s="3293"/>
      <c r="Z17" s="1533" t="str">
        <f>Q17</f>
        <v>交通便捷度</v>
      </c>
      <c r="AA17" s="1530">
        <f t="shared" si="3"/>
        <v>1.0204081632653061</v>
      </c>
      <c r="AB17" s="1530">
        <f t="shared" si="4"/>
        <v>1.0204081632653061</v>
      </c>
      <c r="AC17" s="2140">
        <f t="shared" si="5"/>
        <v>1.0204081632653061</v>
      </c>
    </row>
    <row r="18" spans="1:29" ht="15">
      <c r="A18" s="387"/>
      <c r="B18" s="588"/>
      <c r="C18" s="2142" t="s">
        <v>3580</v>
      </c>
      <c r="D18" s="409"/>
      <c r="E18" s="2080" t="s">
        <v>3579</v>
      </c>
      <c r="F18" s="409"/>
      <c r="G18" s="2080" t="s">
        <v>3579</v>
      </c>
      <c r="H18" s="407"/>
      <c r="I18" s="2080" t="s">
        <v>3579</v>
      </c>
      <c r="J18" s="407"/>
      <c r="K18" s="572"/>
      <c r="L18" s="2943"/>
      <c r="M18" s="2937"/>
      <c r="N18" s="2937"/>
      <c r="O18" s="2937"/>
      <c r="P18" s="3365"/>
      <c r="Q18" s="1529"/>
      <c r="R18" s="714"/>
      <c r="S18" s="715"/>
      <c r="T18" s="714"/>
      <c r="U18" s="715"/>
      <c r="V18" s="714"/>
      <c r="W18" s="715"/>
      <c r="X18" s="1532"/>
      <c r="Y18" s="3293"/>
      <c r="Z18" s="1533"/>
      <c r="AA18" s="1530">
        <v>1</v>
      </c>
      <c r="AB18" s="1530">
        <v>1</v>
      </c>
      <c r="AC18" s="2140">
        <v>1</v>
      </c>
    </row>
    <row r="19" spans="1:29" ht="41.4">
      <c r="A19" s="387"/>
      <c r="B19" s="587" t="s">
        <v>2503</v>
      </c>
      <c r="C19" s="2141" t="str">
        <f>估价对象房地状况!C7</f>
        <v>估价对象所在区域公共配套设施齐备情况</v>
      </c>
      <c r="D19" s="414">
        <v>100</v>
      </c>
      <c r="E19" s="418"/>
      <c r="F19" s="414">
        <f>SUMIF(81:81,E20,82:82)-SUMIF(81:81,C20,82:82)+100</f>
        <v>98</v>
      </c>
      <c r="G19" s="416"/>
      <c r="H19" s="409">
        <f>SUMIF(81:81,G20,82:82)-SUMIF(81:81,C20,82:82)+100</f>
        <v>98</v>
      </c>
      <c r="I19" s="416"/>
      <c r="J19" s="409">
        <f>SUMIF(81:81,I20,82:82)-SUMIF(81:81,C20,82:82)+100</f>
        <v>98</v>
      </c>
      <c r="K19" s="571">
        <v>2</v>
      </c>
      <c r="L19" s="2943"/>
      <c r="M19" s="2937"/>
      <c r="N19" s="2937"/>
      <c r="O19" s="2937"/>
      <c r="P19" s="3365"/>
      <c r="Q19" s="1529" t="str">
        <f>B19</f>
        <v>公共配套设施</v>
      </c>
      <c r="R19" s="714" t="s">
        <v>17</v>
      </c>
      <c r="S19" s="715">
        <f>F19</f>
        <v>98</v>
      </c>
      <c r="T19" s="714" t="s">
        <v>17</v>
      </c>
      <c r="U19" s="715">
        <f>H19</f>
        <v>98</v>
      </c>
      <c r="V19" s="714" t="s">
        <v>17</v>
      </c>
      <c r="W19" s="715">
        <f>J19</f>
        <v>98</v>
      </c>
      <c r="X19" s="1532"/>
      <c r="Y19" s="3293"/>
      <c r="Z19" s="1533" t="str">
        <f>Q19</f>
        <v>公共配套设施</v>
      </c>
      <c r="AA19" s="1530">
        <f t="shared" si="3"/>
        <v>1.0204081632653061</v>
      </c>
      <c r="AB19" s="1530">
        <f t="shared" si="4"/>
        <v>1.0204081632653061</v>
      </c>
      <c r="AC19" s="2140">
        <f t="shared" si="5"/>
        <v>1.0204081632653061</v>
      </c>
    </row>
    <row r="20" spans="1:29" ht="15">
      <c r="A20" s="387"/>
      <c r="B20" s="588"/>
      <c r="C20" s="2082" t="s">
        <v>3580</v>
      </c>
      <c r="D20" s="407"/>
      <c r="E20" s="2075" t="s">
        <v>3579</v>
      </c>
      <c r="F20" s="407"/>
      <c r="G20" s="2075" t="s">
        <v>3579</v>
      </c>
      <c r="H20" s="407"/>
      <c r="I20" s="2075" t="s">
        <v>3579</v>
      </c>
      <c r="J20" s="407"/>
      <c r="K20" s="572"/>
      <c r="L20" s="2943"/>
      <c r="M20" s="2937"/>
      <c r="N20" s="2937"/>
      <c r="O20" s="2937"/>
      <c r="P20" s="3365"/>
      <c r="Q20" s="1529"/>
      <c r="R20" s="714"/>
      <c r="S20" s="715"/>
      <c r="T20" s="714"/>
      <c r="U20" s="715"/>
      <c r="V20" s="714"/>
      <c r="W20" s="715"/>
      <c r="X20" s="1532"/>
      <c r="Y20" s="3293"/>
      <c r="Z20" s="1533"/>
      <c r="AA20" s="1530">
        <v>1</v>
      </c>
      <c r="AB20" s="1530">
        <v>1</v>
      </c>
      <c r="AC20" s="2140">
        <v>1</v>
      </c>
    </row>
    <row r="21" spans="1:29" ht="27.6">
      <c r="A21" s="387"/>
      <c r="B21" s="589" t="s">
        <v>2504</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3"/>
      <c r="M21" s="2937"/>
      <c r="N21" s="2937"/>
      <c r="O21" s="2937"/>
      <c r="P21" s="3365"/>
      <c r="Q21" s="1529" t="str">
        <f>B21</f>
        <v>基础设施水平</v>
      </c>
      <c r="R21" s="714" t="s">
        <v>17</v>
      </c>
      <c r="S21" s="715">
        <f>F21</f>
        <v>100</v>
      </c>
      <c r="T21" s="714" t="s">
        <v>17</v>
      </c>
      <c r="U21" s="715">
        <f>H21</f>
        <v>100</v>
      </c>
      <c r="V21" s="714" t="s">
        <v>17</v>
      </c>
      <c r="W21" s="715">
        <f>J21</f>
        <v>100</v>
      </c>
      <c r="X21" s="1532"/>
      <c r="Y21" s="3293"/>
      <c r="Z21" s="1533" t="str">
        <f>Q21</f>
        <v>基础设施水平</v>
      </c>
      <c r="AA21" s="1530">
        <f t="shared" ref="AA21" si="8">D21/F21</f>
        <v>1</v>
      </c>
      <c r="AB21" s="1530">
        <f t="shared" ref="AB21" si="9">D21/H21</f>
        <v>1</v>
      </c>
      <c r="AC21" s="2140">
        <f t="shared" ref="AC21" si="10">D21/J21</f>
        <v>1</v>
      </c>
    </row>
    <row r="22" spans="1:29" ht="15">
      <c r="A22" s="387"/>
      <c r="B22" s="589"/>
      <c r="C22" s="2142" t="s">
        <v>3662</v>
      </c>
      <c r="D22" s="407"/>
      <c r="E22" s="406" t="s">
        <v>3662</v>
      </c>
      <c r="F22" s="407"/>
      <c r="G22" s="406" t="s">
        <v>3662</v>
      </c>
      <c r="H22" s="407"/>
      <c r="I22" s="406" t="s">
        <v>3662</v>
      </c>
      <c r="J22" s="407"/>
      <c r="K22" s="1286"/>
      <c r="L22" s="2943"/>
      <c r="M22" s="2937"/>
      <c r="N22" s="2937"/>
      <c r="O22" s="2937"/>
      <c r="P22" s="3365"/>
      <c r="Q22" s="1529"/>
      <c r="R22" s="714"/>
      <c r="S22" s="715"/>
      <c r="T22" s="714"/>
      <c r="U22" s="715"/>
      <c r="V22" s="714"/>
      <c r="W22" s="715"/>
      <c r="X22" s="1532"/>
      <c r="Y22" s="3293"/>
      <c r="Z22" s="1533"/>
      <c r="AA22" s="1530">
        <v>1</v>
      </c>
      <c r="AB22" s="1530">
        <v>1</v>
      </c>
      <c r="AC22" s="2140">
        <v>1</v>
      </c>
    </row>
    <row r="23" spans="1:29" ht="55.2">
      <c r="A23" s="387"/>
      <c r="B23" s="587" t="s">
        <v>2505</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3"/>
      <c r="M23" s="2937"/>
      <c r="N23" s="2937"/>
      <c r="O23" s="2937"/>
      <c r="P23" s="3365"/>
      <c r="Q23" s="1529" t="str">
        <f>B23</f>
        <v>环境质量</v>
      </c>
      <c r="R23" s="714" t="s">
        <v>17</v>
      </c>
      <c r="S23" s="715">
        <f>F23</f>
        <v>100</v>
      </c>
      <c r="T23" s="714" t="s">
        <v>17</v>
      </c>
      <c r="U23" s="715">
        <f>H23</f>
        <v>100</v>
      </c>
      <c r="V23" s="714" t="s">
        <v>17</v>
      </c>
      <c r="W23" s="715">
        <f>J23</f>
        <v>100</v>
      </c>
      <c r="X23" s="1532"/>
      <c r="Y23" s="3293"/>
      <c r="Z23" s="1533" t="str">
        <f>Q23</f>
        <v>环境质量</v>
      </c>
      <c r="AA23" s="1530">
        <f t="shared" si="3"/>
        <v>1</v>
      </c>
      <c r="AB23" s="1530">
        <f t="shared" si="4"/>
        <v>1</v>
      </c>
      <c r="AC23" s="2140">
        <f t="shared" si="5"/>
        <v>1</v>
      </c>
    </row>
    <row r="24" spans="1:29" ht="15">
      <c r="A24" s="387"/>
      <c r="B24" s="589"/>
      <c r="C24" s="2082" t="s">
        <v>3580</v>
      </c>
      <c r="D24" s="407"/>
      <c r="E24" s="2075" t="s">
        <v>3580</v>
      </c>
      <c r="F24" s="407"/>
      <c r="G24" s="2075" t="s">
        <v>3580</v>
      </c>
      <c r="H24" s="407"/>
      <c r="I24" s="2075" t="s">
        <v>3580</v>
      </c>
      <c r="J24" s="407"/>
      <c r="K24" s="572"/>
      <c r="L24" s="2943"/>
      <c r="M24" s="2937"/>
      <c r="N24" s="2937"/>
      <c r="O24" s="2937"/>
      <c r="P24" s="3365"/>
      <c r="Q24" s="1529"/>
      <c r="R24" s="714"/>
      <c r="S24" s="715"/>
      <c r="T24" s="714"/>
      <c r="U24" s="715"/>
      <c r="V24" s="714"/>
      <c r="W24" s="715"/>
      <c r="X24" s="1532"/>
      <c r="Y24" s="3293"/>
      <c r="Z24" s="1533"/>
      <c r="AA24" s="1530">
        <v>1</v>
      </c>
      <c r="AB24" s="1530">
        <v>1</v>
      </c>
      <c r="AC24" s="2140">
        <v>1</v>
      </c>
    </row>
    <row r="25" spans="1:29" ht="28.8">
      <c r="A25" s="364"/>
      <c r="B25" s="587" t="s">
        <v>2506</v>
      </c>
      <c r="C25" s="3084" t="s">
        <v>3690</v>
      </c>
      <c r="D25" s="394">
        <v>100</v>
      </c>
      <c r="E25" s="3089" t="s">
        <v>3714</v>
      </c>
      <c r="F25" s="394">
        <f>SUMIF(87:87,E26,88:88)-SUMIF(87:87,C26,88:88)+100</f>
        <v>99</v>
      </c>
      <c r="G25" s="3084" t="s">
        <v>3716</v>
      </c>
      <c r="H25" s="394">
        <f>SUMIF(87:87,G26,88:88)-SUMIF(87:87,C26,88:88)+100</f>
        <v>100</v>
      </c>
      <c r="I25" s="3084" t="s">
        <v>3716</v>
      </c>
      <c r="J25" s="394">
        <f>SUMIF(87:87,I26,88:88)-SUMIF(87:87,C26,88:88)+100</f>
        <v>100</v>
      </c>
      <c r="K25" s="571">
        <v>1</v>
      </c>
      <c r="L25" s="2943"/>
      <c r="M25" s="2937"/>
      <c r="N25" s="2937"/>
      <c r="O25" s="2937"/>
      <c r="P25" s="3365"/>
      <c r="Q25" s="1529" t="str">
        <f>B25</f>
        <v>毗邻道路的类型与等级</v>
      </c>
      <c r="R25" s="714" t="s">
        <v>17</v>
      </c>
      <c r="S25" s="715">
        <f>F25</f>
        <v>99</v>
      </c>
      <c r="T25" s="714" t="s">
        <v>17</v>
      </c>
      <c r="U25" s="715">
        <f>H25</f>
        <v>100</v>
      </c>
      <c r="V25" s="714" t="s">
        <v>17</v>
      </c>
      <c r="W25" s="715">
        <f>J25</f>
        <v>100</v>
      </c>
      <c r="X25" s="1532"/>
      <c r="Y25" s="3293"/>
      <c r="Z25" s="1533" t="str">
        <f>Q25</f>
        <v>毗邻道路的类型与等级</v>
      </c>
      <c r="AA25" s="1530">
        <f t="shared" si="3"/>
        <v>1.0101010101010102</v>
      </c>
      <c r="AB25" s="1530">
        <f t="shared" si="4"/>
        <v>1</v>
      </c>
      <c r="AC25" s="2140">
        <f t="shared" si="5"/>
        <v>1</v>
      </c>
    </row>
    <row r="26" spans="1:29" ht="15.6" thickBot="1">
      <c r="A26" s="364"/>
      <c r="B26" s="588"/>
      <c r="C26" s="590" t="s">
        <v>3623</v>
      </c>
      <c r="D26" s="394"/>
      <c r="E26" s="573" t="s">
        <v>3625</v>
      </c>
      <c r="F26" s="394"/>
      <c r="G26" s="590" t="s">
        <v>3623</v>
      </c>
      <c r="H26" s="394"/>
      <c r="I26" s="590" t="s">
        <v>3623</v>
      </c>
      <c r="J26" s="394"/>
      <c r="K26" s="572"/>
      <c r="L26" s="2943"/>
      <c r="M26" s="2937"/>
      <c r="N26" s="2937"/>
      <c r="O26" s="2937"/>
      <c r="P26" s="3365"/>
      <c r="Q26" s="1529"/>
      <c r="R26" s="714"/>
      <c r="S26" s="715"/>
      <c r="T26" s="714"/>
      <c r="U26" s="715"/>
      <c r="V26" s="714"/>
      <c r="W26" s="715"/>
      <c r="X26" s="1532"/>
      <c r="Y26" s="3293"/>
      <c r="Z26" s="1533"/>
      <c r="AA26" s="1530">
        <v>1</v>
      </c>
      <c r="AB26" s="1530">
        <v>1</v>
      </c>
      <c r="AC26" s="2140">
        <v>1</v>
      </c>
    </row>
    <row r="27" spans="1:29" ht="15" hidden="1">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65"/>
      <c r="Q27" s="1529" t="str">
        <f t="shared" ref="Q27:Q47" si="11">B27</f>
        <v>楼层</v>
      </c>
      <c r="R27" s="714" t="s">
        <v>17</v>
      </c>
      <c r="S27" s="715">
        <f>F27</f>
        <v>100</v>
      </c>
      <c r="T27" s="714" t="s">
        <v>17</v>
      </c>
      <c r="U27" s="715">
        <f>H27</f>
        <v>100</v>
      </c>
      <c r="V27" s="714" t="s">
        <v>17</v>
      </c>
      <c r="W27" s="715">
        <f>J27</f>
        <v>100</v>
      </c>
      <c r="X27" s="1532"/>
      <c r="Y27" s="3293"/>
      <c r="Z27" s="1533" t="str">
        <f>Q27</f>
        <v>楼层</v>
      </c>
      <c r="AA27" s="1530">
        <f t="shared" si="3"/>
        <v>1</v>
      </c>
      <c r="AB27" s="1530">
        <f t="shared" si="4"/>
        <v>1</v>
      </c>
      <c r="AC27" s="2140">
        <f t="shared" si="5"/>
        <v>1</v>
      </c>
    </row>
    <row r="28" spans="1:29" s="113" customFormat="1" ht="15" hidden="1">
      <c r="A28" s="390"/>
      <c r="B28" s="587" t="s">
        <v>2507</v>
      </c>
      <c r="C28" s="2143"/>
      <c r="D28" s="421">
        <v>100</v>
      </c>
      <c r="E28" s="2134"/>
      <c r="F28" s="421">
        <f>SUMIF(91:91,E28,92:92)-SUMIF(91:91,C28,92:92)+100</f>
        <v>100</v>
      </c>
      <c r="G28" s="2143"/>
      <c r="H28" s="421">
        <f>SUMIF(91:91,G28,92:92)-SUMIF(91:91,C28,92:92)+100</f>
        <v>100</v>
      </c>
      <c r="I28" s="2134"/>
      <c r="J28" s="421">
        <f>SUMIF(91:91,I28,92:92)-SUMIF(91:91,C28,92:92)+100</f>
        <v>100</v>
      </c>
      <c r="K28" s="569"/>
      <c r="L28" s="2938"/>
      <c r="M28" s="2939"/>
      <c r="N28" s="2939"/>
      <c r="O28" s="2939"/>
      <c r="P28" s="3365"/>
      <c r="Q28" s="1520" t="str">
        <f t="shared" si="11"/>
        <v>朝向</v>
      </c>
      <c r="R28" s="710" t="s">
        <v>17</v>
      </c>
      <c r="S28" s="711">
        <f>F28</f>
        <v>100</v>
      </c>
      <c r="T28" s="710" t="s">
        <v>17</v>
      </c>
      <c r="U28" s="711">
        <f>H28</f>
        <v>100</v>
      </c>
      <c r="V28" s="710" t="s">
        <v>17</v>
      </c>
      <c r="W28" s="711">
        <f>J28</f>
        <v>100</v>
      </c>
      <c r="X28" s="712"/>
      <c r="Y28" s="3293"/>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3"/>
      <c r="M29" s="2937"/>
      <c r="N29" s="2937"/>
      <c r="O29" s="2937"/>
      <c r="P29" s="3365"/>
      <c r="Q29" s="1529">
        <f t="shared" si="11"/>
        <v>111</v>
      </c>
      <c r="R29" s="714" t="s">
        <v>17</v>
      </c>
      <c r="S29" s="715">
        <f t="shared" ref="S29:S47" si="12">F29</f>
        <v>100</v>
      </c>
      <c r="T29" s="714" t="s">
        <v>17</v>
      </c>
      <c r="U29" s="715">
        <f t="shared" ref="U29:U47" si="13">H29</f>
        <v>100</v>
      </c>
      <c r="V29" s="714" t="s">
        <v>17</v>
      </c>
      <c r="W29" s="715">
        <f t="shared" ref="W29:W47" si="14">J29</f>
        <v>100</v>
      </c>
      <c r="X29" s="1532"/>
      <c r="Y29" s="3293"/>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3"/>
      <c r="M30" s="2937"/>
      <c r="N30" s="2937"/>
      <c r="O30" s="2937"/>
      <c r="P30" s="3365"/>
      <c r="Q30" s="1529">
        <f t="shared" si="11"/>
        <v>111</v>
      </c>
      <c r="R30" s="714" t="s">
        <v>17</v>
      </c>
      <c r="S30" s="715">
        <f t="shared" si="12"/>
        <v>100</v>
      </c>
      <c r="T30" s="714" t="s">
        <v>17</v>
      </c>
      <c r="U30" s="715">
        <f t="shared" si="13"/>
        <v>100</v>
      </c>
      <c r="V30" s="714" t="s">
        <v>17</v>
      </c>
      <c r="W30" s="715">
        <f t="shared" si="14"/>
        <v>100</v>
      </c>
      <c r="X30" s="1532"/>
      <c r="Y30" s="3293"/>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3"/>
      <c r="M31" s="2937"/>
      <c r="N31" s="2937"/>
      <c r="O31" s="2937"/>
      <c r="P31" s="3365"/>
      <c r="Q31" s="1529">
        <f t="shared" si="11"/>
        <v>111</v>
      </c>
      <c r="R31" s="714" t="s">
        <v>17</v>
      </c>
      <c r="S31" s="715">
        <f t="shared" si="12"/>
        <v>100</v>
      </c>
      <c r="T31" s="714" t="s">
        <v>17</v>
      </c>
      <c r="U31" s="715">
        <f t="shared" si="13"/>
        <v>100</v>
      </c>
      <c r="V31" s="714" t="s">
        <v>17</v>
      </c>
      <c r="W31" s="715">
        <f t="shared" si="14"/>
        <v>100</v>
      </c>
      <c r="X31" s="1532"/>
      <c r="Y31" s="3293"/>
      <c r="Z31" s="1533">
        <f t="shared" si="15"/>
        <v>111</v>
      </c>
      <c r="AA31" s="1530">
        <f t="shared" si="3"/>
        <v>1</v>
      </c>
      <c r="AB31" s="1530">
        <f t="shared" si="4"/>
        <v>1</v>
      </c>
      <c r="AC31" s="2140">
        <f t="shared" si="5"/>
        <v>1</v>
      </c>
    </row>
    <row r="32" spans="1:29" ht="15.6"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3"/>
      <c r="M32" s="2937"/>
      <c r="N32" s="2937"/>
      <c r="O32" s="2937"/>
      <c r="P32" s="3365"/>
      <c r="Q32" s="1529">
        <f t="shared" si="11"/>
        <v>111</v>
      </c>
      <c r="R32" s="714" t="s">
        <v>17</v>
      </c>
      <c r="S32" s="715">
        <f t="shared" si="12"/>
        <v>100</v>
      </c>
      <c r="T32" s="714" t="s">
        <v>17</v>
      </c>
      <c r="U32" s="715">
        <f t="shared" si="13"/>
        <v>100</v>
      </c>
      <c r="V32" s="714" t="s">
        <v>17</v>
      </c>
      <c r="W32" s="715">
        <f t="shared" si="14"/>
        <v>100</v>
      </c>
      <c r="X32" s="1532"/>
      <c r="Y32" s="3293"/>
      <c r="Z32" s="1533">
        <f t="shared" si="15"/>
        <v>111</v>
      </c>
      <c r="AA32" s="1530">
        <f t="shared" si="3"/>
        <v>1</v>
      </c>
      <c r="AB32" s="1530">
        <f t="shared" si="4"/>
        <v>1</v>
      </c>
      <c r="AC32" s="2140">
        <f t="shared" si="5"/>
        <v>1</v>
      </c>
    </row>
    <row r="33" spans="1:29" ht="15">
      <c r="A33" s="399" t="s">
        <v>2378</v>
      </c>
      <c r="B33" s="67" t="s">
        <v>2508</v>
      </c>
      <c r="C33" s="2145" t="s">
        <v>3691</v>
      </c>
      <c r="D33" s="426">
        <v>100</v>
      </c>
      <c r="E33" s="2145" t="s">
        <v>3691</v>
      </c>
      <c r="F33" s="420">
        <f>SUMIF(101:101,E33,102:102)-SUMIF(101:101,C33,102:102)+100</f>
        <v>100</v>
      </c>
      <c r="G33" s="2145" t="s">
        <v>3691</v>
      </c>
      <c r="H33" s="394">
        <f>SUMIF(101:101,G33,102:102)-SUMIF(101:101,C33,102:102)+100</f>
        <v>100</v>
      </c>
      <c r="I33" s="2145" t="s">
        <v>3691</v>
      </c>
      <c r="J33" s="426">
        <f>SUMIF(101:101,I33,102:102)-SUMIF(101:101,C33,102:102)+100</f>
        <v>100</v>
      </c>
      <c r="K33" s="569">
        <v>2</v>
      </c>
      <c r="L33" s="2943"/>
      <c r="M33" s="2937"/>
      <c r="N33" s="2937"/>
      <c r="O33" s="2937"/>
      <c r="P33" s="3360" t="s">
        <v>2380</v>
      </c>
      <c r="Q33" s="1529" t="str">
        <f t="shared" si="11"/>
        <v>建筑类型</v>
      </c>
      <c r="R33" s="714" t="s">
        <v>17</v>
      </c>
      <c r="S33" s="715">
        <f t="shared" si="12"/>
        <v>100</v>
      </c>
      <c r="T33" s="714" t="s">
        <v>17</v>
      </c>
      <c r="U33" s="715">
        <f t="shared" si="13"/>
        <v>100</v>
      </c>
      <c r="V33" s="714" t="s">
        <v>17</v>
      </c>
      <c r="W33" s="715">
        <f t="shared" si="14"/>
        <v>100</v>
      </c>
      <c r="X33" s="1532"/>
      <c r="Y33" s="3295" t="s">
        <v>2380</v>
      </c>
      <c r="Z33" s="1533" t="str">
        <f t="shared" si="15"/>
        <v>建筑类型</v>
      </c>
      <c r="AA33" s="1530">
        <f t="shared" si="3"/>
        <v>1</v>
      </c>
      <c r="AB33" s="1530">
        <f t="shared" si="4"/>
        <v>1</v>
      </c>
      <c r="AC33" s="2140">
        <f t="shared" si="5"/>
        <v>1</v>
      </c>
    </row>
    <row r="34" spans="1:29" s="430" customFormat="1" ht="15">
      <c r="A34" s="427"/>
      <c r="B34" s="381" t="s">
        <v>2381</v>
      </c>
      <c r="C34" s="428">
        <f>'数据-基础表'!B3</f>
        <v>223732.2</v>
      </c>
      <c r="D34" s="132">
        <v>100</v>
      </c>
      <c r="E34" s="389">
        <v>136944</v>
      </c>
      <c r="F34" s="384">
        <f>LOOKUP(E34,104:104,105:105)-LOOKUP(C34,104:104,105:105)+100</f>
        <v>99</v>
      </c>
      <c r="G34" s="388">
        <v>206267</v>
      </c>
      <c r="H34" s="132">
        <f>LOOKUP(G34,104:104,105:105)-LOOKUP(C34,104:104,105:105)+100</f>
        <v>100</v>
      </c>
      <c r="I34" s="388">
        <v>18690</v>
      </c>
      <c r="J34" s="132">
        <f>LOOKUP(I34,104:104,105:105)-LOOKUP(C34,104:104,105:105)+100</f>
        <v>98</v>
      </c>
      <c r="K34" s="570"/>
      <c r="L34" s="2942"/>
      <c r="M34" s="2944"/>
      <c r="N34" s="2944"/>
      <c r="O34" s="2944"/>
      <c r="P34" s="3361"/>
      <c r="Q34" s="716" t="str">
        <f t="shared" si="11"/>
        <v>项目建筑规模</v>
      </c>
      <c r="R34" s="717" t="s">
        <v>17</v>
      </c>
      <c r="S34" s="718">
        <f t="shared" si="12"/>
        <v>99</v>
      </c>
      <c r="T34" s="717" t="s">
        <v>17</v>
      </c>
      <c r="U34" s="718">
        <f t="shared" si="13"/>
        <v>100</v>
      </c>
      <c r="V34" s="717" t="s">
        <v>17</v>
      </c>
      <c r="W34" s="718">
        <f t="shared" si="14"/>
        <v>98</v>
      </c>
      <c r="X34" s="719"/>
      <c r="Y34" s="3295"/>
      <c r="Z34" s="720" t="str">
        <f t="shared" si="15"/>
        <v>项目建筑规模</v>
      </c>
      <c r="AA34" s="1530">
        <f t="shared" si="3"/>
        <v>1.0101010101010102</v>
      </c>
      <c r="AB34" s="1530">
        <f t="shared" si="4"/>
        <v>1</v>
      </c>
      <c r="AC34" s="2140">
        <f t="shared" si="5"/>
        <v>1.0204081632653061</v>
      </c>
    </row>
    <row r="35" spans="1:29" ht="15">
      <c r="A35" s="431"/>
      <c r="B35" s="381" t="s">
        <v>2382</v>
      </c>
      <c r="C35" s="419" t="s">
        <v>3685</v>
      </c>
      <c r="D35" s="394">
        <v>100</v>
      </c>
      <c r="E35" s="419" t="s">
        <v>3685</v>
      </c>
      <c r="F35" s="420">
        <f>SUMIF(106:106,E35,107:107)-SUMIF(106:106,C35,107:107)+100</f>
        <v>100</v>
      </c>
      <c r="G35" s="419" t="s">
        <v>3685</v>
      </c>
      <c r="H35" s="394">
        <f>SUMIF(106:106,G35,107:107)-SUMIF(106:106,C35,107:107)+100</f>
        <v>100</v>
      </c>
      <c r="I35" s="419" t="s">
        <v>3685</v>
      </c>
      <c r="J35" s="394">
        <f>SUMIF(106:106,I35,107:107)-SUMIF(106:106,C35,107:107)+100</f>
        <v>100</v>
      </c>
      <c r="K35" s="569">
        <v>1</v>
      </c>
      <c r="L35" s="2943"/>
      <c r="M35" s="2937"/>
      <c r="N35" s="2937"/>
      <c r="O35" s="2937"/>
      <c r="P35" s="3361"/>
      <c r="Q35" s="1529" t="str">
        <f t="shared" si="11"/>
        <v>建筑结构</v>
      </c>
      <c r="R35" s="714" t="s">
        <v>17</v>
      </c>
      <c r="S35" s="715">
        <f t="shared" si="12"/>
        <v>100</v>
      </c>
      <c r="T35" s="714" t="s">
        <v>17</v>
      </c>
      <c r="U35" s="715">
        <f t="shared" si="13"/>
        <v>100</v>
      </c>
      <c r="V35" s="714" t="s">
        <v>17</v>
      </c>
      <c r="W35" s="715">
        <f t="shared" si="14"/>
        <v>100</v>
      </c>
      <c r="X35" s="1532"/>
      <c r="Y35" s="3295"/>
      <c r="Z35" s="1533" t="str">
        <f t="shared" si="15"/>
        <v>建筑结构</v>
      </c>
      <c r="AA35" s="1530">
        <f t="shared" si="3"/>
        <v>1</v>
      </c>
      <c r="AB35" s="1530">
        <f t="shared" si="4"/>
        <v>1</v>
      </c>
      <c r="AC35" s="2140">
        <f t="shared" si="5"/>
        <v>1</v>
      </c>
    </row>
    <row r="36" spans="1:29" ht="15">
      <c r="A36" s="431"/>
      <c r="B36" s="381" t="s">
        <v>2476</v>
      </c>
      <c r="C36" s="419" t="s">
        <v>3694</v>
      </c>
      <c r="D36" s="394">
        <v>100</v>
      </c>
      <c r="E36" s="419" t="s">
        <v>3694</v>
      </c>
      <c r="F36" s="420">
        <f>SUMIF(108:108,E36,109:109)-SUMIF(108:108,C36,109:109)+100</f>
        <v>100</v>
      </c>
      <c r="G36" s="419" t="s">
        <v>3694</v>
      </c>
      <c r="H36" s="394">
        <f>SUMIF(108:108,G36,109:109)-SUMIF(108:108,C36,109:109)+100</f>
        <v>100</v>
      </c>
      <c r="I36" s="419" t="s">
        <v>3694</v>
      </c>
      <c r="J36" s="394">
        <f>SUMIF(108:108,I36,109:109)-SUMIF(108:108,C36,109:109)+100</f>
        <v>100</v>
      </c>
      <c r="K36" s="569">
        <v>2</v>
      </c>
      <c r="L36" s="2943"/>
      <c r="M36" s="2937"/>
      <c r="N36" s="2937"/>
      <c r="O36" s="2937"/>
      <c r="P36" s="3361"/>
      <c r="Q36" s="1529" t="str">
        <f t="shared" si="11"/>
        <v>公共部分装修</v>
      </c>
      <c r="R36" s="714" t="s">
        <v>17</v>
      </c>
      <c r="S36" s="715">
        <f t="shared" si="12"/>
        <v>100</v>
      </c>
      <c r="T36" s="714" t="s">
        <v>17</v>
      </c>
      <c r="U36" s="715">
        <f t="shared" si="13"/>
        <v>100</v>
      </c>
      <c r="V36" s="714" t="s">
        <v>17</v>
      </c>
      <c r="W36" s="715">
        <f t="shared" si="14"/>
        <v>100</v>
      </c>
      <c r="X36" s="1532"/>
      <c r="Y36" s="3295"/>
      <c r="Z36" s="1533" t="str">
        <f t="shared" si="15"/>
        <v>公共部分装修</v>
      </c>
      <c r="AA36" s="1530">
        <f t="shared" si="3"/>
        <v>1</v>
      </c>
      <c r="AB36" s="1530">
        <f t="shared" si="4"/>
        <v>1</v>
      </c>
      <c r="AC36" s="2140">
        <f t="shared" si="5"/>
        <v>1</v>
      </c>
    </row>
    <row r="37" spans="1:29" ht="15">
      <c r="A37" s="431"/>
      <c r="B37" s="381" t="s">
        <v>2477</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43"/>
      <c r="M37" s="2937"/>
      <c r="N37" s="2937"/>
      <c r="O37" s="2937"/>
      <c r="P37" s="3361"/>
      <c r="Q37" s="1529" t="str">
        <f t="shared" si="11"/>
        <v>成新度</v>
      </c>
      <c r="R37" s="714" t="s">
        <v>17</v>
      </c>
      <c r="S37" s="715">
        <f t="shared" si="12"/>
        <v>100</v>
      </c>
      <c r="T37" s="714" t="s">
        <v>17</v>
      </c>
      <c r="U37" s="715">
        <f t="shared" si="13"/>
        <v>100</v>
      </c>
      <c r="V37" s="714" t="s">
        <v>17</v>
      </c>
      <c r="W37" s="715">
        <f t="shared" si="14"/>
        <v>100</v>
      </c>
      <c r="X37" s="1532"/>
      <c r="Y37" s="3295"/>
      <c r="Z37" s="1533" t="str">
        <f t="shared" si="15"/>
        <v>成新度</v>
      </c>
      <c r="AA37" s="1530">
        <f t="shared" si="3"/>
        <v>1</v>
      </c>
      <c r="AB37" s="1530">
        <f t="shared" si="4"/>
        <v>1</v>
      </c>
      <c r="AC37" s="2140">
        <f t="shared" si="5"/>
        <v>1</v>
      </c>
    </row>
    <row r="38" spans="1:29" s="113" customFormat="1" ht="15" hidden="1">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61"/>
      <c r="Q38" s="1520"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37">
        <f t="shared" si="5"/>
        <v>1</v>
      </c>
    </row>
    <row r="39" spans="1:29" ht="15">
      <c r="A39" s="431"/>
      <c r="B39" s="381" t="s">
        <v>2510</v>
      </c>
      <c r="C39" s="419" t="s">
        <v>3580</v>
      </c>
      <c r="D39" s="394">
        <v>100</v>
      </c>
      <c r="E39" s="419" t="s">
        <v>3580</v>
      </c>
      <c r="F39" s="420">
        <f>SUMIF(115:115,E39,116:116)-SUMIF(115:115,C39,116:116)+100</f>
        <v>100</v>
      </c>
      <c r="G39" s="419" t="s">
        <v>3580</v>
      </c>
      <c r="H39" s="394">
        <f>SUMIF(115:115,G39,116:116)-SUMIF(115:115,C39,116:116)+100</f>
        <v>100</v>
      </c>
      <c r="I39" s="419" t="s">
        <v>3580</v>
      </c>
      <c r="J39" s="394">
        <f>SUMIF(115:115,I39,116:116)-SUMIF(115:115,C39,116:116)+100</f>
        <v>100</v>
      </c>
      <c r="K39" s="569">
        <v>1</v>
      </c>
      <c r="L39" s="2943"/>
      <c r="M39" s="2937"/>
      <c r="N39" s="2937"/>
      <c r="O39" s="2937"/>
      <c r="P39" s="3361" t="s">
        <v>2380</v>
      </c>
      <c r="Q39" s="1529" t="str">
        <f t="shared" si="11"/>
        <v>物业管理</v>
      </c>
      <c r="R39" s="714" t="s">
        <v>17</v>
      </c>
      <c r="S39" s="715">
        <f t="shared" si="12"/>
        <v>100</v>
      </c>
      <c r="T39" s="714" t="s">
        <v>17</v>
      </c>
      <c r="U39" s="715">
        <f t="shared" si="13"/>
        <v>100</v>
      </c>
      <c r="V39" s="714" t="s">
        <v>17</v>
      </c>
      <c r="W39" s="715">
        <f t="shared" si="14"/>
        <v>100</v>
      </c>
      <c r="X39" s="1532"/>
      <c r="Y39" s="3295" t="s">
        <v>2380</v>
      </c>
      <c r="Z39" s="1533" t="str">
        <f t="shared" si="15"/>
        <v>物业管理</v>
      </c>
      <c r="AA39" s="1530">
        <f t="shared" si="3"/>
        <v>1</v>
      </c>
      <c r="AB39" s="1530">
        <f t="shared" si="4"/>
        <v>1</v>
      </c>
      <c r="AC39" s="2140">
        <f t="shared" si="5"/>
        <v>1</v>
      </c>
    </row>
    <row r="40" spans="1:29" ht="15">
      <c r="A40" s="431"/>
      <c r="B40" s="381" t="s">
        <v>2478</v>
      </c>
      <c r="C40" s="419" t="s">
        <v>3641</v>
      </c>
      <c r="D40" s="394">
        <v>100</v>
      </c>
      <c r="E40" s="419" t="s">
        <v>3700</v>
      </c>
      <c r="F40" s="420">
        <f>SUMIF(117:117,E40,118:118)-SUMIF(117:117,C40,118:118)+100</f>
        <v>99</v>
      </c>
      <c r="G40" s="419" t="s">
        <v>3700</v>
      </c>
      <c r="H40" s="394">
        <f>SUMIF(117:117,G40,118:118)-SUMIF(117:117,C40,118:118)+100</f>
        <v>99</v>
      </c>
      <c r="I40" s="419" t="s">
        <v>3700</v>
      </c>
      <c r="J40" s="394">
        <f>SUMIF(117:117,I40,118:118)-SUMIF(117:117,C40,118:118)+100</f>
        <v>99</v>
      </c>
      <c r="K40" s="569">
        <v>1</v>
      </c>
      <c r="L40" s="2943"/>
      <c r="M40" s="2937"/>
      <c r="N40" s="2937"/>
      <c r="O40" s="2937"/>
      <c r="P40" s="3361"/>
      <c r="Q40" s="1529" t="str">
        <f t="shared" si="11"/>
        <v>市政基础设施</v>
      </c>
      <c r="R40" s="714" t="s">
        <v>17</v>
      </c>
      <c r="S40" s="715">
        <f t="shared" si="12"/>
        <v>99</v>
      </c>
      <c r="T40" s="714" t="s">
        <v>17</v>
      </c>
      <c r="U40" s="715">
        <f t="shared" si="13"/>
        <v>99</v>
      </c>
      <c r="V40" s="714" t="s">
        <v>17</v>
      </c>
      <c r="W40" s="715">
        <f t="shared" si="14"/>
        <v>99</v>
      </c>
      <c r="X40" s="1532"/>
      <c r="Y40" s="3295"/>
      <c r="Z40" s="1533" t="str">
        <f t="shared" si="15"/>
        <v>市政基础设施</v>
      </c>
      <c r="AA40" s="1530">
        <f t="shared" si="3"/>
        <v>1.0101010101010102</v>
      </c>
      <c r="AB40" s="1530">
        <f t="shared" si="4"/>
        <v>1.0101010101010102</v>
      </c>
      <c r="AC40" s="2140">
        <f t="shared" si="5"/>
        <v>1.0101010101010102</v>
      </c>
    </row>
    <row r="41" spans="1:29" ht="15" hidden="1">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61"/>
      <c r="Q41" s="1529" t="str">
        <f t="shared" si="11"/>
        <v>层高</v>
      </c>
      <c r="R41" s="714" t="s">
        <v>17</v>
      </c>
      <c r="S41" s="715">
        <f t="shared" si="12"/>
        <v>100</v>
      </c>
      <c r="T41" s="714" t="s">
        <v>17</v>
      </c>
      <c r="U41" s="715">
        <f t="shared" si="13"/>
        <v>100</v>
      </c>
      <c r="V41" s="714" t="s">
        <v>17</v>
      </c>
      <c r="W41" s="715">
        <f t="shared" si="14"/>
        <v>100</v>
      </c>
      <c r="X41" s="1532"/>
      <c r="Y41" s="3295"/>
      <c r="Z41" s="1533" t="str">
        <f t="shared" si="15"/>
        <v>层高</v>
      </c>
      <c r="AA41" s="1530">
        <f t="shared" si="3"/>
        <v>1</v>
      </c>
      <c r="AB41" s="1530">
        <f t="shared" si="4"/>
        <v>1</v>
      </c>
      <c r="AC41" s="2140">
        <f t="shared" si="5"/>
        <v>1</v>
      </c>
    </row>
    <row r="42" spans="1:29" s="430" customFormat="1" ht="15" hidden="1">
      <c r="A42" s="427"/>
      <c r="B42" s="1531"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61"/>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0">
        <f t="shared" si="3"/>
        <v>1</v>
      </c>
      <c r="AB42" s="1530">
        <f t="shared" si="4"/>
        <v>1</v>
      </c>
      <c r="AC42" s="2140">
        <f t="shared" si="5"/>
        <v>1</v>
      </c>
    </row>
    <row r="43" spans="1:29" ht="15.6" thickBot="1">
      <c r="A43" s="431"/>
      <c r="B43" s="381" t="s">
        <v>2483</v>
      </c>
      <c r="C43" s="419" t="s">
        <v>3698</v>
      </c>
      <c r="D43" s="394">
        <v>100</v>
      </c>
      <c r="E43" s="419" t="s">
        <v>3698</v>
      </c>
      <c r="F43" s="420">
        <f>SUMIF(123:123,E43,124:124)-SUMIF(123:123,C43,124:124)+100</f>
        <v>100</v>
      </c>
      <c r="G43" s="419" t="s">
        <v>3698</v>
      </c>
      <c r="H43" s="394">
        <f>SUMIF(123:123,G43,124:124)-SUMIF(123:123,C43,124:124)+100</f>
        <v>100</v>
      </c>
      <c r="I43" s="419" t="s">
        <v>3698</v>
      </c>
      <c r="J43" s="394">
        <f>SUMIF(123:123,I43,124:124)-SUMIF(123:123,C43,124:124)+100</f>
        <v>100</v>
      </c>
      <c r="K43" s="569">
        <v>2</v>
      </c>
      <c r="L43" s="2943"/>
      <c r="M43" s="2937"/>
      <c r="N43" s="2937"/>
      <c r="O43" s="2937"/>
      <c r="P43" s="3361"/>
      <c r="Q43" s="1529" t="str">
        <f t="shared" si="11"/>
        <v>内部装修</v>
      </c>
      <c r="R43" s="714" t="s">
        <v>17</v>
      </c>
      <c r="S43" s="715">
        <f t="shared" si="12"/>
        <v>100</v>
      </c>
      <c r="T43" s="714" t="s">
        <v>17</v>
      </c>
      <c r="U43" s="715">
        <f t="shared" si="13"/>
        <v>100</v>
      </c>
      <c r="V43" s="714" t="s">
        <v>17</v>
      </c>
      <c r="W43" s="715">
        <f t="shared" si="14"/>
        <v>100</v>
      </c>
      <c r="X43" s="1532"/>
      <c r="Y43" s="3295"/>
      <c r="Z43" s="1533" t="str">
        <f t="shared" si="15"/>
        <v>内部装修</v>
      </c>
      <c r="AA43" s="1530">
        <f t="shared" si="3"/>
        <v>1</v>
      </c>
      <c r="AB43" s="1530">
        <f t="shared" si="4"/>
        <v>1</v>
      </c>
      <c r="AC43" s="2140">
        <f t="shared" si="5"/>
        <v>1</v>
      </c>
    </row>
    <row r="44" spans="1:29" ht="29.4" hidden="1" thickBot="1">
      <c r="A44" s="431"/>
      <c r="B44" s="381" t="s">
        <v>2391</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3"/>
      <c r="M44" s="2937"/>
      <c r="N44" s="2937"/>
      <c r="O44" s="2937"/>
      <c r="P44" s="3361"/>
      <c r="Q44" s="1529" t="str">
        <f t="shared" si="11"/>
        <v>内部装修维护情况</v>
      </c>
      <c r="R44" s="714" t="s">
        <v>17</v>
      </c>
      <c r="S44" s="715">
        <f t="shared" si="12"/>
        <v>100</v>
      </c>
      <c r="T44" s="714" t="s">
        <v>17</v>
      </c>
      <c r="U44" s="715">
        <f t="shared" si="13"/>
        <v>100</v>
      </c>
      <c r="V44" s="714" t="s">
        <v>17</v>
      </c>
      <c r="W44" s="715">
        <f t="shared" si="14"/>
        <v>100</v>
      </c>
      <c r="X44" s="1532"/>
      <c r="Y44" s="3295"/>
      <c r="Z44" s="1533" t="str">
        <f t="shared" si="15"/>
        <v>内部装修维护情况</v>
      </c>
      <c r="AA44" s="1530">
        <f t="shared" si="3"/>
        <v>1</v>
      </c>
      <c r="AB44" s="1530">
        <f t="shared" si="4"/>
        <v>1</v>
      </c>
      <c r="AC44" s="2140">
        <f t="shared" si="5"/>
        <v>1</v>
      </c>
    </row>
    <row r="45" spans="1:29" s="113" customFormat="1" ht="15" hidden="1">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61"/>
      <c r="Q45" s="1520">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37">
        <f t="shared" si="5"/>
        <v>1</v>
      </c>
    </row>
    <row r="46" spans="1:29" ht="15" hidden="1">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61"/>
      <c r="Q46" s="1529">
        <f t="shared" si="11"/>
        <v>111</v>
      </c>
      <c r="R46" s="714" t="s">
        <v>17</v>
      </c>
      <c r="S46" s="715">
        <f t="shared" si="12"/>
        <v>100</v>
      </c>
      <c r="T46" s="714" t="s">
        <v>17</v>
      </c>
      <c r="U46" s="715">
        <f t="shared" si="13"/>
        <v>100</v>
      </c>
      <c r="V46" s="714" t="s">
        <v>17</v>
      </c>
      <c r="W46" s="715">
        <f t="shared" si="14"/>
        <v>100</v>
      </c>
      <c r="X46" s="1532"/>
      <c r="Y46" s="3295"/>
      <c r="Z46" s="1533">
        <f t="shared" si="15"/>
        <v>111</v>
      </c>
      <c r="AA46" s="1530">
        <f t="shared" si="3"/>
        <v>1</v>
      </c>
      <c r="AB46" s="1530">
        <f t="shared" si="4"/>
        <v>1</v>
      </c>
      <c r="AC46" s="2140">
        <f t="shared" si="5"/>
        <v>1</v>
      </c>
    </row>
    <row r="47" spans="1:29" ht="15.6" hidden="1"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62"/>
      <c r="Q47" s="1529">
        <f t="shared" si="11"/>
        <v>111</v>
      </c>
      <c r="R47" s="714" t="s">
        <v>17</v>
      </c>
      <c r="S47" s="715">
        <f t="shared" si="12"/>
        <v>100</v>
      </c>
      <c r="T47" s="714" t="s">
        <v>17</v>
      </c>
      <c r="U47" s="715">
        <f t="shared" si="13"/>
        <v>100</v>
      </c>
      <c r="V47" s="714" t="s">
        <v>17</v>
      </c>
      <c r="W47" s="715">
        <f t="shared" si="14"/>
        <v>100</v>
      </c>
      <c r="X47" s="1532"/>
      <c r="Y47" s="3363"/>
      <c r="Z47" s="1533">
        <f t="shared" si="15"/>
        <v>111</v>
      </c>
      <c r="AA47" s="1530">
        <f t="shared" si="3"/>
        <v>1</v>
      </c>
      <c r="AB47" s="1530">
        <f t="shared" si="4"/>
        <v>1</v>
      </c>
      <c r="AC47" s="2140">
        <f t="shared" si="5"/>
        <v>1</v>
      </c>
    </row>
    <row r="48" spans="1:29" ht="14.4">
      <c r="A48" s="438" t="s">
        <v>2392</v>
      </c>
      <c r="B48" s="439"/>
      <c r="C48" s="1310" t="s">
        <v>1</v>
      </c>
      <c r="D48" s="1311"/>
      <c r="E48" s="1312">
        <v>32000</v>
      </c>
      <c r="F48" s="1313"/>
      <c r="G48" s="1314">
        <v>33000</v>
      </c>
      <c r="H48" s="1315"/>
      <c r="I48" s="1312">
        <v>35000</v>
      </c>
      <c r="J48" s="444"/>
      <c r="K48" s="723"/>
      <c r="L48" s="2945"/>
      <c r="M48" s="2937"/>
      <c r="N48" s="2937"/>
      <c r="O48" s="2937"/>
      <c r="P48" s="3289" t="str">
        <f>A48</f>
        <v>成交单价（元/平方米）</v>
      </c>
      <c r="Q48" s="3290"/>
      <c r="R48" s="3359">
        <f>E48</f>
        <v>32000</v>
      </c>
      <c r="S48" s="3359"/>
      <c r="T48" s="3359">
        <f>G48</f>
        <v>33000</v>
      </c>
      <c r="U48" s="3359"/>
      <c r="V48" s="3359">
        <f>I48</f>
        <v>35000</v>
      </c>
      <c r="W48" s="3359"/>
      <c r="X48" s="405"/>
      <c r="Y48" s="721"/>
      <c r="Z48" s="405"/>
      <c r="AA48" s="405"/>
      <c r="AB48" s="405"/>
      <c r="AC48" s="586"/>
    </row>
    <row r="49" spans="1:29" ht="15" thickBot="1">
      <c r="A49" s="445" t="s">
        <v>2484</v>
      </c>
      <c r="B49" s="446"/>
      <c r="C49" s="1316">
        <f>R50</f>
        <v>34794</v>
      </c>
      <c r="D49" s="2530" t="s">
        <v>2872</v>
      </c>
      <c r="E49" s="1317">
        <f>R49</f>
        <v>33172</v>
      </c>
      <c r="F49" s="2531"/>
      <c r="G49" s="1316">
        <f>T49</f>
        <v>34198</v>
      </c>
      <c r="H49" s="2531"/>
      <c r="I49" s="1317">
        <f>V49</f>
        <v>37011</v>
      </c>
      <c r="J49" s="2531"/>
      <c r="K49" s="2533">
        <f>F49+H49+J49</f>
        <v>0</v>
      </c>
      <c r="L49" s="2945"/>
      <c r="M49" s="2937"/>
      <c r="N49" s="2937"/>
      <c r="O49" s="2937"/>
      <c r="P49" s="3289" t="str">
        <f>A49</f>
        <v>比较价值（元/平方米）</v>
      </c>
      <c r="Q49" s="3290"/>
      <c r="R49" s="3359">
        <f>IF(F1="售价",ROUND(PRODUCT(R48,AA7:AA47),0),ROUND(PRODUCT(R48,AA7:AA47),1))</f>
        <v>33172</v>
      </c>
      <c r="S49" s="3359"/>
      <c r="T49" s="3359">
        <f>IF(F1="售价",ROUND(PRODUCT(T48,AB7:AB47),0),ROUND(PRODUCT(T48,AB7:AB47),1))</f>
        <v>34198</v>
      </c>
      <c r="U49" s="3359"/>
      <c r="V49" s="3359">
        <f>IF(F1="售价",ROUND(PRODUCT(V48,AC7:AC47),0),ROUND(PRODUCT(V48,AC7:AC47),1))</f>
        <v>37011</v>
      </c>
      <c r="W49" s="3359"/>
      <c r="X49" s="405"/>
      <c r="Y49" s="405"/>
      <c r="Z49" s="405"/>
      <c r="AA49" s="405"/>
      <c r="AB49" s="405"/>
      <c r="AC49" s="586"/>
    </row>
    <row r="50" spans="1:29" ht="15" thickBot="1">
      <c r="A50" s="449" t="s">
        <v>2485</v>
      </c>
      <c r="B50" s="450"/>
      <c r="C50" s="1319">
        <f>R50</f>
        <v>34794</v>
      </c>
      <c r="D50" s="1319"/>
      <c r="E50" s="1319"/>
      <c r="F50" s="1319"/>
      <c r="G50" s="1319"/>
      <c r="H50" s="1319"/>
      <c r="I50" s="1319"/>
      <c r="J50" s="451"/>
      <c r="K50" s="724"/>
      <c r="L50" s="2945"/>
      <c r="M50" s="2937"/>
      <c r="N50" s="2937"/>
      <c r="O50" s="2937"/>
      <c r="P50" s="3366" t="str">
        <f>A50</f>
        <v>估价对象XX用房的比较价值（楼面单价，元/平方米）</v>
      </c>
      <c r="Q50" s="3367"/>
      <c r="R50" s="3368">
        <f>IF(F1="售价",ROUND(IF(D49="简单平均",AVERAGE(R49:V49),R49*F49+T49*H49+V49*J49),0),ROUND(IF(D49="简单平均",AVERAGE(R49:V49),R49*F49+T49*H49+V49*J49),1))</f>
        <v>34794</v>
      </c>
      <c r="S50" s="3368"/>
      <c r="T50" s="3368"/>
      <c r="U50" s="3368"/>
      <c r="V50" s="3368"/>
      <c r="W50" s="3368"/>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2486</v>
      </c>
      <c r="D53" s="455"/>
      <c r="E53" s="456">
        <f>IF(E48&lt;E49,E49/E48-1,E48/E49-1)</f>
        <v>3.6624999999999908E-2</v>
      </c>
      <c r="F53" s="457" t="str">
        <f>IF(OR(E53&gt;=0.3,E53&lt;=-0.3),"超过30%","")</f>
        <v/>
      </c>
      <c r="G53" s="456">
        <f>IF(G48&lt;G49,G49/G48-1,G48/G49-1)</f>
        <v>3.6303030303030281E-2</v>
      </c>
      <c r="H53" s="457" t="str">
        <f>IF(OR(G53&gt;=0.3,G53&lt;=-0.3),"超过30%","")</f>
        <v/>
      </c>
      <c r="I53" s="456">
        <f>IF(I48&lt;I49,I49/I48-1,I48/I49-1)</f>
        <v>5.7457142857142873E-2</v>
      </c>
      <c r="J53" s="457"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2487</v>
      </c>
      <c r="D54" s="458"/>
      <c r="E54" s="456">
        <f>IF(E49&lt;G49,G49/E49-1,E49/G49-1)</f>
        <v>3.0929699746774286E-2</v>
      </c>
      <c r="F54" s="457" t="str">
        <f>IF(OR(E54&gt;=0.2,E54&lt;=-0.2),"超过20%","")</f>
        <v/>
      </c>
      <c r="G54" s="456">
        <f>IF(G49&lt;I49,I49/G49-1,G49/I49-1)</f>
        <v>8.2256272296625577E-2</v>
      </c>
      <c r="H54" s="457" t="str">
        <f>IF(OR(G54&gt;=0.2,G54&lt;=-0.2),"超过20%","")</f>
        <v/>
      </c>
      <c r="I54" s="456">
        <f>IF(I49&lt;E49,E49/I49-1,I49/E49-1)</f>
        <v>0.11573013384782338</v>
      </c>
      <c r="J54" s="457"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2488</v>
      </c>
      <c r="D55" s="458"/>
      <c r="E55" s="456">
        <f>IF(E48&lt;G48,G48/E48-1,E48/G48-1)</f>
        <v>3.125E-2</v>
      </c>
      <c r="F55" s="457" t="str">
        <f>IF(OR(E55&gt;=0.3,E55&lt;=-0.3),"超过30%","")</f>
        <v/>
      </c>
      <c r="G55" s="456">
        <f>IF(G48&lt;I48,I48/G48-1,G48/I48-1)</f>
        <v>6.0606060606060552E-2</v>
      </c>
      <c r="H55" s="457" t="str">
        <f>IF(OR(G55&gt;=0.3,G55&lt;=-0.3),"超过30%","")</f>
        <v/>
      </c>
      <c r="I55" s="456">
        <f>IF(I48&lt;E48,E48/I48-1,I48/E48-1)</f>
        <v>9.375E-2</v>
      </c>
      <c r="J55" s="457"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2.2" thickBot="1">
      <c r="A58" s="703" t="s">
        <v>2489</v>
      </c>
      <c r="B58" s="699"/>
      <c r="C58" s="704"/>
      <c r="D58" s="704"/>
      <c r="E58" s="704"/>
      <c r="F58" s="705"/>
      <c r="G58" s="705"/>
      <c r="H58" s="704"/>
      <c r="I58" s="704"/>
      <c r="J58" s="704"/>
      <c r="K58" s="706"/>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4.4">
      <c r="A59" s="462" t="s">
        <v>2363</v>
      </c>
      <c r="B59" s="463"/>
      <c r="C59" s="1339" t="str">
        <f>YEAR(C7)&amp;"-"&amp;MONTH(C7)</f>
        <v>2021-7</v>
      </c>
      <c r="D59" s="1340">
        <f>EDATE(C59,-1)</f>
        <v>44348</v>
      </c>
      <c r="E59" s="1340">
        <f>EDATE(D59,-1)</f>
        <v>44317</v>
      </c>
      <c r="F59" s="1340">
        <f t="shared" ref="F59:O59" si="16">EDATE(E59,-1)</f>
        <v>44287</v>
      </c>
      <c r="G59" s="1340">
        <f t="shared" si="16"/>
        <v>44256</v>
      </c>
      <c r="H59" s="1340">
        <f t="shared" si="16"/>
        <v>44228</v>
      </c>
      <c r="I59" s="1340">
        <f t="shared" si="16"/>
        <v>44197</v>
      </c>
      <c r="J59" s="1340">
        <f t="shared" si="16"/>
        <v>44166</v>
      </c>
      <c r="K59" s="1340">
        <f t="shared" si="16"/>
        <v>44136</v>
      </c>
      <c r="L59" s="1340">
        <f t="shared" si="16"/>
        <v>44105</v>
      </c>
      <c r="M59" s="1340">
        <f t="shared" si="16"/>
        <v>44075</v>
      </c>
      <c r="N59" s="1340">
        <f t="shared" si="16"/>
        <v>44044</v>
      </c>
      <c r="O59" s="1340">
        <f t="shared" si="16"/>
        <v>44013</v>
      </c>
      <c r="P59" s="2980"/>
      <c r="Q59" s="2962"/>
      <c r="R59" s="2962"/>
      <c r="S59" s="2962"/>
      <c r="T59" s="2962"/>
      <c r="U59" s="2962"/>
      <c r="V59" s="2962"/>
      <c r="W59" s="2962"/>
      <c r="X59" s="2962"/>
      <c r="Y59" s="2962"/>
      <c r="Z59" s="2962"/>
      <c r="AA59" s="2962"/>
      <c r="AB59" s="2962"/>
      <c r="AC59" s="2962"/>
    </row>
    <row r="60" spans="1:29" s="113" customFormat="1">
      <c r="A60" s="466"/>
      <c r="B60" s="467"/>
      <c r="C60" s="1338">
        <v>100</v>
      </c>
      <c r="D60" s="469">
        <v>100</v>
      </c>
      <c r="E60" s="469">
        <v>100</v>
      </c>
      <c r="F60" s="469">
        <v>99.5</v>
      </c>
      <c r="G60" s="469">
        <v>99.5</v>
      </c>
      <c r="H60" s="469">
        <v>99.5</v>
      </c>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 thickBot="1">
      <c r="A61" s="472" t="s">
        <v>2400</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4.4">
      <c r="A62" s="478" t="s">
        <v>2365</v>
      </c>
      <c r="B62" s="467"/>
      <c r="C62" s="479" t="s">
        <v>2467</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4.4"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ht="14.4">
      <c r="A64" s="484" t="s">
        <v>2403</v>
      </c>
      <c r="B64" s="485" t="s">
        <v>2369</v>
      </c>
      <c r="C64" s="486" t="str">
        <f>C9</f>
        <v>办公</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4.4"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9.4" thickTop="1">
      <c r="A66" s="491"/>
      <c r="B66" s="495" t="s">
        <v>2372</v>
      </c>
      <c r="C66" s="496" t="s">
        <v>2404</v>
      </c>
      <c r="D66" s="496" t="s">
        <v>2405</v>
      </c>
      <c r="E66" s="496" t="s">
        <v>2406</v>
      </c>
      <c r="F66" s="496" t="s">
        <v>2407</v>
      </c>
      <c r="G66" s="496" t="s">
        <v>2408</v>
      </c>
      <c r="H66" s="496" t="s">
        <v>2409</v>
      </c>
      <c r="I66" s="496" t="s">
        <v>2410</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4.4" thickBot="1">
      <c r="A67" s="491"/>
      <c r="B67" s="500"/>
      <c r="C67" s="501" t="s">
        <v>24</v>
      </c>
      <c r="D67" s="501" t="s">
        <v>25</v>
      </c>
      <c r="E67" s="501">
        <v>100</v>
      </c>
      <c r="F67" s="501">
        <f>E67-$K10</f>
        <v>98</v>
      </c>
      <c r="G67" s="501">
        <f>F67-$K10</f>
        <v>96</v>
      </c>
      <c r="H67" s="501">
        <f>G67-$K10</f>
        <v>94</v>
      </c>
      <c r="I67" s="501">
        <f>H67-$K10</f>
        <v>92</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 thickTop="1">
      <c r="A68" s="491"/>
      <c r="B68" s="503" t="s">
        <v>2373</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7（含）-8</v>
      </c>
      <c r="K68" s="504" t="str">
        <f t="shared" si="17"/>
        <v>8（含）-9</v>
      </c>
      <c r="L68" s="504" t="str">
        <f t="shared" si="17"/>
        <v>9（含）-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c r="A69" s="491"/>
      <c r="B69" s="505"/>
      <c r="C69" s="506">
        <v>0</v>
      </c>
      <c r="D69" s="506">
        <v>1</v>
      </c>
      <c r="E69" s="506">
        <v>2</v>
      </c>
      <c r="F69" s="506">
        <v>3</v>
      </c>
      <c r="G69" s="506">
        <v>4</v>
      </c>
      <c r="H69" s="506">
        <v>5</v>
      </c>
      <c r="I69" s="506">
        <v>6</v>
      </c>
      <c r="J69" s="506">
        <v>7</v>
      </c>
      <c r="K69" s="507">
        <v>8</v>
      </c>
      <c r="L69" s="508">
        <v>9</v>
      </c>
      <c r="M69" s="509"/>
      <c r="N69" s="2974"/>
      <c r="O69" s="2974"/>
      <c r="P69" s="2983"/>
      <c r="Q69" s="2960"/>
      <c r="R69" s="2946"/>
      <c r="S69" s="2946"/>
      <c r="T69" s="2946"/>
      <c r="U69" s="2946"/>
      <c r="V69" s="2946"/>
      <c r="W69" s="2946"/>
      <c r="X69" s="2946"/>
      <c r="Y69" s="2946"/>
      <c r="Z69" s="2946"/>
      <c r="AA69" s="2946"/>
      <c r="AB69" s="2946"/>
      <c r="AC69" s="2946"/>
    </row>
    <row r="70" spans="1:29" ht="14.4"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75"/>
      <c r="O70" s="2975"/>
      <c r="P70" s="2983"/>
      <c r="Q70" s="2960"/>
      <c r="R70" s="2946"/>
      <c r="S70" s="2946"/>
      <c r="T70" s="2946"/>
      <c r="U70" s="2946"/>
      <c r="V70" s="2946"/>
      <c r="W70" s="2946"/>
      <c r="X70" s="2946"/>
      <c r="Y70" s="2946"/>
      <c r="Z70" s="2946"/>
      <c r="AA70" s="2946"/>
      <c r="AB70" s="2946"/>
      <c r="AC70" s="2946"/>
    </row>
    <row r="71" spans="1:29" s="430" customFormat="1" ht="14.4"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4.4"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4.4"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4.4"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4.4"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4.4"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ht="14.4">
      <c r="A77" s="484" t="s">
        <v>2374</v>
      </c>
      <c r="B77" s="485" t="s">
        <v>2512</v>
      </c>
      <c r="C77" s="530" t="s">
        <v>2412</v>
      </c>
      <c r="D77" s="530" t="s">
        <v>2413</v>
      </c>
      <c r="E77" s="530" t="s">
        <v>2414</v>
      </c>
      <c r="F77" s="530" t="s">
        <v>2415</v>
      </c>
      <c r="G77" s="530" t="s">
        <v>2416</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4.4" thickBot="1">
      <c r="A78" s="491"/>
      <c r="B78" s="500"/>
      <c r="C78" s="501">
        <v>100</v>
      </c>
      <c r="D78" s="501">
        <f>C78-$K15</f>
        <v>98</v>
      </c>
      <c r="E78" s="501">
        <f>D78-$K15</f>
        <v>96</v>
      </c>
      <c r="F78" s="501">
        <f>E78-$K15</f>
        <v>94</v>
      </c>
      <c r="G78" s="501">
        <f>F78-$K15</f>
        <v>92</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 thickTop="1">
      <c r="A79" s="491"/>
      <c r="B79" s="495" t="s">
        <v>2417</v>
      </c>
      <c r="C79" s="535" t="s">
        <v>2412</v>
      </c>
      <c r="D79" s="535" t="s">
        <v>2413</v>
      </c>
      <c r="E79" s="535" t="s">
        <v>2414</v>
      </c>
      <c r="F79" s="535" t="s">
        <v>2415</v>
      </c>
      <c r="G79" s="535" t="s">
        <v>2416</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4.4" thickBot="1">
      <c r="A80" s="491"/>
      <c r="B80" s="500"/>
      <c r="C80" s="501">
        <v>100</v>
      </c>
      <c r="D80" s="501">
        <f>C80-$K17</f>
        <v>98</v>
      </c>
      <c r="E80" s="501">
        <f>D80-$K17</f>
        <v>96</v>
      </c>
      <c r="F80" s="501">
        <f>E80-$K17</f>
        <v>94</v>
      </c>
      <c r="G80" s="501">
        <f>F80-$K17</f>
        <v>92</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 thickTop="1">
      <c r="A81" s="491"/>
      <c r="B81" s="495" t="s">
        <v>2418</v>
      </c>
      <c r="C81" s="535" t="s">
        <v>2412</v>
      </c>
      <c r="D81" s="535" t="s">
        <v>2413</v>
      </c>
      <c r="E81" s="535" t="s">
        <v>2414</v>
      </c>
      <c r="F81" s="535" t="s">
        <v>2415</v>
      </c>
      <c r="G81" s="535" t="s">
        <v>2416</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4.4" thickBot="1">
      <c r="A82" s="491"/>
      <c r="B82" s="500"/>
      <c r="C82" s="501">
        <v>100</v>
      </c>
      <c r="D82" s="501">
        <f>C82-$K19</f>
        <v>98</v>
      </c>
      <c r="E82" s="501">
        <f>D82-$K19</f>
        <v>96</v>
      </c>
      <c r="F82" s="501">
        <f>E82-$K19</f>
        <v>94</v>
      </c>
      <c r="G82" s="501">
        <f>F82-$K19</f>
        <v>92</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 thickTop="1">
      <c r="A83" s="491"/>
      <c r="B83" s="503" t="s">
        <v>2504</v>
      </c>
      <c r="C83" s="616" t="s">
        <v>2490</v>
      </c>
      <c r="D83" s="616" t="s">
        <v>2491</v>
      </c>
      <c r="E83" s="616" t="s">
        <v>2492</v>
      </c>
      <c r="F83" s="616" t="s">
        <v>2493</v>
      </c>
      <c r="G83" s="616" t="s">
        <v>2494</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4.4" thickBot="1">
      <c r="A84" s="491"/>
      <c r="B84" s="503"/>
      <c r="C84" s="501">
        <v>100</v>
      </c>
      <c r="D84" s="501">
        <f>C84-$K21</f>
        <v>99</v>
      </c>
      <c r="E84" s="501">
        <f>D84-$K21</f>
        <v>98</v>
      </c>
      <c r="F84" s="501">
        <f>E84-$K21</f>
        <v>97</v>
      </c>
      <c r="G84" s="501">
        <f>F84-$K21</f>
        <v>96</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 thickTop="1">
      <c r="A85" s="491"/>
      <c r="B85" s="495" t="s">
        <v>2513</v>
      </c>
      <c r="C85" s="535" t="s">
        <v>2412</v>
      </c>
      <c r="D85" s="535" t="s">
        <v>2413</v>
      </c>
      <c r="E85" s="535" t="s">
        <v>2414</v>
      </c>
      <c r="F85" s="535" t="s">
        <v>2415</v>
      </c>
      <c r="G85" s="535" t="s">
        <v>2416</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4.4" thickBot="1">
      <c r="A86" s="491"/>
      <c r="B86" s="500"/>
      <c r="C86" s="501">
        <v>100</v>
      </c>
      <c r="D86" s="501">
        <f>C86-$K23</f>
        <v>98</v>
      </c>
      <c r="E86" s="501">
        <f>D86-$K23</f>
        <v>96</v>
      </c>
      <c r="F86" s="501">
        <f>E86-$K23</f>
        <v>94</v>
      </c>
      <c r="G86" s="501">
        <f>F86-$K23</f>
        <v>92</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9.4" thickTop="1">
      <c r="A87" s="536"/>
      <c r="B87" s="495" t="s">
        <v>2514</v>
      </c>
      <c r="C87" s="3074" t="s">
        <v>3620</v>
      </c>
      <c r="D87" s="3074" t="s">
        <v>3621</v>
      </c>
      <c r="E87" s="3074" t="s">
        <v>3622</v>
      </c>
      <c r="F87" s="3074" t="s">
        <v>3624</v>
      </c>
      <c r="G87" s="3074" t="s">
        <v>3626</v>
      </c>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4.4"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5"/>
      <c r="O88" s="2975"/>
      <c r="P88" s="2983"/>
      <c r="Q88" s="2960"/>
      <c r="R88" s="2880"/>
      <c r="S88" s="2880"/>
      <c r="T88" s="2880"/>
      <c r="U88" s="2880"/>
      <c r="V88" s="2880"/>
      <c r="W88" s="2880"/>
      <c r="X88" s="2880"/>
      <c r="Y88" s="2880"/>
      <c r="Z88" s="2880"/>
      <c r="AA88" s="2880"/>
      <c r="AB88" s="2880"/>
      <c r="AC88" s="2880"/>
    </row>
    <row r="89" spans="1:29" s="113" customFormat="1" ht="14.4" thickTop="1">
      <c r="A89" s="536"/>
      <c r="B89" s="495" t="str">
        <f>B27</f>
        <v>楼层</v>
      </c>
      <c r="C89" s="511"/>
      <c r="D89" s="511"/>
      <c r="E89" s="511"/>
      <c r="F89" s="2105"/>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4.4"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4.4"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4.4"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4.4"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4.4"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4.4"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4.4"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4.4"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4.4" thickBot="1">
      <c r="A100" s="2106"/>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ht="14.4">
      <c r="A101" s="484" t="s">
        <v>2378</v>
      </c>
      <c r="B101" s="485" t="s">
        <v>2427</v>
      </c>
      <c r="C101" s="3059" t="s">
        <v>3692</v>
      </c>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4.4"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5"/>
      <c r="O102" s="2975"/>
      <c r="P102" s="2983"/>
      <c r="Q102" s="2960"/>
      <c r="R102" s="2946"/>
      <c r="S102" s="2946"/>
      <c r="T102" s="2946"/>
      <c r="U102" s="2946"/>
      <c r="V102" s="2946"/>
      <c r="W102" s="2946"/>
      <c r="X102" s="2946"/>
      <c r="Y102" s="2946"/>
      <c r="Z102" s="2946"/>
      <c r="AA102" s="2946"/>
      <c r="AB102" s="2946"/>
      <c r="AC102" s="2946"/>
    </row>
    <row r="103" spans="1:29" ht="28.2" thickTop="1">
      <c r="A103" s="491"/>
      <c r="B103" s="495" t="s">
        <v>2428</v>
      </c>
      <c r="C103" s="535" t="str">
        <f>C104&amp;"(含)"&amp;"-"&amp;D104</f>
        <v>0(含)-100000</v>
      </c>
      <c r="D103" s="535" t="str">
        <f t="shared" ref="D103:L103" si="23">D104&amp;"(含)"&amp;"-"&amp;E104</f>
        <v>100000(含)-200000</v>
      </c>
      <c r="E103" s="535" t="str">
        <f t="shared" si="23"/>
        <v>200000(含)-300000</v>
      </c>
      <c r="F103" s="535" t="str">
        <f t="shared" si="23"/>
        <v>300000(含)-400000</v>
      </c>
      <c r="G103" s="535" t="str">
        <f t="shared" si="23"/>
        <v>400000(含)-500000</v>
      </c>
      <c r="H103" s="535" t="str">
        <f t="shared" si="23"/>
        <v>500000(含)-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v>0</v>
      </c>
      <c r="D104" s="552">
        <f>C104+100000</f>
        <v>100000</v>
      </c>
      <c r="E104" s="552">
        <f t="shared" ref="E104:H104" si="24">D104+100000</f>
        <v>200000</v>
      </c>
      <c r="F104" s="552">
        <f t="shared" si="24"/>
        <v>300000</v>
      </c>
      <c r="G104" s="552">
        <f t="shared" si="24"/>
        <v>400000</v>
      </c>
      <c r="H104" s="552">
        <f t="shared" si="24"/>
        <v>500000</v>
      </c>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4.4"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2429</v>
      </c>
      <c r="C106" s="3074" t="s">
        <v>3693</v>
      </c>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4.4"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2431</v>
      </c>
      <c r="C108" s="3074" t="s">
        <v>3695</v>
      </c>
      <c r="D108" s="3074" t="s">
        <v>3696</v>
      </c>
      <c r="E108" s="3074" t="s">
        <v>3697</v>
      </c>
      <c r="F108" s="3073" t="s">
        <v>3699</v>
      </c>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4.4"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4.4"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2515</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4.4"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2432</v>
      </c>
      <c r="C115" s="3085" t="s">
        <v>2412</v>
      </c>
      <c r="D115" s="3085" t="s">
        <v>2413</v>
      </c>
      <c r="E115" s="3085" t="s">
        <v>2414</v>
      </c>
      <c r="F115" s="3085" t="s">
        <v>2415</v>
      </c>
      <c r="G115" s="3085" t="s">
        <v>2416</v>
      </c>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4.4" thickBot="1">
      <c r="A116" s="491"/>
      <c r="B116" s="500"/>
      <c r="C116" s="501">
        <v>100</v>
      </c>
      <c r="D116" s="501">
        <f t="shared" ref="D116:M116" si="30">C116-$K39</f>
        <v>99</v>
      </c>
      <c r="E116" s="501">
        <f t="shared" si="30"/>
        <v>98</v>
      </c>
      <c r="F116" s="501">
        <f t="shared" si="30"/>
        <v>97</v>
      </c>
      <c r="G116" s="501">
        <f t="shared" si="30"/>
        <v>96</v>
      </c>
      <c r="H116" s="501">
        <f t="shared" si="30"/>
        <v>95</v>
      </c>
      <c r="I116" s="501">
        <f t="shared" si="30"/>
        <v>94</v>
      </c>
      <c r="J116" s="501">
        <f t="shared" si="30"/>
        <v>93</v>
      </c>
      <c r="K116" s="501">
        <f t="shared" si="30"/>
        <v>92</v>
      </c>
      <c r="L116" s="501">
        <f t="shared" si="30"/>
        <v>91</v>
      </c>
      <c r="M116" s="502">
        <f t="shared" si="30"/>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2433</v>
      </c>
      <c r="C117" s="3075" t="s">
        <v>2490</v>
      </c>
      <c r="D117" s="3075" t="s">
        <v>2491</v>
      </c>
      <c r="E117" s="3075" t="s">
        <v>2492</v>
      </c>
      <c r="F117" s="3075" t="s">
        <v>2493</v>
      </c>
      <c r="G117" s="3075" t="s">
        <v>2494</v>
      </c>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4.4" thickBot="1">
      <c r="A118" s="491"/>
      <c r="B118" s="500"/>
      <c r="C118" s="501">
        <v>100</v>
      </c>
      <c r="D118" s="501">
        <f>C118-$K40</f>
        <v>99</v>
      </c>
      <c r="E118" s="501">
        <f>D118-$K40</f>
        <v>98</v>
      </c>
      <c r="F118" s="501">
        <f>E118-$K40</f>
        <v>97</v>
      </c>
      <c r="G118" s="501">
        <f>F118-$K40</f>
        <v>96</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2516</v>
      </c>
      <c r="C119" s="540"/>
      <c r="D119" s="540"/>
      <c r="E119" s="540"/>
      <c r="F119" s="540"/>
      <c r="G119" s="540"/>
      <c r="H119" s="540"/>
      <c r="I119" s="540"/>
      <c r="J119" s="540"/>
      <c r="K119" s="540"/>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4.4"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2499</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4.4"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2435</v>
      </c>
      <c r="C123" s="3074" t="s">
        <v>3695</v>
      </c>
      <c r="D123" s="3074" t="s">
        <v>3696</v>
      </c>
      <c r="E123" s="3074" t="s">
        <v>3697</v>
      </c>
      <c r="F123" s="3073" t="s">
        <v>3699</v>
      </c>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4.4"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75"/>
      <c r="O124" s="2975"/>
      <c r="P124" s="2983"/>
      <c r="Q124" s="2960"/>
      <c r="R124" s="2946"/>
      <c r="S124" s="2946"/>
      <c r="T124" s="2946"/>
      <c r="U124" s="2946"/>
      <c r="V124" s="2946"/>
      <c r="W124" s="2946"/>
      <c r="X124" s="2946"/>
      <c r="Y124" s="2946"/>
      <c r="Z124" s="2946"/>
      <c r="AA124" s="2946"/>
      <c r="AB124" s="2946"/>
      <c r="AC124" s="2946"/>
    </row>
    <row r="125" spans="1:29" ht="29.4" thickTop="1">
      <c r="A125" s="556"/>
      <c r="B125" s="495" t="s">
        <v>2436</v>
      </c>
      <c r="C125" s="535" t="s">
        <v>2412</v>
      </c>
      <c r="D125" s="535" t="s">
        <v>2413</v>
      </c>
      <c r="E125" s="535" t="s">
        <v>2414</v>
      </c>
      <c r="F125" s="535" t="s">
        <v>2415</v>
      </c>
      <c r="G125" s="535" t="s">
        <v>2416</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4.4"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4.4"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4.4"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4.4"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4.4"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4.4" thickBot="1">
      <c r="A132" s="2106"/>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2343</v>
      </c>
      <c r="B1" s="2135" t="s">
        <v>2517</v>
      </c>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2459</v>
      </c>
      <c r="D3" s="359">
        <f>IF(D1="",'数据-汇总表'!E3,SUMIF('数据-汇总表'!$C19:$C33,D1,'数据-汇总表'!$E19:$E33))</f>
        <v>183777.08000000002</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4.4">
      <c r="A4" s="361" t="s">
        <v>2460</v>
      </c>
      <c r="B4" s="362"/>
      <c r="C4" s="3287" t="s">
        <v>2461</v>
      </c>
      <c r="D4" s="3300"/>
      <c r="E4" s="3301" t="s">
        <v>2462</v>
      </c>
      <c r="F4" s="3302"/>
      <c r="G4" s="3287" t="s">
        <v>2463</v>
      </c>
      <c r="H4" s="3300"/>
      <c r="I4" s="3287" t="s">
        <v>2464</v>
      </c>
      <c r="J4" s="3300"/>
      <c r="K4" s="567" t="s">
        <v>2465</v>
      </c>
      <c r="L4" s="1038"/>
      <c r="M4" s="1039"/>
      <c r="N4" s="1039"/>
      <c r="O4" s="1039"/>
      <c r="P4" s="3303" t="s">
        <v>2466</v>
      </c>
      <c r="Q4" s="3304"/>
      <c r="R4" s="3309" t="s">
        <v>2462</v>
      </c>
      <c r="S4" s="3310"/>
      <c r="T4" s="3309" t="s">
        <v>2463</v>
      </c>
      <c r="U4" s="3310"/>
      <c r="V4" s="3296" t="s">
        <v>2464</v>
      </c>
      <c r="W4" s="3296"/>
      <c r="X4" s="1532"/>
      <c r="Y4" s="3309" t="s">
        <v>2466</v>
      </c>
      <c r="Z4" s="3310"/>
      <c r="AA4" s="3297" t="s">
        <v>2462</v>
      </c>
      <c r="AB4" s="3298" t="s">
        <v>2463</v>
      </c>
      <c r="AC4" s="3297" t="s">
        <v>2464</v>
      </c>
    </row>
    <row r="5" spans="1:29">
      <c r="A5" s="364"/>
      <c r="B5" s="365"/>
      <c r="C5" s="3317" t="s">
        <v>2357</v>
      </c>
      <c r="D5" s="3318"/>
      <c r="E5" s="3325" t="s">
        <v>2358</v>
      </c>
      <c r="F5" s="3326"/>
      <c r="G5" s="3317" t="s">
        <v>2359</v>
      </c>
      <c r="H5" s="3318"/>
      <c r="I5" s="3317" t="s">
        <v>2360</v>
      </c>
      <c r="J5" s="3318"/>
      <c r="K5" s="567"/>
      <c r="L5" s="1038"/>
      <c r="M5" s="1039"/>
      <c r="N5" s="1039"/>
      <c r="O5" s="1039"/>
      <c r="P5" s="3305"/>
      <c r="Q5" s="3306"/>
      <c r="R5" s="3311"/>
      <c r="S5" s="3312"/>
      <c r="T5" s="3311"/>
      <c r="U5" s="3312"/>
      <c r="V5" s="3296"/>
      <c r="W5" s="3296"/>
      <c r="X5" s="1532"/>
      <c r="Y5" s="3311"/>
      <c r="Z5" s="3312"/>
      <c r="AA5" s="3298"/>
      <c r="AB5" s="3298"/>
      <c r="AC5" s="3298"/>
    </row>
    <row r="6" spans="1:29" ht="15" thickBot="1">
      <c r="A6" s="366"/>
      <c r="B6" s="367"/>
      <c r="C6" s="3315" t="s">
        <v>2361</v>
      </c>
      <c r="D6" s="3316"/>
      <c r="E6" s="3323" t="s">
        <v>2361</v>
      </c>
      <c r="F6" s="3324"/>
      <c r="G6" s="3315" t="s">
        <v>2361</v>
      </c>
      <c r="H6" s="3316"/>
      <c r="I6" s="3315" t="s">
        <v>2361</v>
      </c>
      <c r="J6" s="3316"/>
      <c r="K6" s="567" t="s">
        <v>2362</v>
      </c>
      <c r="L6" s="1038"/>
      <c r="M6" s="1039"/>
      <c r="N6" s="1039"/>
      <c r="O6" s="1039"/>
      <c r="P6" s="3307"/>
      <c r="Q6" s="3308"/>
      <c r="R6" s="3311"/>
      <c r="S6" s="3312"/>
      <c r="T6" s="3313"/>
      <c r="U6" s="3314"/>
      <c r="V6" s="3296"/>
      <c r="W6" s="3296"/>
      <c r="X6" s="1532"/>
      <c r="Y6" s="3313"/>
      <c r="Z6" s="3314"/>
      <c r="AA6" s="3299"/>
      <c r="AB6" s="3299"/>
      <c r="AC6" s="3299"/>
    </row>
    <row r="7" spans="1:29" s="113" customFormat="1" ht="15" thickBot="1">
      <c r="A7" s="368" t="s">
        <v>2363</v>
      </c>
      <c r="B7" s="369"/>
      <c r="C7" s="370">
        <f>'数据-取费表'!B2</f>
        <v>44397</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19" t="s">
        <v>2364</v>
      </c>
      <c r="Q7" s="3321"/>
      <c r="R7" s="710" t="s">
        <v>17</v>
      </c>
      <c r="S7" s="711">
        <f t="shared" ref="S7:S15" si="0">F7</f>
        <v>0</v>
      </c>
      <c r="T7" s="710" t="s">
        <v>17</v>
      </c>
      <c r="U7" s="711">
        <f t="shared" ref="U7:U15" si="1">H7</f>
        <v>0</v>
      </c>
      <c r="V7" s="710" t="s">
        <v>17</v>
      </c>
      <c r="W7" s="711">
        <f t="shared" ref="W7:W15" si="2">J7</f>
        <v>0</v>
      </c>
      <c r="X7" s="712"/>
      <c r="Y7" s="3319" t="s">
        <v>2364</v>
      </c>
      <c r="Z7" s="3320"/>
      <c r="AA7" s="713" t="e">
        <f>D7/F7</f>
        <v>#DIV/0!</v>
      </c>
      <c r="AB7" s="713" t="e">
        <f>D7/H7</f>
        <v>#DIV/0!</v>
      </c>
      <c r="AC7" s="713" t="e">
        <f>D7/J7</f>
        <v>#DIV/0!</v>
      </c>
    </row>
    <row r="8" spans="1:29" s="113" customFormat="1" ht="1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19" t="s">
        <v>2367</v>
      </c>
      <c r="Q8" s="3320"/>
      <c r="R8" s="710" t="s">
        <v>17</v>
      </c>
      <c r="S8" s="711">
        <f t="shared" si="0"/>
        <v>0</v>
      </c>
      <c r="T8" s="710" t="s">
        <v>17</v>
      </c>
      <c r="U8" s="711">
        <f t="shared" si="1"/>
        <v>0</v>
      </c>
      <c r="V8" s="710" t="s">
        <v>17</v>
      </c>
      <c r="W8" s="711">
        <f t="shared" si="2"/>
        <v>0</v>
      </c>
      <c r="X8" s="712"/>
      <c r="Y8" s="3319" t="s">
        <v>2367</v>
      </c>
      <c r="Z8" s="3320"/>
      <c r="AA8" s="713" t="e">
        <f t="shared" ref="AA8:AA40" si="3">D8/F8</f>
        <v>#DIV/0!</v>
      </c>
      <c r="AB8" s="713" t="e">
        <f t="shared" ref="AB8:AB40" si="4">D8/H8</f>
        <v>#DIV/0!</v>
      </c>
      <c r="AC8" s="713" t="e">
        <f t="shared" ref="AC8:AC40" si="5">D8/J8</f>
        <v>#DIV/0!</v>
      </c>
    </row>
    <row r="9" spans="1:29" s="113" customFormat="1" ht="14.4">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290"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290"/>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290"/>
      <c r="Q11" s="1520"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290"/>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290"/>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290"/>
      <c r="Q14" s="1520">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65" t="s">
        <v>2518</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292" t="s">
        <v>2375</v>
      </c>
      <c r="Q15" s="1529" t="str">
        <f t="shared" si="6"/>
        <v>产业集聚程度</v>
      </c>
      <c r="R15" s="714" t="s">
        <v>17</v>
      </c>
      <c r="S15" s="715">
        <f t="shared" si="0"/>
        <v>100</v>
      </c>
      <c r="T15" s="714" t="s">
        <v>17</v>
      </c>
      <c r="U15" s="715">
        <f t="shared" si="1"/>
        <v>100</v>
      </c>
      <c r="V15" s="714" t="s">
        <v>17</v>
      </c>
      <c r="W15" s="715">
        <f t="shared" si="2"/>
        <v>100</v>
      </c>
      <c r="X15" s="1532"/>
      <c r="Y15" s="3292" t="s">
        <v>2375</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293"/>
      <c r="Q16" s="1529"/>
      <c r="R16" s="714"/>
      <c r="S16" s="715"/>
      <c r="T16" s="714"/>
      <c r="U16" s="715"/>
      <c r="V16" s="714"/>
      <c r="W16" s="715"/>
      <c r="X16" s="1532"/>
      <c r="Y16" s="3293"/>
      <c r="Z16" s="1533"/>
      <c r="AA16" s="1530">
        <v>1</v>
      </c>
      <c r="AB16" s="1530">
        <v>1</v>
      </c>
      <c r="AC16" s="1530">
        <v>1</v>
      </c>
    </row>
    <row r="17" spans="1:29" ht="96.6">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293"/>
      <c r="Q17" s="1529" t="str">
        <f>B17</f>
        <v>交通便捷度</v>
      </c>
      <c r="R17" s="714" t="s">
        <v>17</v>
      </c>
      <c r="S17" s="715">
        <f>F17</f>
        <v>100</v>
      </c>
      <c r="T17" s="714" t="s">
        <v>17</v>
      </c>
      <c r="U17" s="715">
        <f>H17</f>
        <v>100</v>
      </c>
      <c r="V17" s="714" t="s">
        <v>17</v>
      </c>
      <c r="W17" s="715">
        <f>J17</f>
        <v>100</v>
      </c>
      <c r="X17" s="1532"/>
      <c r="Y17" s="3293"/>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293"/>
      <c r="Q18" s="1529"/>
      <c r="R18" s="714"/>
      <c r="S18" s="715"/>
      <c r="T18" s="714"/>
      <c r="U18" s="715"/>
      <c r="V18" s="714"/>
      <c r="W18" s="715"/>
      <c r="X18" s="1532"/>
      <c r="Y18" s="3293"/>
      <c r="Z18" s="1533"/>
      <c r="AA18" s="1530">
        <v>1</v>
      </c>
      <c r="AB18" s="1530">
        <v>1</v>
      </c>
      <c r="AC18" s="1530">
        <v>1</v>
      </c>
    </row>
    <row r="19" spans="1:29" ht="41.4">
      <c r="A19" s="387"/>
      <c r="B19" s="410" t="s">
        <v>2503</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293"/>
      <c r="Q19" s="1529" t="str">
        <f>B19</f>
        <v>公共配套设施</v>
      </c>
      <c r="R19" s="714" t="s">
        <v>17</v>
      </c>
      <c r="S19" s="715">
        <f>F19</f>
        <v>100</v>
      </c>
      <c r="T19" s="714" t="s">
        <v>17</v>
      </c>
      <c r="U19" s="715">
        <f>H19</f>
        <v>100</v>
      </c>
      <c r="V19" s="714" t="s">
        <v>17</v>
      </c>
      <c r="W19" s="715">
        <f>J19</f>
        <v>100</v>
      </c>
      <c r="X19" s="1532"/>
      <c r="Y19" s="3293"/>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293"/>
      <c r="Q20" s="1529"/>
      <c r="R20" s="714"/>
      <c r="S20" s="715"/>
      <c r="T20" s="714"/>
      <c r="U20" s="715"/>
      <c r="V20" s="714"/>
      <c r="W20" s="715"/>
      <c r="X20" s="1532"/>
      <c r="Y20" s="3293"/>
      <c r="Z20" s="1533"/>
      <c r="AA20" s="1530">
        <v>1</v>
      </c>
      <c r="AB20" s="1530">
        <v>1</v>
      </c>
      <c r="AC20" s="1530">
        <v>1</v>
      </c>
    </row>
    <row r="21" spans="1:29" ht="41.4">
      <c r="A21" s="387"/>
      <c r="B21" s="1287" t="s">
        <v>2504</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293"/>
      <c r="Q21" s="1529" t="str">
        <f>B21</f>
        <v>基础设施水平</v>
      </c>
      <c r="R21" s="714" t="s">
        <v>17</v>
      </c>
      <c r="S21" s="715">
        <f>F21</f>
        <v>100</v>
      </c>
      <c r="T21" s="714" t="s">
        <v>17</v>
      </c>
      <c r="U21" s="715">
        <f>H21</f>
        <v>100</v>
      </c>
      <c r="V21" s="714" t="s">
        <v>17</v>
      </c>
      <c r="W21" s="715">
        <f>J21</f>
        <v>100</v>
      </c>
      <c r="X21" s="1532"/>
      <c r="Y21" s="3293"/>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293"/>
      <c r="Q22" s="1529"/>
      <c r="R22" s="714"/>
      <c r="S22" s="715"/>
      <c r="T22" s="714"/>
      <c r="U22" s="715"/>
      <c r="V22" s="714"/>
      <c r="W22" s="715"/>
      <c r="X22" s="1532"/>
      <c r="Y22" s="3293"/>
      <c r="Z22" s="1533"/>
      <c r="AA22" s="1530">
        <v>1</v>
      </c>
      <c r="AB22" s="1530">
        <v>1</v>
      </c>
      <c r="AC22" s="1530">
        <v>1</v>
      </c>
    </row>
    <row r="23" spans="1:29" ht="82.8">
      <c r="A23" s="387"/>
      <c r="B23" s="410" t="s">
        <v>2505</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293"/>
      <c r="Q23" s="1529" t="str">
        <f>B23</f>
        <v>环境质量</v>
      </c>
      <c r="R23" s="714" t="s">
        <v>17</v>
      </c>
      <c r="S23" s="715">
        <f>F23</f>
        <v>100</v>
      </c>
      <c r="T23" s="714" t="s">
        <v>17</v>
      </c>
      <c r="U23" s="715">
        <f>H23</f>
        <v>100</v>
      </c>
      <c r="V23" s="714" t="s">
        <v>17</v>
      </c>
      <c r="W23" s="715">
        <f>J23</f>
        <v>100</v>
      </c>
      <c r="X23" s="1532"/>
      <c r="Y23" s="3293"/>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293"/>
      <c r="Q24" s="1529"/>
      <c r="R24" s="714"/>
      <c r="S24" s="715"/>
      <c r="T24" s="714"/>
      <c r="U24" s="715"/>
      <c r="V24" s="714"/>
      <c r="W24" s="715"/>
      <c r="X24" s="1532"/>
      <c r="Y24" s="3293"/>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293"/>
      <c r="Q25" s="1529">
        <f>B25</f>
        <v>111</v>
      </c>
      <c r="R25" s="714" t="s">
        <v>17</v>
      </c>
      <c r="S25" s="715">
        <f>F25</f>
        <v>100</v>
      </c>
      <c r="T25" s="714" t="s">
        <v>17</v>
      </c>
      <c r="U25" s="715">
        <f>H25</f>
        <v>100</v>
      </c>
      <c r="V25" s="714" t="s">
        <v>17</v>
      </c>
      <c r="W25" s="715">
        <f>J25</f>
        <v>100</v>
      </c>
      <c r="X25" s="1532"/>
      <c r="Y25" s="3293"/>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293"/>
      <c r="Q26" s="1529">
        <f t="shared" ref="Q26:Q40" si="11">B26</f>
        <v>111</v>
      </c>
      <c r="R26" s="714" t="s">
        <v>17</v>
      </c>
      <c r="S26" s="715">
        <f>F26</f>
        <v>100</v>
      </c>
      <c r="T26" s="714" t="s">
        <v>17</v>
      </c>
      <c r="U26" s="715">
        <f>H26</f>
        <v>100</v>
      </c>
      <c r="V26" s="714" t="s">
        <v>17</v>
      </c>
      <c r="W26" s="715">
        <f>J26</f>
        <v>100</v>
      </c>
      <c r="X26" s="1532"/>
      <c r="Y26" s="3293"/>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293"/>
      <c r="Q27" s="1520">
        <f t="shared" si="11"/>
        <v>111</v>
      </c>
      <c r="R27" s="710" t="s">
        <v>17</v>
      </c>
      <c r="S27" s="711">
        <f>F27</f>
        <v>100</v>
      </c>
      <c r="T27" s="710" t="s">
        <v>17</v>
      </c>
      <c r="U27" s="711">
        <f>H27</f>
        <v>100</v>
      </c>
      <c r="V27" s="710" t="s">
        <v>17</v>
      </c>
      <c r="W27" s="711">
        <f>J27</f>
        <v>100</v>
      </c>
      <c r="X27" s="712"/>
      <c r="Y27" s="3293"/>
      <c r="Z27" s="55">
        <f>Q27</f>
        <v>111</v>
      </c>
      <c r="AA27" s="1530">
        <f>D27/F27</f>
        <v>1</v>
      </c>
      <c r="AB27" s="1530">
        <f>D27/H27</f>
        <v>1</v>
      </c>
      <c r="AC27" s="1530">
        <f>D27/J27</f>
        <v>1</v>
      </c>
    </row>
    <row r="28" spans="1:29" ht="15.6"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293"/>
      <c r="Q28" s="1529">
        <f t="shared" si="11"/>
        <v>111</v>
      </c>
      <c r="R28" s="714" t="s">
        <v>17</v>
      </c>
      <c r="S28" s="715">
        <f t="shared" ref="S28:S40" si="12">F28</f>
        <v>100</v>
      </c>
      <c r="T28" s="714" t="s">
        <v>17</v>
      </c>
      <c r="U28" s="715">
        <f t="shared" ref="U28:U40" si="13">H28</f>
        <v>100</v>
      </c>
      <c r="V28" s="714" t="s">
        <v>17</v>
      </c>
      <c r="W28" s="715">
        <f t="shared" ref="W28:W40" si="14">J28</f>
        <v>100</v>
      </c>
      <c r="X28" s="1532"/>
      <c r="Y28" s="3293"/>
      <c r="Z28" s="1533">
        <f t="shared" ref="Z28:Z40" si="15">Q28</f>
        <v>111</v>
      </c>
      <c r="AA28" s="1530">
        <f t="shared" si="3"/>
        <v>1</v>
      </c>
      <c r="AB28" s="1530">
        <f t="shared" si="4"/>
        <v>1</v>
      </c>
      <c r="AC28" s="1530">
        <f t="shared" si="5"/>
        <v>1</v>
      </c>
    </row>
    <row r="29" spans="1:29" ht="30">
      <c r="A29" s="425" t="s">
        <v>2378</v>
      </c>
      <c r="B29" s="67" t="s">
        <v>2508</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294" t="s">
        <v>2380</v>
      </c>
      <c r="Q29" s="1529" t="str">
        <f t="shared" si="11"/>
        <v>建筑类型</v>
      </c>
      <c r="R29" s="714" t="s">
        <v>17</v>
      </c>
      <c r="S29" s="715">
        <f t="shared" si="12"/>
        <v>100</v>
      </c>
      <c r="T29" s="714" t="s">
        <v>17</v>
      </c>
      <c r="U29" s="715">
        <f t="shared" si="13"/>
        <v>100</v>
      </c>
      <c r="V29" s="714" t="s">
        <v>17</v>
      </c>
      <c r="W29" s="715">
        <f t="shared" si="14"/>
        <v>100</v>
      </c>
      <c r="X29" s="1532"/>
      <c r="Y29" s="3295" t="s">
        <v>2380</v>
      </c>
      <c r="Z29" s="1533" t="str">
        <f t="shared" si="15"/>
        <v>建筑类型</v>
      </c>
      <c r="AA29" s="1530">
        <f t="shared" si="3"/>
        <v>1</v>
      </c>
      <c r="AB29" s="1530">
        <f t="shared" si="4"/>
        <v>1</v>
      </c>
      <c r="AC29" s="1530">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0" t="e">
        <f t="shared" si="3"/>
        <v>#N/A</v>
      </c>
      <c r="AB30" s="1530" t="e">
        <f t="shared" si="4"/>
        <v>#N/A</v>
      </c>
      <c r="AC30" s="1530"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295"/>
      <c r="Q31" s="1529" t="str">
        <f t="shared" si="11"/>
        <v>建筑结构</v>
      </c>
      <c r="R31" s="714" t="s">
        <v>17</v>
      </c>
      <c r="S31" s="715">
        <f t="shared" si="12"/>
        <v>100</v>
      </c>
      <c r="T31" s="714" t="s">
        <v>17</v>
      </c>
      <c r="U31" s="715">
        <f t="shared" si="13"/>
        <v>100</v>
      </c>
      <c r="V31" s="714" t="s">
        <v>17</v>
      </c>
      <c r="W31" s="715">
        <f t="shared" si="14"/>
        <v>100</v>
      </c>
      <c r="X31" s="1532"/>
      <c r="Y31" s="3295"/>
      <c r="Z31" s="1533" t="str">
        <f t="shared" si="15"/>
        <v>建筑结构</v>
      </c>
      <c r="AA31" s="1530">
        <f t="shared" si="3"/>
        <v>1</v>
      </c>
      <c r="AB31" s="1530">
        <f t="shared" si="4"/>
        <v>1</v>
      </c>
      <c r="AC31" s="1530">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295"/>
      <c r="Q32" s="1529" t="str">
        <f t="shared" si="11"/>
        <v>公共部分装修</v>
      </c>
      <c r="R32" s="714" t="s">
        <v>17</v>
      </c>
      <c r="S32" s="715">
        <f t="shared" si="12"/>
        <v>100</v>
      </c>
      <c r="T32" s="714" t="s">
        <v>17</v>
      </c>
      <c r="U32" s="715">
        <f t="shared" si="13"/>
        <v>100</v>
      </c>
      <c r="V32" s="714" t="s">
        <v>17</v>
      </c>
      <c r="W32" s="715">
        <f t="shared" si="14"/>
        <v>100</v>
      </c>
      <c r="X32" s="1532"/>
      <c r="Y32" s="3295"/>
      <c r="Z32" s="1533" t="str">
        <f t="shared" si="15"/>
        <v>公共部分装修</v>
      </c>
      <c r="AA32" s="1530">
        <f t="shared" si="3"/>
        <v>1</v>
      </c>
      <c r="AB32" s="1530">
        <f t="shared" si="4"/>
        <v>1</v>
      </c>
      <c r="AC32" s="1530">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295"/>
      <c r="Q33" s="1529" t="str">
        <f t="shared" si="11"/>
        <v>成新度</v>
      </c>
      <c r="R33" s="714" t="s">
        <v>17</v>
      </c>
      <c r="S33" s="715" t="e">
        <f t="shared" si="12"/>
        <v>#N/A</v>
      </c>
      <c r="T33" s="714" t="s">
        <v>17</v>
      </c>
      <c r="U33" s="715" t="e">
        <f t="shared" si="13"/>
        <v>#N/A</v>
      </c>
      <c r="V33" s="714" t="s">
        <v>17</v>
      </c>
      <c r="W33" s="715" t="e">
        <f t="shared" si="14"/>
        <v>#N/A</v>
      </c>
      <c r="X33" s="1532"/>
      <c r="Y33" s="3295"/>
      <c r="Z33" s="1533" t="str">
        <f t="shared" si="15"/>
        <v>成新度</v>
      </c>
      <c r="AA33" s="1530" t="e">
        <f t="shared" si="3"/>
        <v>#N/A</v>
      </c>
      <c r="AB33" s="1530" t="e">
        <f t="shared" si="4"/>
        <v>#N/A</v>
      </c>
      <c r="AC33" s="1530"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295"/>
      <c r="Q34" s="1520"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295" t="s">
        <v>2380</v>
      </c>
      <c r="Q35" s="1529" t="str">
        <f t="shared" si="11"/>
        <v>市政基础设施</v>
      </c>
      <c r="R35" s="714" t="s">
        <v>17</v>
      </c>
      <c r="S35" s="715">
        <f t="shared" si="12"/>
        <v>100</v>
      </c>
      <c r="T35" s="714" t="s">
        <v>17</v>
      </c>
      <c r="U35" s="715">
        <f t="shared" si="13"/>
        <v>100</v>
      </c>
      <c r="V35" s="714" t="s">
        <v>17</v>
      </c>
      <c r="W35" s="715">
        <f t="shared" si="14"/>
        <v>100</v>
      </c>
      <c r="X35" s="1532"/>
      <c r="Y35" s="3295" t="s">
        <v>2380</v>
      </c>
      <c r="Z35" s="1533" t="str">
        <f t="shared" si="15"/>
        <v>市政基础设施</v>
      </c>
      <c r="AA35" s="1530">
        <f t="shared" si="3"/>
        <v>1</v>
      </c>
      <c r="AB35" s="1530">
        <f t="shared" si="4"/>
        <v>1</v>
      </c>
      <c r="AC35" s="1530">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295"/>
      <c r="Q36" s="1529" t="str">
        <f t="shared" si="11"/>
        <v>内部装修</v>
      </c>
      <c r="R36" s="714" t="s">
        <v>17</v>
      </c>
      <c r="S36" s="715">
        <f t="shared" si="12"/>
        <v>100</v>
      </c>
      <c r="T36" s="714" t="s">
        <v>17</v>
      </c>
      <c r="U36" s="715">
        <f t="shared" si="13"/>
        <v>100</v>
      </c>
      <c r="V36" s="714" t="s">
        <v>17</v>
      </c>
      <c r="W36" s="715">
        <f t="shared" si="14"/>
        <v>100</v>
      </c>
      <c r="X36" s="1532"/>
      <c r="Y36" s="3295"/>
      <c r="Z36" s="1533" t="str">
        <f t="shared" si="15"/>
        <v>内部装修</v>
      </c>
      <c r="AA36" s="1530">
        <f t="shared" si="3"/>
        <v>1</v>
      </c>
      <c r="AB36" s="1530">
        <f t="shared" si="4"/>
        <v>1</v>
      </c>
      <c r="AC36" s="1530">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295"/>
      <c r="Q37" s="1529" t="str">
        <f t="shared" si="11"/>
        <v>内部装修状况</v>
      </c>
      <c r="R37" s="714" t="s">
        <v>17</v>
      </c>
      <c r="S37" s="715">
        <f t="shared" si="12"/>
        <v>100</v>
      </c>
      <c r="T37" s="714" t="s">
        <v>17</v>
      </c>
      <c r="U37" s="715">
        <f t="shared" si="13"/>
        <v>100</v>
      </c>
      <c r="V37" s="714" t="s">
        <v>17</v>
      </c>
      <c r="W37" s="715">
        <f t="shared" si="14"/>
        <v>100</v>
      </c>
      <c r="X37" s="1532"/>
      <c r="Y37" s="3295"/>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295"/>
      <c r="Q39" s="1529">
        <f t="shared" si="11"/>
        <v>111</v>
      </c>
      <c r="R39" s="714" t="s">
        <v>17</v>
      </c>
      <c r="S39" s="715">
        <f t="shared" si="12"/>
        <v>100</v>
      </c>
      <c r="T39" s="714" t="s">
        <v>17</v>
      </c>
      <c r="U39" s="715">
        <f t="shared" si="13"/>
        <v>100</v>
      </c>
      <c r="V39" s="714" t="s">
        <v>17</v>
      </c>
      <c r="W39" s="715">
        <f t="shared" si="14"/>
        <v>100</v>
      </c>
      <c r="X39" s="1532"/>
      <c r="Y39" s="3295"/>
      <c r="Z39" s="1533">
        <f t="shared" si="15"/>
        <v>111</v>
      </c>
      <c r="AA39" s="1530">
        <f t="shared" si="3"/>
        <v>1</v>
      </c>
      <c r="AB39" s="1530">
        <f t="shared" si="4"/>
        <v>1</v>
      </c>
      <c r="AC39" s="1530">
        <f t="shared" si="5"/>
        <v>1</v>
      </c>
    </row>
    <row r="40" spans="1:29" ht="15.6"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63"/>
      <c r="Q40" s="1529">
        <f t="shared" si="11"/>
        <v>111</v>
      </c>
      <c r="R40" s="714" t="s">
        <v>17</v>
      </c>
      <c r="S40" s="715">
        <f t="shared" si="12"/>
        <v>100</v>
      </c>
      <c r="T40" s="714" t="s">
        <v>17</v>
      </c>
      <c r="U40" s="715">
        <f t="shared" si="13"/>
        <v>100</v>
      </c>
      <c r="V40" s="714" t="s">
        <v>17</v>
      </c>
      <c r="W40" s="715">
        <f t="shared" si="14"/>
        <v>100</v>
      </c>
      <c r="X40" s="1532"/>
      <c r="Y40" s="3363"/>
      <c r="Z40" s="1533">
        <f t="shared" si="15"/>
        <v>111</v>
      </c>
      <c r="AA40" s="1530">
        <f t="shared" si="3"/>
        <v>1</v>
      </c>
      <c r="AB40" s="1530">
        <f t="shared" si="4"/>
        <v>1</v>
      </c>
      <c r="AC40" s="1530">
        <f t="shared" si="5"/>
        <v>1</v>
      </c>
    </row>
    <row r="41" spans="1:29" ht="14.4">
      <c r="A41" s="438" t="s">
        <v>2392</v>
      </c>
      <c r="B41" s="439"/>
      <c r="C41" s="1310" t="s">
        <v>1</v>
      </c>
      <c r="D41" s="1311"/>
      <c r="E41" s="1312"/>
      <c r="F41" s="1313"/>
      <c r="G41" s="1314"/>
      <c r="H41" s="1315"/>
      <c r="I41" s="1312"/>
      <c r="J41" s="1315"/>
      <c r="K41" s="723"/>
      <c r="L41" s="1051"/>
      <c r="M41" s="1052"/>
      <c r="N41" s="1039"/>
      <c r="O41" s="1052"/>
      <c r="P41" s="3290" t="str">
        <f>A41</f>
        <v>成交单价（元/平方米）</v>
      </c>
      <c r="Q41" s="3290"/>
      <c r="R41" s="3359">
        <f>E41</f>
        <v>0</v>
      </c>
      <c r="S41" s="3359"/>
      <c r="T41" s="3359">
        <f>G41</f>
        <v>0</v>
      </c>
      <c r="U41" s="3359"/>
      <c r="V41" s="3359">
        <f>I41</f>
        <v>0</v>
      </c>
      <c r="W41" s="3359"/>
      <c r="X41" s="699"/>
      <c r="Y41" s="721"/>
      <c r="Z41" s="699"/>
      <c r="AA41" s="699"/>
      <c r="AB41" s="699"/>
      <c r="AC41" s="699"/>
    </row>
    <row r="42" spans="1:29" ht="15" thickBot="1">
      <c r="A42" s="445" t="s">
        <v>2484</v>
      </c>
      <c r="B42" s="446"/>
      <c r="C42" s="1316" t="e">
        <f>R43</f>
        <v>#DIV/0!</v>
      </c>
      <c r="D42" s="2530" t="s">
        <v>2872</v>
      </c>
      <c r="E42" s="1317" t="e">
        <f>R42</f>
        <v>#DIV/0!</v>
      </c>
      <c r="F42" s="2531"/>
      <c r="G42" s="1316" t="e">
        <f>T42</f>
        <v>#DIV/0!</v>
      </c>
      <c r="H42" s="2531"/>
      <c r="I42" s="1317" t="e">
        <f>V42</f>
        <v>#DIV/0!</v>
      </c>
      <c r="J42" s="2531"/>
      <c r="K42" s="2533">
        <f>F42+H42+J42</f>
        <v>0</v>
      </c>
      <c r="L42" s="1051"/>
      <c r="M42" s="1052"/>
      <c r="N42" s="1039"/>
      <c r="O42" s="1052"/>
      <c r="P42" s="3290" t="str">
        <f>A42</f>
        <v>比较价值（元/平方米）</v>
      </c>
      <c r="Q42" s="3290"/>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 thickBot="1">
      <c r="A43" s="449" t="s">
        <v>2485</v>
      </c>
      <c r="B43" s="450"/>
      <c r="C43" s="1319" t="e">
        <f>R43</f>
        <v>#DIV/0!</v>
      </c>
      <c r="D43" s="1319"/>
      <c r="E43" s="1319"/>
      <c r="F43" s="1319"/>
      <c r="G43" s="1319"/>
      <c r="H43" s="1319"/>
      <c r="I43" s="1319"/>
      <c r="J43" s="1319"/>
      <c r="K43" s="724"/>
      <c r="L43" s="1051"/>
      <c r="M43" s="1052"/>
      <c r="N43" s="1052"/>
      <c r="O43" s="1052"/>
      <c r="P43" s="3284" t="str">
        <f>A43</f>
        <v>估价对象XX用房的比较价值（楼面单价，元/平方米）</v>
      </c>
      <c r="Q43" s="3285"/>
      <c r="R43" s="3358" t="e">
        <f>IF(F1="售价",ROUND(IF(D42="简单平均",AVERAGE(R42:V42),R42*F42+T42*H42+V42*J42),0),ROUND(IF(D42="简单平均",AVERAGE(R42:V42),R42*F42+T42*H42+V42*J42),1))</f>
        <v>#DIV/0!</v>
      </c>
      <c r="S43" s="3358"/>
      <c r="T43" s="3358"/>
      <c r="U43" s="3358"/>
      <c r="V43" s="3358"/>
      <c r="W43" s="3358"/>
      <c r="X43" s="699"/>
      <c r="Y43" s="699"/>
      <c r="Z43" s="699"/>
      <c r="AA43" s="699"/>
      <c r="AB43" s="699"/>
      <c r="AC43" s="699"/>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2.2" thickBot="1">
      <c r="A51" s="703" t="s">
        <v>2489</v>
      </c>
      <c r="B51" s="699"/>
      <c r="C51" s="704"/>
      <c r="D51" s="704"/>
      <c r="E51" s="704"/>
      <c r="F51" s="705"/>
      <c r="G51" s="705"/>
      <c r="H51" s="704"/>
      <c r="I51" s="704"/>
      <c r="J51" s="704"/>
      <c r="K51" s="1066"/>
      <c r="L51" s="1067"/>
      <c r="M51" s="1065"/>
      <c r="N51" s="1065"/>
      <c r="O51" s="1065"/>
      <c r="P51" s="460"/>
      <c r="Q51" s="461"/>
    </row>
    <row r="52" spans="1:17" s="465" customFormat="1" ht="14.4">
      <c r="A52" s="462" t="s">
        <v>2363</v>
      </c>
      <c r="B52" s="463"/>
      <c r="C52" s="1339" t="str">
        <f>YEAR(C7)&amp;"-"&amp;MONTH(C7)</f>
        <v>2021-7</v>
      </c>
      <c r="D52" s="1340">
        <f>EDATE(C52,-1)</f>
        <v>44348</v>
      </c>
      <c r="E52" s="1340">
        <f t="shared" ref="E52:O52" si="16">EDATE(D52,-1)</f>
        <v>44317</v>
      </c>
      <c r="F52" s="1340">
        <f t="shared" si="16"/>
        <v>44287</v>
      </c>
      <c r="G52" s="1340">
        <f t="shared" si="16"/>
        <v>44256</v>
      </c>
      <c r="H52" s="1340">
        <f t="shared" si="16"/>
        <v>44228</v>
      </c>
      <c r="I52" s="1340">
        <f t="shared" si="16"/>
        <v>44197</v>
      </c>
      <c r="J52" s="1340">
        <f t="shared" si="16"/>
        <v>44166</v>
      </c>
      <c r="K52" s="1340">
        <f t="shared" si="16"/>
        <v>44136</v>
      </c>
      <c r="L52" s="1340">
        <f t="shared" si="16"/>
        <v>44105</v>
      </c>
      <c r="M52" s="1340">
        <f t="shared" si="16"/>
        <v>44075</v>
      </c>
      <c r="N52" s="1340">
        <f t="shared" si="16"/>
        <v>44044</v>
      </c>
      <c r="O52" s="1340">
        <f t="shared" si="16"/>
        <v>44013</v>
      </c>
      <c r="P52" s="464"/>
    </row>
    <row r="53" spans="1:17" s="113" customFormat="1">
      <c r="A53" s="466"/>
      <c r="B53" s="467"/>
      <c r="C53" s="1338">
        <v>100</v>
      </c>
      <c r="D53" s="469"/>
      <c r="E53" s="469"/>
      <c r="F53" s="469"/>
      <c r="G53" s="469"/>
      <c r="H53" s="469"/>
      <c r="I53" s="469"/>
      <c r="J53" s="469"/>
      <c r="K53" s="469"/>
      <c r="L53" s="469"/>
      <c r="M53" s="470"/>
      <c r="N53" s="469"/>
      <c r="O53" s="471"/>
      <c r="P53" s="461"/>
    </row>
    <row r="54" spans="1:17" s="113" customFormat="1" ht="15" thickBot="1">
      <c r="A54" s="472" t="s">
        <v>2400</v>
      </c>
      <c r="B54" s="473"/>
      <c r="C54" s="474"/>
      <c r="D54" s="475"/>
      <c r="E54" s="475"/>
      <c r="F54" s="475"/>
      <c r="G54" s="475"/>
      <c r="H54" s="475"/>
      <c r="I54" s="475"/>
      <c r="J54" s="475"/>
      <c r="K54" s="475"/>
      <c r="L54" s="475"/>
      <c r="M54" s="476"/>
      <c r="N54" s="2991"/>
      <c r="O54" s="2992"/>
      <c r="P54" s="461"/>
      <c r="Q54" s="461"/>
    </row>
    <row r="55" spans="1:17" s="113" customFormat="1" ht="14.4">
      <c r="A55" s="478" t="s">
        <v>2365</v>
      </c>
      <c r="B55" s="467"/>
      <c r="C55" s="479" t="s">
        <v>2467</v>
      </c>
      <c r="D55" s="480"/>
      <c r="E55" s="480"/>
      <c r="F55" s="480"/>
      <c r="G55" s="480"/>
      <c r="H55" s="480"/>
      <c r="I55" s="480"/>
      <c r="J55" s="480"/>
      <c r="K55" s="480"/>
      <c r="L55" s="481"/>
      <c r="M55" s="482"/>
      <c r="N55" s="1057"/>
      <c r="O55" s="1057"/>
      <c r="P55" s="483"/>
      <c r="Q55" s="461"/>
    </row>
    <row r="56" spans="1:17" s="113" customFormat="1" ht="14.4" thickBot="1">
      <c r="A56" s="478"/>
      <c r="B56" s="467"/>
      <c r="C56" s="595">
        <v>100</v>
      </c>
      <c r="D56" s="469"/>
      <c r="E56" s="469"/>
      <c r="F56" s="469"/>
      <c r="G56" s="469"/>
      <c r="H56" s="469"/>
      <c r="I56" s="469"/>
      <c r="J56" s="469"/>
      <c r="K56" s="469"/>
      <c r="L56" s="469"/>
      <c r="M56" s="471"/>
      <c r="N56" s="1057"/>
      <c r="O56" s="1057"/>
      <c r="P56" s="461"/>
      <c r="Q56" s="461"/>
    </row>
    <row r="57" spans="1:17" ht="14.4">
      <c r="A57" s="484" t="s">
        <v>2403</v>
      </c>
      <c r="B57" s="485" t="s">
        <v>2369</v>
      </c>
      <c r="C57" s="486">
        <f>C9</f>
        <v>0</v>
      </c>
      <c r="D57" s="487"/>
      <c r="E57" s="487"/>
      <c r="F57" s="487"/>
      <c r="G57" s="487"/>
      <c r="H57" s="487"/>
      <c r="I57" s="487"/>
      <c r="J57" s="487"/>
      <c r="K57" s="488"/>
      <c r="L57" s="489"/>
      <c r="M57" s="490"/>
      <c r="N57" s="1058"/>
      <c r="O57" s="1058"/>
      <c r="P57" s="45"/>
      <c r="Q57" s="461"/>
    </row>
    <row r="58" spans="1:17" ht="14.4" thickBot="1">
      <c r="A58" s="491"/>
      <c r="B58" s="492"/>
      <c r="C58" s="493">
        <v>100</v>
      </c>
      <c r="D58" s="493"/>
      <c r="E58" s="493"/>
      <c r="F58" s="493"/>
      <c r="G58" s="493"/>
      <c r="H58" s="493"/>
      <c r="I58" s="493"/>
      <c r="J58" s="493"/>
      <c r="K58" s="493"/>
      <c r="L58" s="493"/>
      <c r="M58" s="494"/>
      <c r="N58" s="1059"/>
      <c r="O58" s="1059"/>
      <c r="P58" s="45"/>
      <c r="Q58" s="461"/>
    </row>
    <row r="59" spans="1:17" ht="29.4" thickTop="1">
      <c r="A59" s="491"/>
      <c r="B59" s="495" t="s">
        <v>2372</v>
      </c>
      <c r="C59" s="496" t="s">
        <v>2404</v>
      </c>
      <c r="D59" s="496" t="s">
        <v>2405</v>
      </c>
      <c r="E59" s="496" t="s">
        <v>2406</v>
      </c>
      <c r="F59" s="496" t="s">
        <v>2407</v>
      </c>
      <c r="G59" s="496" t="s">
        <v>2408</v>
      </c>
      <c r="H59" s="496" t="s">
        <v>2409</v>
      </c>
      <c r="I59" s="496" t="s">
        <v>2410</v>
      </c>
      <c r="J59" s="496"/>
      <c r="K59" s="497"/>
      <c r="L59" s="498"/>
      <c r="M59" s="499"/>
      <c r="N59" s="1058"/>
      <c r="O59" s="1058"/>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c r="A62" s="491"/>
      <c r="B62" s="505"/>
      <c r="C62" s="506"/>
      <c r="D62" s="506"/>
      <c r="E62" s="506"/>
      <c r="F62" s="506"/>
      <c r="G62" s="506"/>
      <c r="H62" s="506"/>
      <c r="I62" s="506"/>
      <c r="J62" s="506"/>
      <c r="K62" s="507"/>
      <c r="L62" s="508"/>
      <c r="M62" s="509"/>
      <c r="N62" s="1058"/>
      <c r="O62" s="1058"/>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4.4" thickTop="1">
      <c r="A64" s="510"/>
      <c r="B64" s="495">
        <f>B12</f>
        <v>111</v>
      </c>
      <c r="C64" s="511"/>
      <c r="D64" s="511"/>
      <c r="E64" s="511"/>
      <c r="F64" s="511"/>
      <c r="G64" s="511"/>
      <c r="H64" s="512"/>
      <c r="I64" s="512"/>
      <c r="J64" s="512"/>
      <c r="K64" s="512"/>
      <c r="L64" s="513"/>
      <c r="M64" s="514"/>
      <c r="N64" s="1060"/>
      <c r="O64" s="1060"/>
      <c r="P64" s="515"/>
      <c r="Q64" s="516"/>
    </row>
    <row r="65" spans="1:17" s="430" customFormat="1" ht="14.4" thickBot="1">
      <c r="A65" s="510"/>
      <c r="B65" s="500"/>
      <c r="C65" s="517"/>
      <c r="D65" s="493"/>
      <c r="E65" s="493"/>
      <c r="F65" s="493"/>
      <c r="G65" s="493"/>
      <c r="H65" s="493"/>
      <c r="I65" s="493"/>
      <c r="J65" s="493"/>
      <c r="K65" s="493"/>
      <c r="L65" s="493"/>
      <c r="M65" s="494"/>
      <c r="N65" s="1059"/>
      <c r="O65" s="1059"/>
      <c r="P65" s="515"/>
      <c r="Q65" s="516"/>
    </row>
    <row r="66" spans="1:17" s="430" customFormat="1" ht="14.4" thickTop="1">
      <c r="A66" s="510"/>
      <c r="B66" s="495">
        <f>B13</f>
        <v>111</v>
      </c>
      <c r="C66" s="511"/>
      <c r="D66" s="511"/>
      <c r="E66" s="511"/>
      <c r="F66" s="511"/>
      <c r="G66" s="511"/>
      <c r="H66" s="512"/>
      <c r="I66" s="512"/>
      <c r="J66" s="512"/>
      <c r="K66" s="512"/>
      <c r="L66" s="513"/>
      <c r="M66" s="514"/>
      <c r="N66" s="1060"/>
      <c r="O66" s="1060"/>
      <c r="P66" s="429"/>
      <c r="Q66" s="518"/>
    </row>
    <row r="67" spans="1:17" s="430" customFormat="1" ht="14.4" thickBot="1">
      <c r="A67" s="510"/>
      <c r="B67" s="500"/>
      <c r="C67" s="517"/>
      <c r="D67" s="493"/>
      <c r="E67" s="493"/>
      <c r="F67" s="493"/>
      <c r="G67" s="517"/>
      <c r="H67" s="519"/>
      <c r="I67" s="519"/>
      <c r="J67" s="519"/>
      <c r="K67" s="519"/>
      <c r="L67" s="519"/>
      <c r="M67" s="520"/>
      <c r="N67" s="1060"/>
      <c r="O67" s="1060"/>
      <c r="P67" s="515"/>
      <c r="Q67" s="516"/>
    </row>
    <row r="68" spans="1:17" s="430" customFormat="1" ht="14.4" thickTop="1">
      <c r="A68" s="510"/>
      <c r="B68" s="503">
        <f>B14</f>
        <v>111</v>
      </c>
      <c r="C68" s="480"/>
      <c r="D68" s="480"/>
      <c r="E68" s="480"/>
      <c r="F68" s="480"/>
      <c r="G68" s="480"/>
      <c r="H68" s="521"/>
      <c r="I68" s="521"/>
      <c r="J68" s="521"/>
      <c r="K68" s="521"/>
      <c r="L68" s="522"/>
      <c r="M68" s="523"/>
      <c r="N68" s="1060"/>
      <c r="O68" s="1060"/>
      <c r="P68" s="524"/>
      <c r="Q68" s="516"/>
    </row>
    <row r="69" spans="1:17" s="430" customFormat="1" ht="14.4" thickBot="1">
      <c r="A69" s="525"/>
      <c r="B69" s="526"/>
      <c r="C69" s="527"/>
      <c r="D69" s="527"/>
      <c r="E69" s="527"/>
      <c r="F69" s="527"/>
      <c r="G69" s="527"/>
      <c r="H69" s="528"/>
      <c r="I69" s="528"/>
      <c r="J69" s="528"/>
      <c r="K69" s="528"/>
      <c r="L69" s="528"/>
      <c r="M69" s="529"/>
      <c r="N69" s="1060"/>
      <c r="O69" s="1060"/>
      <c r="P69" s="515"/>
      <c r="Q69" s="516"/>
    </row>
    <row r="70" spans="1:17" ht="14.4">
      <c r="A70" s="484" t="s">
        <v>2374</v>
      </c>
      <c r="B70" s="485" t="s">
        <v>2520</v>
      </c>
      <c r="C70" s="530" t="s">
        <v>2412</v>
      </c>
      <c r="D70" s="530" t="s">
        <v>2413</v>
      </c>
      <c r="E70" s="530" t="s">
        <v>2414</v>
      </c>
      <c r="F70" s="530" t="s">
        <v>2415</v>
      </c>
      <c r="G70" s="530" t="s">
        <v>2416</v>
      </c>
      <c r="H70" s="486"/>
      <c r="I70" s="486"/>
      <c r="J70" s="486"/>
      <c r="K70" s="531"/>
      <c r="L70" s="532"/>
      <c r="M70" s="533"/>
      <c r="N70" s="1058"/>
      <c r="O70" s="1058"/>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 thickTop="1">
      <c r="A72" s="491"/>
      <c r="B72" s="495" t="s">
        <v>2417</v>
      </c>
      <c r="C72" s="535" t="s">
        <v>2412</v>
      </c>
      <c r="D72" s="535" t="s">
        <v>2413</v>
      </c>
      <c r="E72" s="535" t="s">
        <v>2414</v>
      </c>
      <c r="F72" s="535" t="s">
        <v>2415</v>
      </c>
      <c r="G72" s="535" t="s">
        <v>2416</v>
      </c>
      <c r="H72" s="496"/>
      <c r="I72" s="496"/>
      <c r="J72" s="496"/>
      <c r="K72" s="497"/>
      <c r="L72" s="498"/>
      <c r="M72" s="499"/>
      <c r="N72" s="1058"/>
      <c r="O72" s="1058"/>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 thickTop="1">
      <c r="A74" s="491"/>
      <c r="B74" s="495" t="s">
        <v>2418</v>
      </c>
      <c r="C74" s="535" t="s">
        <v>2412</v>
      </c>
      <c r="D74" s="535" t="s">
        <v>2413</v>
      </c>
      <c r="E74" s="535" t="s">
        <v>2414</v>
      </c>
      <c r="F74" s="535" t="s">
        <v>2415</v>
      </c>
      <c r="G74" s="535" t="s">
        <v>2416</v>
      </c>
      <c r="H74" s="496"/>
      <c r="I74" s="496"/>
      <c r="J74" s="496"/>
      <c r="K74" s="497"/>
      <c r="L74" s="498"/>
      <c r="M74" s="499"/>
      <c r="N74" s="1058"/>
      <c r="O74" s="1058"/>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 thickTop="1">
      <c r="A76" s="491"/>
      <c r="B76" s="503" t="s">
        <v>2504</v>
      </c>
      <c r="C76" s="616" t="s">
        <v>2490</v>
      </c>
      <c r="D76" s="616" t="s">
        <v>2491</v>
      </c>
      <c r="E76" s="616" t="s">
        <v>2492</v>
      </c>
      <c r="F76" s="616" t="s">
        <v>2493</v>
      </c>
      <c r="G76" s="616" t="s">
        <v>2494</v>
      </c>
      <c r="H76" s="496"/>
      <c r="I76" s="496"/>
      <c r="J76" s="496"/>
      <c r="K76" s="496"/>
      <c r="L76" s="496"/>
      <c r="M76" s="1285"/>
      <c r="N76" s="1059"/>
      <c r="O76" s="1059"/>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 thickTop="1">
      <c r="A78" s="491"/>
      <c r="B78" s="495" t="s">
        <v>2513</v>
      </c>
      <c r="C78" s="535" t="s">
        <v>2412</v>
      </c>
      <c r="D78" s="535" t="s">
        <v>2413</v>
      </c>
      <c r="E78" s="535" t="s">
        <v>2414</v>
      </c>
      <c r="F78" s="535" t="s">
        <v>2415</v>
      </c>
      <c r="G78" s="535" t="s">
        <v>2416</v>
      </c>
      <c r="H78" s="496"/>
      <c r="I78" s="496"/>
      <c r="J78" s="496"/>
      <c r="K78" s="497"/>
      <c r="L78" s="498"/>
      <c r="M78" s="499"/>
      <c r="N78" s="1058"/>
      <c r="O78" s="1058"/>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4.4" thickTop="1">
      <c r="A80" s="536"/>
      <c r="B80" s="495">
        <f>B25</f>
        <v>111</v>
      </c>
      <c r="C80" s="511"/>
      <c r="D80" s="511"/>
      <c r="E80" s="511"/>
      <c r="F80" s="511"/>
      <c r="G80" s="511"/>
      <c r="H80" s="511"/>
      <c r="I80" s="511"/>
      <c r="J80" s="511"/>
      <c r="K80" s="511"/>
      <c r="L80" s="537"/>
      <c r="M80" s="538"/>
      <c r="N80" s="1057"/>
      <c r="O80" s="1057"/>
      <c r="P80" s="45"/>
      <c r="Q80" s="461"/>
    </row>
    <row r="81" spans="1:17" s="113" customFormat="1" ht="14.4" thickBot="1">
      <c r="A81" s="536"/>
      <c r="B81" s="500"/>
      <c r="C81" s="517"/>
      <c r="D81" s="493"/>
      <c r="E81" s="493"/>
      <c r="F81" s="493"/>
      <c r="G81" s="493"/>
      <c r="H81" s="493"/>
      <c r="I81" s="493"/>
      <c r="J81" s="493"/>
      <c r="K81" s="493"/>
      <c r="L81" s="493"/>
      <c r="M81" s="494"/>
      <c r="N81" s="1059"/>
      <c r="O81" s="1059"/>
      <c r="P81" s="45"/>
      <c r="Q81" s="461"/>
    </row>
    <row r="82" spans="1:17" s="113" customFormat="1" ht="14.4" thickTop="1">
      <c r="A82" s="536"/>
      <c r="B82" s="495">
        <f>B26</f>
        <v>111</v>
      </c>
      <c r="C82" s="511"/>
      <c r="D82" s="511"/>
      <c r="E82" s="511"/>
      <c r="F82" s="511"/>
      <c r="G82" s="511"/>
      <c r="H82" s="511"/>
      <c r="I82" s="511"/>
      <c r="J82" s="511"/>
      <c r="K82" s="511"/>
      <c r="L82" s="537"/>
      <c r="M82" s="538"/>
      <c r="N82" s="1057"/>
      <c r="O82" s="1057"/>
      <c r="P82" s="45"/>
      <c r="Q82" s="461"/>
    </row>
    <row r="83" spans="1:17" s="113" customFormat="1" ht="14.4" thickBot="1">
      <c r="A83" s="536"/>
      <c r="B83" s="500"/>
      <c r="C83" s="517"/>
      <c r="D83" s="493"/>
      <c r="E83" s="493"/>
      <c r="F83" s="493"/>
      <c r="G83" s="493"/>
      <c r="H83" s="493"/>
      <c r="I83" s="493"/>
      <c r="J83" s="493"/>
      <c r="K83" s="493"/>
      <c r="L83" s="493"/>
      <c r="M83" s="494"/>
      <c r="N83" s="1059"/>
      <c r="O83" s="1059"/>
      <c r="P83" s="45"/>
      <c r="Q83" s="461"/>
    </row>
    <row r="84" spans="1:17" s="430" customFormat="1" ht="14.4" thickTop="1">
      <c r="A84" s="510"/>
      <c r="B84" s="495">
        <f>B27</f>
        <v>111</v>
      </c>
      <c r="C84" s="511"/>
      <c r="D84" s="511"/>
      <c r="E84" s="511"/>
      <c r="F84" s="511"/>
      <c r="G84" s="511"/>
      <c r="H84" s="511"/>
      <c r="I84" s="511"/>
      <c r="J84" s="511"/>
      <c r="K84" s="511"/>
      <c r="L84" s="537"/>
      <c r="M84" s="538"/>
      <c r="N84" s="1060"/>
      <c r="O84" s="1060"/>
      <c r="P84" s="515"/>
      <c r="Q84" s="516"/>
    </row>
    <row r="85" spans="1:17" s="430" customFormat="1" ht="14.4" thickBot="1">
      <c r="A85" s="510"/>
      <c r="B85" s="500"/>
      <c r="C85" s="517"/>
      <c r="D85" s="493"/>
      <c r="E85" s="493"/>
      <c r="F85" s="493"/>
      <c r="G85" s="493"/>
      <c r="H85" s="493"/>
      <c r="I85" s="493"/>
      <c r="J85" s="493"/>
      <c r="K85" s="493"/>
      <c r="L85" s="493"/>
      <c r="M85" s="494"/>
      <c r="N85" s="1060"/>
      <c r="O85" s="1060"/>
      <c r="P85" s="515"/>
      <c r="Q85" s="516"/>
    </row>
    <row r="86" spans="1:17" ht="14.4" thickTop="1">
      <c r="A86" s="491"/>
      <c r="B86" s="503">
        <f>B28</f>
        <v>111</v>
      </c>
      <c r="C86" s="480"/>
      <c r="D86" s="480"/>
      <c r="E86" s="480"/>
      <c r="F86" s="480"/>
      <c r="G86" s="544"/>
      <c r="H86" s="544"/>
      <c r="I86" s="544"/>
      <c r="J86" s="544"/>
      <c r="K86" s="545"/>
      <c r="L86" s="546"/>
      <c r="M86" s="547"/>
      <c r="N86" s="1058"/>
      <c r="O86" s="1058"/>
      <c r="P86" s="45"/>
      <c r="Q86" s="461"/>
    </row>
    <row r="87" spans="1:17" ht="14.4" thickBot="1">
      <c r="A87" s="2106"/>
      <c r="B87" s="526"/>
      <c r="C87" s="527"/>
      <c r="D87" s="527"/>
      <c r="E87" s="527"/>
      <c r="F87" s="527"/>
      <c r="G87" s="548"/>
      <c r="H87" s="548"/>
      <c r="I87" s="548"/>
      <c r="J87" s="548"/>
      <c r="K87" s="548"/>
      <c r="L87" s="548"/>
      <c r="M87" s="549"/>
      <c r="N87" s="1059"/>
      <c r="O87" s="1059"/>
      <c r="P87" s="45"/>
      <c r="Q87" s="461"/>
    </row>
    <row r="88" spans="1:17" ht="14.4">
      <c r="A88" s="484" t="s">
        <v>2378</v>
      </c>
      <c r="B88" s="485" t="s">
        <v>2427</v>
      </c>
      <c r="C88" s="487"/>
      <c r="D88" s="487"/>
      <c r="E88" s="487"/>
      <c r="F88" s="487"/>
      <c r="G88" s="487"/>
      <c r="H88" s="487"/>
      <c r="I88" s="487"/>
      <c r="J88" s="487"/>
      <c r="K88" s="488"/>
      <c r="L88" s="489"/>
      <c r="M88" s="490"/>
      <c r="N88" s="1058"/>
      <c r="O88" s="1058"/>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4.4"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2429</v>
      </c>
      <c r="C93" s="511"/>
      <c r="D93" s="511"/>
      <c r="E93" s="540"/>
      <c r="F93" s="540"/>
      <c r="G93" s="540"/>
      <c r="H93" s="540"/>
      <c r="I93" s="540"/>
      <c r="J93" s="540"/>
      <c r="K93" s="541"/>
      <c r="L93" s="542"/>
      <c r="M93" s="543"/>
      <c r="N93" s="1058"/>
      <c r="O93" s="1058"/>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2431</v>
      </c>
      <c r="C95" s="511"/>
      <c r="D95" s="511"/>
      <c r="E95" s="511"/>
      <c r="F95" s="540"/>
      <c r="G95" s="540"/>
      <c r="H95" s="540"/>
      <c r="I95" s="540"/>
      <c r="J95" s="540"/>
      <c r="K95" s="541"/>
      <c r="L95" s="542"/>
      <c r="M95" s="543"/>
      <c r="N95" s="1058"/>
      <c r="O95" s="1058"/>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2432</v>
      </c>
      <c r="C100" s="511"/>
      <c r="D100" s="511"/>
      <c r="E100" s="511"/>
      <c r="F100" s="511"/>
      <c r="G100" s="511"/>
      <c r="H100" s="540"/>
      <c r="I100" s="540"/>
      <c r="J100" s="540"/>
      <c r="K100" s="541"/>
      <c r="L100" s="542"/>
      <c r="M100" s="543"/>
      <c r="N100" s="1060"/>
      <c r="O100" s="1060"/>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2433</v>
      </c>
      <c r="C102" s="511"/>
      <c r="D102" s="511"/>
      <c r="E102" s="511"/>
      <c r="F102" s="511"/>
      <c r="G102" s="511"/>
      <c r="H102" s="540"/>
      <c r="I102" s="540"/>
      <c r="J102" s="540"/>
      <c r="K102" s="541"/>
      <c r="L102" s="542"/>
      <c r="M102" s="543"/>
      <c r="N102" s="1058"/>
      <c r="O102" s="1058"/>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2435</v>
      </c>
      <c r="C104" s="511"/>
      <c r="D104" s="511"/>
      <c r="E104" s="511"/>
      <c r="F104" s="511"/>
      <c r="G104" s="511"/>
      <c r="H104" s="540"/>
      <c r="I104" s="540"/>
      <c r="J104" s="540"/>
      <c r="K104" s="541"/>
      <c r="L104" s="542"/>
      <c r="M104" s="543"/>
      <c r="N104" s="1058"/>
      <c r="O104" s="1058"/>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29.4" thickTop="1">
      <c r="A106" s="556"/>
      <c r="B106" s="592" t="s">
        <v>2521</v>
      </c>
      <c r="C106" s="535" t="s">
        <v>2412</v>
      </c>
      <c r="D106" s="535" t="s">
        <v>2413</v>
      </c>
      <c r="E106" s="535" t="s">
        <v>2414</v>
      </c>
      <c r="F106" s="535" t="s">
        <v>2415</v>
      </c>
      <c r="G106" s="535" t="s">
        <v>2416</v>
      </c>
      <c r="H106" s="496"/>
      <c r="I106" s="496"/>
      <c r="J106" s="496"/>
      <c r="K106" s="497"/>
      <c r="L106" s="498"/>
      <c r="M106" s="499"/>
      <c r="N106" s="1059"/>
      <c r="O106" s="1059"/>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4.4"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4.4" thickBot="1">
      <c r="A109" s="510"/>
      <c r="B109" s="492"/>
      <c r="C109" s="517"/>
      <c r="D109" s="493"/>
      <c r="E109" s="493"/>
      <c r="F109" s="493"/>
      <c r="G109" s="517"/>
      <c r="H109" s="519"/>
      <c r="I109" s="519"/>
      <c r="J109" s="519"/>
      <c r="K109" s="519"/>
      <c r="L109" s="519"/>
      <c r="M109" s="520"/>
      <c r="N109" s="1060"/>
      <c r="O109" s="1060"/>
      <c r="P109" s="515"/>
      <c r="Q109" s="516"/>
    </row>
    <row r="110" spans="1:17" ht="14.4" thickTop="1">
      <c r="A110" s="556"/>
      <c r="B110" s="495">
        <f>B39</f>
        <v>111</v>
      </c>
      <c r="C110" s="511"/>
      <c r="D110" s="511"/>
      <c r="E110" s="511"/>
      <c r="F110" s="511"/>
      <c r="G110" s="511"/>
      <c r="H110" s="512"/>
      <c r="I110" s="512"/>
      <c r="J110" s="512"/>
      <c r="K110" s="512"/>
      <c r="L110" s="513"/>
      <c r="M110" s="514"/>
      <c r="N110" s="1058"/>
      <c r="O110" s="1058"/>
      <c r="P110" s="45"/>
      <c r="Q110" s="461"/>
    </row>
    <row r="111" spans="1:17" ht="14.4" thickBot="1">
      <c r="A111" s="491"/>
      <c r="B111" s="500"/>
      <c r="C111" s="517"/>
      <c r="D111" s="493"/>
      <c r="E111" s="493"/>
      <c r="F111" s="493"/>
      <c r="G111" s="517"/>
      <c r="H111" s="519"/>
      <c r="I111" s="519"/>
      <c r="J111" s="519"/>
      <c r="K111" s="519"/>
      <c r="L111" s="519"/>
      <c r="M111" s="520"/>
      <c r="N111" s="1059"/>
      <c r="O111" s="1059"/>
      <c r="P111" s="45"/>
      <c r="Q111" s="461"/>
    </row>
    <row r="112" spans="1:17" ht="14.4" thickTop="1">
      <c r="A112" s="556"/>
      <c r="B112" s="503">
        <f>B40</f>
        <v>111</v>
      </c>
      <c r="C112" s="480"/>
      <c r="D112" s="480"/>
      <c r="E112" s="480"/>
      <c r="F112" s="480"/>
      <c r="G112" s="544"/>
      <c r="H112" s="544"/>
      <c r="I112" s="544"/>
      <c r="J112" s="544"/>
      <c r="K112" s="480"/>
      <c r="L112" s="481"/>
      <c r="M112" s="547"/>
      <c r="N112" s="1058"/>
      <c r="O112" s="1058"/>
      <c r="P112" s="45"/>
      <c r="Q112" s="461"/>
    </row>
    <row r="113" spans="1:17" ht="14.4"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2522</v>
      </c>
      <c r="B1" s="1384"/>
      <c r="C1" s="1385" t="s">
        <v>2345</v>
      </c>
      <c r="D1" s="1386"/>
      <c r="E1" s="1387"/>
      <c r="F1" s="2057"/>
      <c r="G1" s="1388" t="s">
        <v>2458</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2459</v>
      </c>
      <c r="D3" s="359">
        <f>SUMIF('数据-汇总表'!$C19:$C33,D1,'数据-汇总表'!$E19:$E33)</f>
        <v>0</v>
      </c>
      <c r="E3" s="360" t="s">
        <v>2523</v>
      </c>
      <c r="F3" s="359">
        <f>SUMIF('数据-取费表'!A5:A15,D1,'数据-取费表'!AH5:AH15)</f>
        <v>0</v>
      </c>
      <c r="G3" s="1033"/>
      <c r="H3" s="1033"/>
      <c r="I3" s="1033"/>
      <c r="J3" s="1033"/>
      <c r="K3" s="1035"/>
      <c r="L3" s="2955"/>
      <c r="M3" s="2956"/>
      <c r="N3" s="2956"/>
      <c r="O3" s="2956"/>
      <c r="P3" s="1321"/>
      <c r="Q3" s="708"/>
      <c r="R3" s="708"/>
      <c r="S3" s="708"/>
      <c r="T3" s="708"/>
      <c r="U3" s="708"/>
      <c r="V3" s="708"/>
      <c r="W3" s="708"/>
      <c r="X3" s="708"/>
      <c r="Y3" s="708"/>
      <c r="Z3" s="708"/>
      <c r="AA3" s="708"/>
      <c r="AB3" s="725"/>
      <c r="AC3" s="722"/>
    </row>
    <row r="4" spans="1:29" ht="14.4">
      <c r="A4" s="361" t="s">
        <v>2460</v>
      </c>
      <c r="B4" s="362"/>
      <c r="C4" s="3287" t="s">
        <v>2461</v>
      </c>
      <c r="D4" s="3300"/>
      <c r="E4" s="3301" t="s">
        <v>2462</v>
      </c>
      <c r="F4" s="3302"/>
      <c r="G4" s="3287" t="s">
        <v>2463</v>
      </c>
      <c r="H4" s="3300"/>
      <c r="I4" s="3287" t="s">
        <v>2464</v>
      </c>
      <c r="J4" s="3300"/>
      <c r="K4" s="567" t="s">
        <v>2465</v>
      </c>
      <c r="L4" s="2936"/>
      <c r="M4" s="2937"/>
      <c r="N4" s="2937"/>
      <c r="O4" s="2937"/>
      <c r="P4" s="3303" t="s">
        <v>2466</v>
      </c>
      <c r="Q4" s="3304"/>
      <c r="R4" s="3309" t="s">
        <v>2462</v>
      </c>
      <c r="S4" s="3310"/>
      <c r="T4" s="3309" t="s">
        <v>2463</v>
      </c>
      <c r="U4" s="3310"/>
      <c r="V4" s="3296" t="s">
        <v>2464</v>
      </c>
      <c r="W4" s="3296"/>
      <c r="X4" s="1532"/>
      <c r="Y4" s="3309" t="s">
        <v>2466</v>
      </c>
      <c r="Z4" s="3310"/>
      <c r="AA4" s="3297" t="s">
        <v>2462</v>
      </c>
      <c r="AB4" s="3298" t="s">
        <v>2463</v>
      </c>
      <c r="AC4" s="3297" t="s">
        <v>2464</v>
      </c>
    </row>
    <row r="5" spans="1:29">
      <c r="A5" s="364"/>
      <c r="B5" s="365"/>
      <c r="C5" s="3317" t="s">
        <v>2357</v>
      </c>
      <c r="D5" s="3318"/>
      <c r="E5" s="3325" t="s">
        <v>2358</v>
      </c>
      <c r="F5" s="3326"/>
      <c r="G5" s="3317" t="s">
        <v>2359</v>
      </c>
      <c r="H5" s="3318"/>
      <c r="I5" s="3317" t="s">
        <v>2360</v>
      </c>
      <c r="J5" s="3318"/>
      <c r="K5" s="567"/>
      <c r="L5" s="2936"/>
      <c r="M5" s="2937"/>
      <c r="N5" s="2937"/>
      <c r="O5" s="2937"/>
      <c r="P5" s="3305"/>
      <c r="Q5" s="3306"/>
      <c r="R5" s="3311"/>
      <c r="S5" s="3312"/>
      <c r="T5" s="3311"/>
      <c r="U5" s="3312"/>
      <c r="V5" s="3296"/>
      <c r="W5" s="3296"/>
      <c r="X5" s="1532"/>
      <c r="Y5" s="3311"/>
      <c r="Z5" s="3312"/>
      <c r="AA5" s="3298"/>
      <c r="AB5" s="3298"/>
      <c r="AC5" s="3298"/>
    </row>
    <row r="6" spans="1:29" ht="15" thickBot="1">
      <c r="A6" s="366"/>
      <c r="B6" s="367"/>
      <c r="C6" s="3315" t="s">
        <v>2361</v>
      </c>
      <c r="D6" s="3316"/>
      <c r="E6" s="3323" t="s">
        <v>2361</v>
      </c>
      <c r="F6" s="3324"/>
      <c r="G6" s="3315" t="s">
        <v>2361</v>
      </c>
      <c r="H6" s="3316"/>
      <c r="I6" s="3315" t="s">
        <v>2361</v>
      </c>
      <c r="J6" s="3316"/>
      <c r="K6" s="567" t="s">
        <v>2362</v>
      </c>
      <c r="L6" s="2936"/>
      <c r="M6" s="2937"/>
      <c r="N6" s="2937"/>
      <c r="O6" s="2937"/>
      <c r="P6" s="3307"/>
      <c r="Q6" s="3308"/>
      <c r="R6" s="3311"/>
      <c r="S6" s="3312"/>
      <c r="T6" s="3313"/>
      <c r="U6" s="3314"/>
      <c r="V6" s="3296"/>
      <c r="W6" s="3296"/>
      <c r="X6" s="1532"/>
      <c r="Y6" s="3313"/>
      <c r="Z6" s="3314"/>
      <c r="AA6" s="3299"/>
      <c r="AB6" s="3299"/>
      <c r="AC6" s="3299"/>
    </row>
    <row r="7" spans="1:29" s="113" customFormat="1" ht="15" thickBot="1">
      <c r="A7" s="368" t="s">
        <v>2363</v>
      </c>
      <c r="B7" s="369"/>
      <c r="C7" s="370">
        <f>'数据-取费表'!B2</f>
        <v>44397</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19" t="s">
        <v>2364</v>
      </c>
      <c r="Q7" s="3321"/>
      <c r="R7" s="710" t="s">
        <v>17</v>
      </c>
      <c r="S7" s="711">
        <f t="shared" ref="S7:S14" si="0">F7</f>
        <v>0</v>
      </c>
      <c r="T7" s="710" t="s">
        <v>17</v>
      </c>
      <c r="U7" s="711">
        <f t="shared" ref="U7:U14" si="1">H7</f>
        <v>0</v>
      </c>
      <c r="V7" s="710" t="s">
        <v>17</v>
      </c>
      <c r="W7" s="711">
        <f t="shared" ref="W7:W14" si="2">J7</f>
        <v>0</v>
      </c>
      <c r="X7" s="712"/>
      <c r="Y7" s="3319" t="s">
        <v>2364</v>
      </c>
      <c r="Z7" s="3320"/>
      <c r="AA7" s="713" t="e">
        <f>D7/F7</f>
        <v>#DIV/0!</v>
      </c>
      <c r="AB7" s="713" t="e">
        <f>D7/H7</f>
        <v>#DIV/0!</v>
      </c>
      <c r="AC7" s="713" t="e">
        <f>D7/J7</f>
        <v>#DIV/0!</v>
      </c>
    </row>
    <row r="8" spans="1:29" s="113" customFormat="1" ht="1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19" t="s">
        <v>2367</v>
      </c>
      <c r="Q8" s="3320"/>
      <c r="R8" s="710" t="s">
        <v>17</v>
      </c>
      <c r="S8" s="711">
        <f t="shared" si="0"/>
        <v>0</v>
      </c>
      <c r="T8" s="710" t="s">
        <v>17</v>
      </c>
      <c r="U8" s="711">
        <f t="shared" si="1"/>
        <v>0</v>
      </c>
      <c r="V8" s="710" t="s">
        <v>17</v>
      </c>
      <c r="W8" s="711">
        <f t="shared" si="2"/>
        <v>0</v>
      </c>
      <c r="X8" s="712"/>
      <c r="Y8" s="3319" t="s">
        <v>2367</v>
      </c>
      <c r="Z8" s="3320"/>
      <c r="AA8" s="713" t="e">
        <f t="shared" ref="AA8:AA36" si="3">D8/F8</f>
        <v>#DIV/0!</v>
      </c>
      <c r="AB8" s="713" t="e">
        <f t="shared" ref="AB8:AB36" si="4">D8/H8</f>
        <v>#DIV/0!</v>
      </c>
      <c r="AC8" s="713" t="e">
        <f t="shared" ref="AC8:AC36" si="5">D8/J8</f>
        <v>#DIV/0!</v>
      </c>
    </row>
    <row r="9" spans="1:29" s="113" customFormat="1" ht="14.4">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290" t="s">
        <v>2370</v>
      </c>
      <c r="Q9" s="1520" t="str">
        <f t="shared" ref="Q9:Q14" si="6">B9</f>
        <v>用途</v>
      </c>
      <c r="R9" s="710" t="s">
        <v>17</v>
      </c>
      <c r="S9" s="711">
        <f t="shared" si="0"/>
        <v>100</v>
      </c>
      <c r="T9" s="710" t="s">
        <v>17</v>
      </c>
      <c r="U9" s="711">
        <f t="shared" si="1"/>
        <v>100</v>
      </c>
      <c r="V9" s="710" t="s">
        <v>17</v>
      </c>
      <c r="W9" s="711">
        <f t="shared" si="2"/>
        <v>100</v>
      </c>
      <c r="X9" s="712"/>
      <c r="Y9" s="3187" t="s">
        <v>2371</v>
      </c>
      <c r="Z9" s="55" t="str">
        <f t="shared" ref="Z9:Z14" si="7">Q9</f>
        <v>用途</v>
      </c>
      <c r="AA9" s="713">
        <f t="shared" si="3"/>
        <v>1</v>
      </c>
      <c r="AB9" s="713">
        <f t="shared" si="4"/>
        <v>1</v>
      </c>
      <c r="AC9" s="713">
        <f t="shared" si="5"/>
        <v>1</v>
      </c>
    </row>
    <row r="10" spans="1:29" s="386" customFormat="1" ht="28.8">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290"/>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290"/>
      <c r="Q11" s="1520">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290"/>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290"/>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96.6">
      <c r="A14" s="361" t="s">
        <v>2374</v>
      </c>
      <c r="B14" s="585" t="s">
        <v>2524</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292" t="s">
        <v>2375</v>
      </c>
      <c r="Q14" s="1529" t="str">
        <f t="shared" si="6"/>
        <v>交通便捷度</v>
      </c>
      <c r="R14" s="714" t="s">
        <v>17</v>
      </c>
      <c r="S14" s="715">
        <f t="shared" si="0"/>
        <v>100</v>
      </c>
      <c r="T14" s="714" t="s">
        <v>17</v>
      </c>
      <c r="U14" s="715">
        <f t="shared" si="1"/>
        <v>100</v>
      </c>
      <c r="V14" s="714" t="s">
        <v>17</v>
      </c>
      <c r="W14" s="715">
        <f t="shared" si="2"/>
        <v>100</v>
      </c>
      <c r="X14" s="1532"/>
      <c r="Y14" s="3292" t="s">
        <v>2375</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3"/>
      <c r="M15" s="2937"/>
      <c r="N15" s="2937"/>
      <c r="O15" s="2937"/>
      <c r="P15" s="3293"/>
      <c r="Q15" s="1529"/>
      <c r="R15" s="714"/>
      <c r="S15" s="715"/>
      <c r="T15" s="714"/>
      <c r="U15" s="715"/>
      <c r="V15" s="714"/>
      <c r="W15" s="715"/>
      <c r="X15" s="1532"/>
      <c r="Y15" s="3293"/>
      <c r="Z15" s="1533"/>
      <c r="AA15" s="1530">
        <v>1</v>
      </c>
      <c r="AB15" s="1530">
        <v>1</v>
      </c>
      <c r="AC15" s="1530">
        <v>1</v>
      </c>
    </row>
    <row r="16" spans="1:29" ht="41.4">
      <c r="A16" s="364"/>
      <c r="B16" s="587" t="s">
        <v>2503</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293"/>
      <c r="Q16" s="1529" t="str">
        <f>B16</f>
        <v>公共配套设施</v>
      </c>
      <c r="R16" s="714" t="s">
        <v>17</v>
      </c>
      <c r="S16" s="715">
        <f>F16</f>
        <v>100</v>
      </c>
      <c r="T16" s="714" t="s">
        <v>17</v>
      </c>
      <c r="U16" s="715">
        <f>H16</f>
        <v>100</v>
      </c>
      <c r="V16" s="714" t="s">
        <v>17</v>
      </c>
      <c r="W16" s="715">
        <f>J16</f>
        <v>100</v>
      </c>
      <c r="X16" s="1532"/>
      <c r="Y16" s="3293"/>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3"/>
      <c r="M17" s="2937"/>
      <c r="N17" s="2937"/>
      <c r="O17" s="2937"/>
      <c r="P17" s="3293"/>
      <c r="Q17" s="1529"/>
      <c r="R17" s="714"/>
      <c r="S17" s="715"/>
      <c r="T17" s="714"/>
      <c r="U17" s="715"/>
      <c r="V17" s="714"/>
      <c r="W17" s="715"/>
      <c r="X17" s="1532"/>
      <c r="Y17" s="3293"/>
      <c r="Z17" s="1533"/>
      <c r="AA17" s="1530">
        <v>1</v>
      </c>
      <c r="AB17" s="1530">
        <v>1</v>
      </c>
      <c r="AC17" s="1530">
        <v>1</v>
      </c>
    </row>
    <row r="18" spans="1:29" ht="41.4">
      <c r="A18" s="364"/>
      <c r="B18" s="589" t="s">
        <v>2504</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293"/>
      <c r="Q18" s="1529" t="str">
        <f>B18</f>
        <v>基础设施水平</v>
      </c>
      <c r="R18" s="714" t="s">
        <v>17</v>
      </c>
      <c r="S18" s="715">
        <f>F18</f>
        <v>100</v>
      </c>
      <c r="T18" s="714" t="s">
        <v>17</v>
      </c>
      <c r="U18" s="715">
        <f>H18</f>
        <v>100</v>
      </c>
      <c r="V18" s="714" t="s">
        <v>17</v>
      </c>
      <c r="W18" s="715">
        <f>J18</f>
        <v>100</v>
      </c>
      <c r="X18" s="1532"/>
      <c r="Y18" s="3293"/>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3"/>
      <c r="M19" s="2937"/>
      <c r="N19" s="2937"/>
      <c r="O19" s="2937"/>
      <c r="P19" s="3293"/>
      <c r="Q19" s="1529"/>
      <c r="R19" s="714"/>
      <c r="S19" s="715"/>
      <c r="T19" s="714"/>
      <c r="U19" s="715"/>
      <c r="V19" s="714"/>
      <c r="W19" s="715"/>
      <c r="X19" s="1532"/>
      <c r="Y19" s="3293"/>
      <c r="Z19" s="1533"/>
      <c r="AA19" s="1530">
        <v>1</v>
      </c>
      <c r="AB19" s="1530">
        <v>1</v>
      </c>
      <c r="AC19" s="1530">
        <v>1</v>
      </c>
    </row>
    <row r="20" spans="1:29" ht="55.2">
      <c r="A20" s="364"/>
      <c r="B20" s="587" t="s">
        <v>2525</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293"/>
      <c r="Q20" s="1529" t="str">
        <f>B20</f>
        <v>自然及人文环境</v>
      </c>
      <c r="R20" s="714" t="s">
        <v>17</v>
      </c>
      <c r="S20" s="715">
        <f>F20</f>
        <v>100</v>
      </c>
      <c r="T20" s="714" t="s">
        <v>17</v>
      </c>
      <c r="U20" s="715">
        <f>H20</f>
        <v>100</v>
      </c>
      <c r="V20" s="714" t="s">
        <v>17</v>
      </c>
      <c r="W20" s="715">
        <f>J20</f>
        <v>100</v>
      </c>
      <c r="X20" s="1532"/>
      <c r="Y20" s="3293"/>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3"/>
      <c r="M21" s="2937"/>
      <c r="N21" s="2937"/>
      <c r="O21" s="2937"/>
      <c r="P21" s="3293"/>
      <c r="Q21" s="1529"/>
      <c r="R21" s="714"/>
      <c r="S21" s="715"/>
      <c r="T21" s="714"/>
      <c r="U21" s="715"/>
      <c r="V21" s="714"/>
      <c r="W21" s="715"/>
      <c r="X21" s="1532"/>
      <c r="Y21" s="3293"/>
      <c r="Z21" s="1533"/>
      <c r="AA21" s="1530">
        <v>1</v>
      </c>
      <c r="AB21" s="1530">
        <v>1</v>
      </c>
      <c r="AC21" s="1530">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293"/>
      <c r="Q22" s="1529" t="str">
        <f>B22</f>
        <v>楼层</v>
      </c>
      <c r="R22" s="714" t="s">
        <v>17</v>
      </c>
      <c r="S22" s="715">
        <f>F22</f>
        <v>100</v>
      </c>
      <c r="T22" s="714" t="s">
        <v>17</v>
      </c>
      <c r="U22" s="715">
        <f>H22</f>
        <v>100</v>
      </c>
      <c r="V22" s="714" t="s">
        <v>17</v>
      </c>
      <c r="W22" s="715">
        <f>J22</f>
        <v>100</v>
      </c>
      <c r="X22" s="1532"/>
      <c r="Y22" s="3293"/>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293"/>
      <c r="Q23" s="1529">
        <f>B23</f>
        <v>111</v>
      </c>
      <c r="R23" s="714" t="s">
        <v>17</v>
      </c>
      <c r="S23" s="715">
        <f>F23</f>
        <v>100</v>
      </c>
      <c r="T23" s="714" t="s">
        <v>17</v>
      </c>
      <c r="U23" s="715">
        <f>H23</f>
        <v>100</v>
      </c>
      <c r="V23" s="714" t="s">
        <v>17</v>
      </c>
      <c r="W23" s="715">
        <f>J23</f>
        <v>100</v>
      </c>
      <c r="X23" s="1532"/>
      <c r="Y23" s="3293"/>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293"/>
      <c r="Q24" s="1529">
        <f t="shared" ref="Q24:Q36" si="11">B24</f>
        <v>111</v>
      </c>
      <c r="R24" s="714" t="s">
        <v>17</v>
      </c>
      <c r="S24" s="715">
        <f>F24</f>
        <v>100</v>
      </c>
      <c r="T24" s="714" t="s">
        <v>17</v>
      </c>
      <c r="U24" s="715">
        <f>H24</f>
        <v>100</v>
      </c>
      <c r="V24" s="714" t="s">
        <v>17</v>
      </c>
      <c r="W24" s="715">
        <f>J24</f>
        <v>100</v>
      </c>
      <c r="X24" s="1532"/>
      <c r="Y24" s="3293"/>
      <c r="Z24" s="1533">
        <f>Q24</f>
        <v>111</v>
      </c>
      <c r="AA24" s="1530">
        <f t="shared" si="3"/>
        <v>1</v>
      </c>
      <c r="AB24" s="1530">
        <f t="shared" si="4"/>
        <v>1</v>
      </c>
      <c r="AC24" s="1530">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293"/>
      <c r="Q25" s="1520">
        <f t="shared" si="11"/>
        <v>111</v>
      </c>
      <c r="R25" s="710" t="s">
        <v>17</v>
      </c>
      <c r="S25" s="711">
        <f>F25</f>
        <v>100</v>
      </c>
      <c r="T25" s="710" t="s">
        <v>17</v>
      </c>
      <c r="U25" s="711">
        <f>H25</f>
        <v>100</v>
      </c>
      <c r="V25" s="710" t="s">
        <v>17</v>
      </c>
      <c r="W25" s="711">
        <f>J25</f>
        <v>100</v>
      </c>
      <c r="X25" s="712"/>
      <c r="Y25" s="3293"/>
      <c r="Z25" s="55">
        <f>Q25</f>
        <v>111</v>
      </c>
      <c r="AA25" s="1530">
        <f>D25/F25</f>
        <v>1</v>
      </c>
      <c r="AB25" s="1530">
        <f>D25/H25</f>
        <v>1</v>
      </c>
      <c r="AC25" s="1530">
        <f>D25/J25</f>
        <v>1</v>
      </c>
    </row>
    <row r="26" spans="1:29" ht="30">
      <c r="A26" s="608" t="s">
        <v>2378</v>
      </c>
      <c r="B26" s="66" t="s">
        <v>2527</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294" t="s">
        <v>2380</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295" t="s">
        <v>2380</v>
      </c>
      <c r="Z26" s="1533" t="str">
        <f t="shared" ref="Z26:Z36" si="15">Q26</f>
        <v>配套类型</v>
      </c>
      <c r="AA26" s="1530">
        <f t="shared" si="3"/>
        <v>1</v>
      </c>
      <c r="AB26" s="1530">
        <f t="shared" si="4"/>
        <v>1</v>
      </c>
      <c r="AC26" s="1530">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0">
        <f t="shared" si="3"/>
        <v>1</v>
      </c>
      <c r="AB27" s="1530">
        <f t="shared" si="4"/>
        <v>1</v>
      </c>
      <c r="AC27" s="1530">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295"/>
      <c r="Q28" s="1529" t="str">
        <f t="shared" si="11"/>
        <v>公共部分装修</v>
      </c>
      <c r="R28" s="714" t="s">
        <v>17</v>
      </c>
      <c r="S28" s="715">
        <f t="shared" si="12"/>
        <v>100</v>
      </c>
      <c r="T28" s="714" t="s">
        <v>17</v>
      </c>
      <c r="U28" s="715">
        <f t="shared" si="13"/>
        <v>100</v>
      </c>
      <c r="V28" s="714" t="s">
        <v>17</v>
      </c>
      <c r="W28" s="715">
        <f t="shared" si="14"/>
        <v>100</v>
      </c>
      <c r="X28" s="1532"/>
      <c r="Y28" s="3295"/>
      <c r="Z28" s="1533" t="str">
        <f t="shared" si="15"/>
        <v>公共部分装修</v>
      </c>
      <c r="AA28" s="1530">
        <f t="shared" si="3"/>
        <v>1</v>
      </c>
      <c r="AB28" s="1530">
        <f t="shared" si="4"/>
        <v>1</v>
      </c>
      <c r="AC28" s="1530">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295"/>
      <c r="Q29" s="1529" t="str">
        <f t="shared" si="11"/>
        <v>成新率</v>
      </c>
      <c r="R29" s="714" t="s">
        <v>17</v>
      </c>
      <c r="S29" s="715" t="e">
        <f t="shared" si="12"/>
        <v>#N/A</v>
      </c>
      <c r="T29" s="714" t="s">
        <v>17</v>
      </c>
      <c r="U29" s="715" t="e">
        <f t="shared" si="13"/>
        <v>#N/A</v>
      </c>
      <c r="V29" s="714" t="s">
        <v>17</v>
      </c>
      <c r="W29" s="715" t="e">
        <f t="shared" si="14"/>
        <v>#N/A</v>
      </c>
      <c r="X29" s="1532"/>
      <c r="Y29" s="3295"/>
      <c r="Z29" s="1533" t="str">
        <f t="shared" si="15"/>
        <v>成新率</v>
      </c>
      <c r="AA29" s="1530" t="e">
        <f t="shared" si="3"/>
        <v>#N/A</v>
      </c>
      <c r="AB29" s="1530" t="e">
        <f t="shared" si="4"/>
        <v>#N/A</v>
      </c>
      <c r="AC29" s="1530"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295"/>
      <c r="Q30" s="1529" t="str">
        <f t="shared" si="11"/>
        <v>物业等级</v>
      </c>
      <c r="R30" s="714" t="s">
        <v>17</v>
      </c>
      <c r="S30" s="715">
        <f t="shared" si="12"/>
        <v>100</v>
      </c>
      <c r="T30" s="714" t="s">
        <v>17</v>
      </c>
      <c r="U30" s="715">
        <f t="shared" si="13"/>
        <v>100</v>
      </c>
      <c r="V30" s="714" t="s">
        <v>17</v>
      </c>
      <c r="W30" s="715">
        <f t="shared" si="14"/>
        <v>100</v>
      </c>
      <c r="X30" s="1532"/>
      <c r="Y30" s="3295"/>
      <c r="Z30" s="1533" t="str">
        <f t="shared" si="15"/>
        <v>物业等级</v>
      </c>
      <c r="AA30" s="1530">
        <f t="shared" si="3"/>
        <v>1</v>
      </c>
      <c r="AB30" s="1530">
        <f t="shared" si="4"/>
        <v>1</v>
      </c>
      <c r="AC30" s="1530">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295"/>
      <c r="Q31" s="1520"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295" t="s">
        <v>2380</v>
      </c>
      <c r="Q32" s="1529" t="str">
        <f t="shared" si="11"/>
        <v>车位类型</v>
      </c>
      <c r="R32" s="714" t="s">
        <v>17</v>
      </c>
      <c r="S32" s="715">
        <f t="shared" si="12"/>
        <v>100</v>
      </c>
      <c r="T32" s="714" t="s">
        <v>17</v>
      </c>
      <c r="U32" s="715">
        <f t="shared" si="13"/>
        <v>100</v>
      </c>
      <c r="V32" s="714" t="s">
        <v>17</v>
      </c>
      <c r="W32" s="715">
        <f t="shared" si="14"/>
        <v>100</v>
      </c>
      <c r="X32" s="1532"/>
      <c r="Y32" s="3295" t="s">
        <v>2380</v>
      </c>
      <c r="Z32" s="1533" t="str">
        <f t="shared" si="15"/>
        <v>车位类型</v>
      </c>
      <c r="AA32" s="1530">
        <f t="shared" si="3"/>
        <v>1</v>
      </c>
      <c r="AB32" s="1530">
        <f t="shared" si="4"/>
        <v>1</v>
      </c>
      <c r="AC32" s="1530">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295"/>
      <c r="Q33" s="1529" t="str">
        <f t="shared" si="11"/>
        <v>是否直接入户</v>
      </c>
      <c r="R33" s="714" t="s">
        <v>17</v>
      </c>
      <c r="S33" s="715">
        <f t="shared" si="12"/>
        <v>100</v>
      </c>
      <c r="T33" s="714" t="s">
        <v>17</v>
      </c>
      <c r="U33" s="715">
        <f t="shared" si="13"/>
        <v>100</v>
      </c>
      <c r="V33" s="714" t="s">
        <v>17</v>
      </c>
      <c r="W33" s="715">
        <f t="shared" si="14"/>
        <v>100</v>
      </c>
      <c r="X33" s="1532"/>
      <c r="Y33" s="3295"/>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295"/>
      <c r="Q34" s="1529">
        <f t="shared" si="11"/>
        <v>111</v>
      </c>
      <c r="R34" s="714" t="s">
        <v>17</v>
      </c>
      <c r="S34" s="715">
        <f t="shared" si="12"/>
        <v>100</v>
      </c>
      <c r="T34" s="714" t="s">
        <v>17</v>
      </c>
      <c r="U34" s="715">
        <f t="shared" si="13"/>
        <v>100</v>
      </c>
      <c r="V34" s="714" t="s">
        <v>17</v>
      </c>
      <c r="W34" s="715">
        <f t="shared" si="14"/>
        <v>100</v>
      </c>
      <c r="X34" s="1532"/>
      <c r="Y34" s="3295"/>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0">
        <f t="shared" si="3"/>
        <v>1</v>
      </c>
      <c r="AB35" s="1530">
        <f t="shared" si="4"/>
        <v>1</v>
      </c>
      <c r="AC35" s="1530">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295"/>
      <c r="Q36" s="1529">
        <f t="shared" si="11"/>
        <v>111</v>
      </c>
      <c r="R36" s="714" t="s">
        <v>17</v>
      </c>
      <c r="S36" s="715">
        <f t="shared" si="12"/>
        <v>100</v>
      </c>
      <c r="T36" s="714" t="s">
        <v>17</v>
      </c>
      <c r="U36" s="715">
        <f t="shared" si="13"/>
        <v>100</v>
      </c>
      <c r="V36" s="714" t="s">
        <v>17</v>
      </c>
      <c r="W36" s="715">
        <f t="shared" si="14"/>
        <v>100</v>
      </c>
      <c r="X36" s="1532"/>
      <c r="Y36" s="3295"/>
      <c r="Z36" s="1533">
        <f t="shared" si="15"/>
        <v>111</v>
      </c>
      <c r="AA36" s="1530">
        <f t="shared" si="3"/>
        <v>1</v>
      </c>
      <c r="AB36" s="1530">
        <f t="shared" si="4"/>
        <v>1</v>
      </c>
      <c r="AC36" s="1530">
        <f t="shared" si="5"/>
        <v>1</v>
      </c>
    </row>
    <row r="37" spans="1:29" ht="14.4">
      <c r="A37" s="438" t="s">
        <v>2535</v>
      </c>
      <c r="B37" s="2151" t="s">
        <v>2536</v>
      </c>
      <c r="C37" s="1310" t="s">
        <v>1</v>
      </c>
      <c r="D37" s="1311"/>
      <c r="E37" s="1312"/>
      <c r="F37" s="1313"/>
      <c r="G37" s="1314"/>
      <c r="H37" s="1315"/>
      <c r="I37" s="1312"/>
      <c r="J37" s="1315"/>
      <c r="K37" s="576"/>
      <c r="L37" s="2945"/>
      <c r="M37" s="2946"/>
      <c r="N37" s="2937"/>
      <c r="O37" s="2946"/>
      <c r="P37" s="3290" t="str">
        <f>A37</f>
        <v>成交单价</v>
      </c>
      <c r="Q37" s="3290"/>
      <c r="R37" s="3359">
        <f>E37</f>
        <v>0</v>
      </c>
      <c r="S37" s="3359"/>
      <c r="T37" s="3359">
        <f>G37</f>
        <v>0</v>
      </c>
      <c r="U37" s="3359"/>
      <c r="V37" s="3359">
        <f>I37</f>
        <v>0</v>
      </c>
      <c r="W37" s="3359"/>
      <c r="X37" s="699"/>
      <c r="Y37" s="721"/>
      <c r="Z37" s="699"/>
      <c r="AA37" s="699"/>
      <c r="AB37" s="699"/>
      <c r="AC37" s="699"/>
    </row>
    <row r="38" spans="1:29" ht="15" thickBot="1">
      <c r="A38" s="445" t="s">
        <v>2537</v>
      </c>
      <c r="B38" s="446" t="str">
        <f>B37</f>
        <v>元/车位</v>
      </c>
      <c r="C38" s="1316" t="e">
        <f>R39</f>
        <v>#DIV/0!</v>
      </c>
      <c r="D38" s="2530" t="s">
        <v>2872</v>
      </c>
      <c r="E38" s="1317" t="e">
        <f>R38</f>
        <v>#DIV/0!</v>
      </c>
      <c r="F38" s="2531"/>
      <c r="G38" s="1316" t="e">
        <f>T38</f>
        <v>#DIV/0!</v>
      </c>
      <c r="H38" s="2531"/>
      <c r="I38" s="1317" t="e">
        <f>V38</f>
        <v>#DIV/0!</v>
      </c>
      <c r="J38" s="2531"/>
      <c r="K38" s="2533">
        <f>F38+H38+J38</f>
        <v>0</v>
      </c>
      <c r="L38" s="2945"/>
      <c r="M38" s="2946"/>
      <c r="N38" s="2946"/>
      <c r="O38" s="2946"/>
      <c r="P38" s="3290" t="str">
        <f>A38</f>
        <v>比较价值（元/平方米）</v>
      </c>
      <c r="Q38" s="3290"/>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 thickBot="1">
      <c r="A39" s="449" t="s">
        <v>2538</v>
      </c>
      <c r="B39" s="450"/>
      <c r="C39" s="1319" t="e">
        <f>R39</f>
        <v>#DIV/0!</v>
      </c>
      <c r="D39" s="1319"/>
      <c r="E39" s="1319"/>
      <c r="F39" s="1319"/>
      <c r="G39" s="1319"/>
      <c r="H39" s="1319"/>
      <c r="I39" s="1319"/>
      <c r="J39" s="1319"/>
      <c r="K39" s="577"/>
      <c r="L39" s="2945"/>
      <c r="M39" s="2946"/>
      <c r="N39" s="2946"/>
      <c r="O39" s="2946"/>
      <c r="P39" s="3284" t="str">
        <f>A39</f>
        <v>估价对象XX用房的比较价值（楼面单价，元/平方米）</v>
      </c>
      <c r="Q39" s="3285"/>
      <c r="R39" s="3382" t="e">
        <f>IF(F1="售价",ROUND(IF(D38="简单平均",AVERAGE(R38:W38),R38*F38+T38*H38+V38*J38),0),ROUND(IF(D38="简单平均",AVERAGE(R38:V38),R38*F38+T38*H38+V38*J38),1))</f>
        <v>#DIV/0!</v>
      </c>
      <c r="S39" s="3382"/>
      <c r="T39" s="3382"/>
      <c r="U39" s="3382"/>
      <c r="V39" s="3382"/>
      <c r="W39" s="3382"/>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2.2" thickBot="1">
      <c r="A47" s="1322" t="s">
        <v>2542</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4.4">
      <c r="A48" s="462" t="s">
        <v>2543</v>
      </c>
      <c r="B48" s="463"/>
      <c r="C48" s="1339" t="str">
        <f>YEAR(C7)&amp;"-"&amp;MONTH(C7)</f>
        <v>2021-7</v>
      </c>
      <c r="D48" s="1340">
        <f>EDATE(C48,-1)</f>
        <v>44348</v>
      </c>
      <c r="E48" s="1340">
        <f t="shared" ref="E48:O48" si="16">EDATE(D48,-1)</f>
        <v>44317</v>
      </c>
      <c r="F48" s="1340">
        <f t="shared" si="16"/>
        <v>44287</v>
      </c>
      <c r="G48" s="1340">
        <f t="shared" si="16"/>
        <v>44256</v>
      </c>
      <c r="H48" s="1340">
        <f t="shared" si="16"/>
        <v>44228</v>
      </c>
      <c r="I48" s="1340">
        <f t="shared" si="16"/>
        <v>44197</v>
      </c>
      <c r="J48" s="1340">
        <f t="shared" si="16"/>
        <v>44166</v>
      </c>
      <c r="K48" s="1340">
        <f t="shared" si="16"/>
        <v>44136</v>
      </c>
      <c r="L48" s="1340">
        <f t="shared" si="16"/>
        <v>44105</v>
      </c>
      <c r="M48" s="1340">
        <f t="shared" si="16"/>
        <v>44075</v>
      </c>
      <c r="N48" s="1340">
        <f t="shared" si="16"/>
        <v>44044</v>
      </c>
      <c r="O48" s="1340">
        <f t="shared" si="16"/>
        <v>44013</v>
      </c>
      <c r="P48" s="2980"/>
      <c r="Q48" s="2962"/>
      <c r="R48" s="2962"/>
      <c r="S48" s="2962"/>
      <c r="T48" s="2962"/>
      <c r="U48" s="2962"/>
      <c r="V48" s="2962"/>
      <c r="W48" s="2962"/>
      <c r="X48" s="2962"/>
      <c r="Y48" s="2962"/>
      <c r="Z48" s="2962"/>
      <c r="AA48" s="2962"/>
      <c r="AB48" s="2962"/>
      <c r="AC48" s="2962"/>
    </row>
    <row r="49" spans="1:29" s="113" customFormat="1">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 thickBot="1">
      <c r="A50" s="472" t="s">
        <v>2400</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4.4">
      <c r="A51" s="478" t="s">
        <v>2365</v>
      </c>
      <c r="B51" s="467"/>
      <c r="C51" s="479" t="s">
        <v>2467</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4.4"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ht="14.4">
      <c r="A53" s="484" t="s">
        <v>2403</v>
      </c>
      <c r="B53" s="485" t="s">
        <v>2369</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4.4"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9.4" thickTop="1">
      <c r="A55" s="491"/>
      <c r="B55" s="495" t="s">
        <v>2372</v>
      </c>
      <c r="C55" s="496" t="s">
        <v>2404</v>
      </c>
      <c r="D55" s="496" t="s">
        <v>2405</v>
      </c>
      <c r="E55" s="496" t="s">
        <v>2406</v>
      </c>
      <c r="F55" s="496" t="s">
        <v>2407</v>
      </c>
      <c r="G55" s="496" t="s">
        <v>2408</v>
      </c>
      <c r="H55" s="496" t="s">
        <v>2409</v>
      </c>
      <c r="I55" s="496" t="s">
        <v>2410</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4.4"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4.4"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4.4"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4.4"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4.4"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4.4"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 thickTop="1">
      <c r="A65" s="491"/>
      <c r="B65" s="495" t="s">
        <v>2418</v>
      </c>
      <c r="C65" s="535" t="s">
        <v>2412</v>
      </c>
      <c r="D65" s="535" t="s">
        <v>2413</v>
      </c>
      <c r="E65" s="535" t="s">
        <v>2414</v>
      </c>
      <c r="F65" s="535" t="s">
        <v>2415</v>
      </c>
      <c r="G65" s="535" t="s">
        <v>2416</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 thickTop="1">
      <c r="A67" s="491"/>
      <c r="B67" s="503" t="s">
        <v>2504</v>
      </c>
      <c r="C67" s="616" t="s">
        <v>2490</v>
      </c>
      <c r="D67" s="616" t="s">
        <v>2491</v>
      </c>
      <c r="E67" s="616" t="s">
        <v>2492</v>
      </c>
      <c r="F67" s="616" t="s">
        <v>2493</v>
      </c>
      <c r="G67" s="616" t="s">
        <v>2494</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 thickTop="1">
      <c r="A69" s="491"/>
      <c r="B69" s="495" t="s">
        <v>2424</v>
      </c>
      <c r="C69" s="535" t="s">
        <v>2412</v>
      </c>
      <c r="D69" s="535" t="s">
        <v>2413</v>
      </c>
      <c r="E69" s="535" t="s">
        <v>2414</v>
      </c>
      <c r="F69" s="535" t="s">
        <v>2415</v>
      </c>
      <c r="G69" s="535" t="s">
        <v>2416</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 thickTop="1">
      <c r="A71" s="491"/>
      <c r="B71" s="495" t="s">
        <v>2544</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4.4"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4.4"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4.4"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4.4"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4.4"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4.4"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9.4" thickTop="1">
      <c r="A79" s="484" t="s">
        <v>2378</v>
      </c>
      <c r="B79" s="485" t="s">
        <v>2545</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 thickTop="1">
      <c r="A81" s="491"/>
      <c r="B81" s="495" t="s">
        <v>2546</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4.4"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2431</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2548</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4.4"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2550</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2551</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4.4"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4.4"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4.4"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4.4"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4.4"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4.4"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4.4"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4" customFormat="1" ht="28.5" customHeight="1" thickBot="1">
      <c r="A1" s="1383" t="s">
        <v>2522</v>
      </c>
      <c r="B1" s="1384"/>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2459</v>
      </c>
      <c r="D3" s="359">
        <f>SUMIF('数据-汇总表'!$C19:$C33,D1,'数据-汇总表'!$E19:$E33)</f>
        <v>0</v>
      </c>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4.4">
      <c r="A4" s="361" t="s">
        <v>2460</v>
      </c>
      <c r="B4" s="362"/>
      <c r="C4" s="3287" t="s">
        <v>2461</v>
      </c>
      <c r="D4" s="3300"/>
      <c r="E4" s="3301" t="s">
        <v>2462</v>
      </c>
      <c r="F4" s="3302"/>
      <c r="G4" s="3287" t="s">
        <v>2463</v>
      </c>
      <c r="H4" s="3300"/>
      <c r="I4" s="3287" t="s">
        <v>2464</v>
      </c>
      <c r="J4" s="3300"/>
      <c r="K4" s="567" t="s">
        <v>2465</v>
      </c>
      <c r="L4" s="2936"/>
      <c r="M4" s="2937"/>
      <c r="N4" s="2937"/>
      <c r="O4" s="2937"/>
      <c r="P4" s="3303" t="s">
        <v>2466</v>
      </c>
      <c r="Q4" s="3304"/>
      <c r="R4" s="3309" t="s">
        <v>2462</v>
      </c>
      <c r="S4" s="3310"/>
      <c r="T4" s="3309" t="s">
        <v>2463</v>
      </c>
      <c r="U4" s="3310"/>
      <c r="V4" s="3296" t="s">
        <v>2464</v>
      </c>
      <c r="W4" s="3296"/>
      <c r="X4" s="1532"/>
      <c r="Y4" s="3309" t="s">
        <v>2466</v>
      </c>
      <c r="Z4" s="3310"/>
      <c r="AA4" s="3297" t="s">
        <v>2462</v>
      </c>
      <c r="AB4" s="3298" t="s">
        <v>2463</v>
      </c>
      <c r="AC4" s="3297" t="s">
        <v>2464</v>
      </c>
    </row>
    <row r="5" spans="1:29">
      <c r="A5" s="364"/>
      <c r="B5" s="365"/>
      <c r="C5" s="3317" t="s">
        <v>2357</v>
      </c>
      <c r="D5" s="3318"/>
      <c r="E5" s="3325" t="s">
        <v>2358</v>
      </c>
      <c r="F5" s="3326"/>
      <c r="G5" s="3317" t="s">
        <v>2359</v>
      </c>
      <c r="H5" s="3318"/>
      <c r="I5" s="3317" t="s">
        <v>2360</v>
      </c>
      <c r="J5" s="3318"/>
      <c r="K5" s="567"/>
      <c r="L5" s="2936"/>
      <c r="M5" s="2937"/>
      <c r="N5" s="2937"/>
      <c r="O5" s="2937"/>
      <c r="P5" s="3305"/>
      <c r="Q5" s="3306"/>
      <c r="R5" s="3311"/>
      <c r="S5" s="3312"/>
      <c r="T5" s="3311"/>
      <c r="U5" s="3312"/>
      <c r="V5" s="3296"/>
      <c r="W5" s="3296"/>
      <c r="X5" s="1532"/>
      <c r="Y5" s="3311"/>
      <c r="Z5" s="3312"/>
      <c r="AA5" s="3298"/>
      <c r="AB5" s="3298"/>
      <c r="AC5" s="3298"/>
    </row>
    <row r="6" spans="1:29" ht="15" thickBot="1">
      <c r="A6" s="366"/>
      <c r="B6" s="367"/>
      <c r="C6" s="3315" t="s">
        <v>2361</v>
      </c>
      <c r="D6" s="3316"/>
      <c r="E6" s="3323" t="s">
        <v>2361</v>
      </c>
      <c r="F6" s="3324"/>
      <c r="G6" s="3315" t="s">
        <v>2361</v>
      </c>
      <c r="H6" s="3316"/>
      <c r="I6" s="3315" t="s">
        <v>2361</v>
      </c>
      <c r="J6" s="3316"/>
      <c r="K6" s="567" t="s">
        <v>2362</v>
      </c>
      <c r="L6" s="2936"/>
      <c r="M6" s="2937"/>
      <c r="N6" s="2937"/>
      <c r="O6" s="2937"/>
      <c r="P6" s="3307"/>
      <c r="Q6" s="3308"/>
      <c r="R6" s="3311"/>
      <c r="S6" s="3312"/>
      <c r="T6" s="3313"/>
      <c r="U6" s="3314"/>
      <c r="V6" s="3296"/>
      <c r="W6" s="3296"/>
      <c r="X6" s="1532"/>
      <c r="Y6" s="3313"/>
      <c r="Z6" s="3314"/>
      <c r="AA6" s="3299"/>
      <c r="AB6" s="3299"/>
      <c r="AC6" s="3299"/>
    </row>
    <row r="7" spans="1:29" s="113" customFormat="1" ht="15" thickBot="1">
      <c r="A7" s="368" t="s">
        <v>2363</v>
      </c>
      <c r="B7" s="369"/>
      <c r="C7" s="370">
        <f>'数据-取费表'!B2</f>
        <v>44397</v>
      </c>
      <c r="D7" s="371">
        <v>100</v>
      </c>
      <c r="E7" s="372"/>
      <c r="F7" s="373">
        <f>SUMIF(46:46,YEAR(E7)&amp;"-"&amp;MONTH(E7),47:47)</f>
        <v>0</v>
      </c>
      <c r="G7" s="2152"/>
      <c r="H7" s="371">
        <f>SUMIF(46:46,YEAR(G7)&amp;"-"&amp;MONTH(G7),47:47)</f>
        <v>0</v>
      </c>
      <c r="I7" s="372"/>
      <c r="J7" s="371">
        <f>SUMIF(46:46,YEAR(I7)&amp;"-"&amp;MONTH(I7),47:47)</f>
        <v>0</v>
      </c>
      <c r="K7" s="568"/>
      <c r="L7" s="2938"/>
      <c r="M7" s="2939"/>
      <c r="N7" s="2939"/>
      <c r="O7" s="2939"/>
      <c r="P7" s="3319" t="s">
        <v>2364</v>
      </c>
      <c r="Q7" s="3321"/>
      <c r="R7" s="710" t="s">
        <v>17</v>
      </c>
      <c r="S7" s="711">
        <f t="shared" ref="S7:S14" si="0">F7</f>
        <v>0</v>
      </c>
      <c r="T7" s="710" t="s">
        <v>17</v>
      </c>
      <c r="U7" s="711">
        <f t="shared" ref="U7:U14" si="1">H7</f>
        <v>0</v>
      </c>
      <c r="V7" s="710" t="s">
        <v>17</v>
      </c>
      <c r="W7" s="711">
        <f t="shared" ref="W7:W14" si="2">J7</f>
        <v>0</v>
      </c>
      <c r="X7" s="712"/>
      <c r="Y7" s="3319" t="s">
        <v>2364</v>
      </c>
      <c r="Z7" s="3320"/>
      <c r="AA7" s="713" t="e">
        <f>D7/F7</f>
        <v>#DIV/0!</v>
      </c>
      <c r="AB7" s="713" t="e">
        <f>D7/H7</f>
        <v>#DIV/0!</v>
      </c>
      <c r="AC7" s="713" t="e">
        <f>D7/J7</f>
        <v>#DIV/0!</v>
      </c>
    </row>
    <row r="8" spans="1:29" s="113" customFormat="1" ht="1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19" t="s">
        <v>2367</v>
      </c>
      <c r="Q8" s="3320"/>
      <c r="R8" s="710" t="s">
        <v>17</v>
      </c>
      <c r="S8" s="711">
        <f t="shared" si="0"/>
        <v>0</v>
      </c>
      <c r="T8" s="710" t="s">
        <v>17</v>
      </c>
      <c r="U8" s="711">
        <f t="shared" si="1"/>
        <v>0</v>
      </c>
      <c r="V8" s="710" t="s">
        <v>17</v>
      </c>
      <c r="W8" s="711">
        <f t="shared" si="2"/>
        <v>0</v>
      </c>
      <c r="X8" s="712"/>
      <c r="Y8" s="3319" t="s">
        <v>2367</v>
      </c>
      <c r="Z8" s="3320"/>
      <c r="AA8" s="713" t="e">
        <f t="shared" ref="AA8:AA34" si="3">D8/F8</f>
        <v>#DIV/0!</v>
      </c>
      <c r="AB8" s="713" t="e">
        <f t="shared" ref="AB8:AB34" si="4">D8/H8</f>
        <v>#DIV/0!</v>
      </c>
      <c r="AC8" s="713" t="e">
        <f t="shared" ref="AC8:AC34" si="5">D8/J8</f>
        <v>#DIV/0!</v>
      </c>
    </row>
    <row r="9" spans="1:29" s="113" customFormat="1" ht="14.4">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290" t="s">
        <v>2370</v>
      </c>
      <c r="Q9" s="1520" t="str">
        <f t="shared" ref="Q9:Q14" si="6">B9</f>
        <v>用途</v>
      </c>
      <c r="R9" s="710" t="s">
        <v>17</v>
      </c>
      <c r="S9" s="711">
        <f t="shared" si="0"/>
        <v>100</v>
      </c>
      <c r="T9" s="710" t="s">
        <v>17</v>
      </c>
      <c r="U9" s="711">
        <f t="shared" si="1"/>
        <v>100</v>
      </c>
      <c r="V9" s="710" t="s">
        <v>17</v>
      </c>
      <c r="W9" s="711">
        <f t="shared" si="2"/>
        <v>100</v>
      </c>
      <c r="X9" s="712"/>
      <c r="Y9" s="3187" t="s">
        <v>2371</v>
      </c>
      <c r="Z9" s="55" t="str">
        <f t="shared" ref="Z9:Z14" si="7">Q9</f>
        <v>用途</v>
      </c>
      <c r="AA9" s="713">
        <f t="shared" si="3"/>
        <v>1</v>
      </c>
      <c r="AB9" s="713">
        <f t="shared" si="4"/>
        <v>1</v>
      </c>
      <c r="AC9" s="713">
        <f t="shared" si="5"/>
        <v>1</v>
      </c>
    </row>
    <row r="10" spans="1:29" s="386" customFormat="1" ht="28.8">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290"/>
      <c r="Q10" s="1520"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290"/>
      <c r="Q11" s="1520">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290"/>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6"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3"/>
      <c r="M13" s="2937"/>
      <c r="N13" s="2937"/>
      <c r="O13" s="2995"/>
      <c r="P13" s="3290"/>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96.6">
      <c r="A14" s="399" t="s">
        <v>2374</v>
      </c>
      <c r="B14" s="65" t="s">
        <v>2524</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292" t="s">
        <v>2375</v>
      </c>
      <c r="Q14" s="1529" t="str">
        <f t="shared" si="6"/>
        <v>交通便捷度</v>
      </c>
      <c r="R14" s="714" t="s">
        <v>17</v>
      </c>
      <c r="S14" s="715">
        <f t="shared" si="0"/>
        <v>100</v>
      </c>
      <c r="T14" s="714" t="s">
        <v>17</v>
      </c>
      <c r="U14" s="715">
        <f t="shared" si="1"/>
        <v>100</v>
      </c>
      <c r="V14" s="714" t="s">
        <v>17</v>
      </c>
      <c r="W14" s="715">
        <f t="shared" si="2"/>
        <v>100</v>
      </c>
      <c r="X14" s="1532"/>
      <c r="Y14" s="3292" t="s">
        <v>2375</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3"/>
      <c r="M15" s="2937"/>
      <c r="N15" s="2937"/>
      <c r="O15" s="2995"/>
      <c r="P15" s="3293"/>
      <c r="Q15" s="1529"/>
      <c r="R15" s="714"/>
      <c r="S15" s="715"/>
      <c r="T15" s="714"/>
      <c r="U15" s="715"/>
      <c r="V15" s="714"/>
      <c r="W15" s="715"/>
      <c r="X15" s="1532"/>
      <c r="Y15" s="3293"/>
      <c r="Z15" s="1533"/>
      <c r="AA15" s="1530">
        <v>1</v>
      </c>
      <c r="AB15" s="1530">
        <v>1</v>
      </c>
      <c r="AC15" s="1530">
        <v>1</v>
      </c>
    </row>
    <row r="16" spans="1:29" ht="41.4">
      <c r="A16" s="387"/>
      <c r="B16" s="410" t="s">
        <v>2503</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293"/>
      <c r="Q16" s="1529" t="str">
        <f>B16</f>
        <v>公共配套设施</v>
      </c>
      <c r="R16" s="714" t="s">
        <v>17</v>
      </c>
      <c r="S16" s="715">
        <f>F16</f>
        <v>100</v>
      </c>
      <c r="T16" s="714" t="s">
        <v>17</v>
      </c>
      <c r="U16" s="715">
        <f>H16</f>
        <v>100</v>
      </c>
      <c r="V16" s="714" t="s">
        <v>17</v>
      </c>
      <c r="W16" s="715">
        <f>J16</f>
        <v>100</v>
      </c>
      <c r="X16" s="1532"/>
      <c r="Y16" s="3293"/>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3"/>
      <c r="M17" s="2937"/>
      <c r="N17" s="2937"/>
      <c r="O17" s="2995"/>
      <c r="P17" s="3293"/>
      <c r="Q17" s="1529"/>
      <c r="R17" s="714"/>
      <c r="S17" s="715"/>
      <c r="T17" s="714"/>
      <c r="U17" s="715"/>
      <c r="V17" s="714"/>
      <c r="W17" s="715"/>
      <c r="X17" s="1532"/>
      <c r="Y17" s="3293"/>
      <c r="Z17" s="1533"/>
      <c r="AA17" s="1530">
        <v>1</v>
      </c>
      <c r="AB17" s="1530">
        <v>1</v>
      </c>
      <c r="AC17" s="1530">
        <v>1</v>
      </c>
    </row>
    <row r="18" spans="1:29" ht="41.4">
      <c r="A18" s="387"/>
      <c r="B18" s="1287" t="s">
        <v>2504</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293"/>
      <c r="Q18" s="1529" t="str">
        <f>B18</f>
        <v>基础设施水平</v>
      </c>
      <c r="R18" s="714" t="s">
        <v>17</v>
      </c>
      <c r="S18" s="715">
        <f>F18</f>
        <v>100</v>
      </c>
      <c r="T18" s="714" t="s">
        <v>17</v>
      </c>
      <c r="U18" s="715">
        <f>H18</f>
        <v>100</v>
      </c>
      <c r="V18" s="714" t="s">
        <v>17</v>
      </c>
      <c r="W18" s="715">
        <f>J18</f>
        <v>100</v>
      </c>
      <c r="X18" s="1532"/>
      <c r="Y18" s="3293"/>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3"/>
      <c r="M19" s="2937"/>
      <c r="N19" s="2937"/>
      <c r="O19" s="2995"/>
      <c r="P19" s="3293"/>
      <c r="Q19" s="1529"/>
      <c r="R19" s="714"/>
      <c r="S19" s="715"/>
      <c r="T19" s="714"/>
      <c r="U19" s="715"/>
      <c r="V19" s="714"/>
      <c r="W19" s="715"/>
      <c r="X19" s="1532"/>
      <c r="Y19" s="3293"/>
      <c r="Z19" s="1533"/>
      <c r="AA19" s="1530">
        <v>1</v>
      </c>
      <c r="AB19" s="1530">
        <v>1</v>
      </c>
      <c r="AC19" s="1530">
        <v>1</v>
      </c>
    </row>
    <row r="20" spans="1:29" ht="55.2">
      <c r="A20" s="387"/>
      <c r="B20" s="410" t="s">
        <v>2525</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293"/>
      <c r="Q20" s="1529" t="str">
        <f>B20</f>
        <v>自然及人文环境</v>
      </c>
      <c r="R20" s="714" t="s">
        <v>17</v>
      </c>
      <c r="S20" s="715">
        <f>F20</f>
        <v>100</v>
      </c>
      <c r="T20" s="714" t="s">
        <v>17</v>
      </c>
      <c r="U20" s="715">
        <f>H20</f>
        <v>100</v>
      </c>
      <c r="V20" s="714" t="s">
        <v>17</v>
      </c>
      <c r="W20" s="715">
        <f>J20</f>
        <v>100</v>
      </c>
      <c r="X20" s="1532"/>
      <c r="Y20" s="3293"/>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3"/>
      <c r="M21" s="2937"/>
      <c r="N21" s="2937"/>
      <c r="O21" s="2995"/>
      <c r="P21" s="3293"/>
      <c r="Q21" s="1529"/>
      <c r="R21" s="714"/>
      <c r="S21" s="715"/>
      <c r="T21" s="714"/>
      <c r="U21" s="715"/>
      <c r="V21" s="714"/>
      <c r="W21" s="715"/>
      <c r="X21" s="1532"/>
      <c r="Y21" s="3293"/>
      <c r="Z21" s="1533"/>
      <c r="AA21" s="1530">
        <v>1</v>
      </c>
      <c r="AB21" s="1530">
        <v>1</v>
      </c>
      <c r="AC21" s="1530">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293"/>
      <c r="Q22" s="1529" t="str">
        <f>B22</f>
        <v>楼层</v>
      </c>
      <c r="R22" s="714" t="s">
        <v>17</v>
      </c>
      <c r="S22" s="715">
        <f>F22</f>
        <v>100</v>
      </c>
      <c r="T22" s="714" t="s">
        <v>17</v>
      </c>
      <c r="U22" s="715">
        <f>H22</f>
        <v>100</v>
      </c>
      <c r="V22" s="714" t="s">
        <v>17</v>
      </c>
      <c r="W22" s="715">
        <f>J22</f>
        <v>100</v>
      </c>
      <c r="X22" s="1532"/>
      <c r="Y22" s="3293"/>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293"/>
      <c r="Q23" s="1529">
        <f>B23</f>
        <v>111</v>
      </c>
      <c r="R23" s="714" t="s">
        <v>17</v>
      </c>
      <c r="S23" s="715">
        <f>F23</f>
        <v>100</v>
      </c>
      <c r="T23" s="714" t="s">
        <v>17</v>
      </c>
      <c r="U23" s="715">
        <f>H23</f>
        <v>100</v>
      </c>
      <c r="V23" s="714" t="s">
        <v>17</v>
      </c>
      <c r="W23" s="715">
        <f>J23</f>
        <v>100</v>
      </c>
      <c r="X23" s="1532"/>
      <c r="Y23" s="3293"/>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293"/>
      <c r="Q24" s="1529">
        <f t="shared" ref="Q24:Q34" si="11">B24</f>
        <v>111</v>
      </c>
      <c r="R24" s="714" t="s">
        <v>17</v>
      </c>
      <c r="S24" s="715">
        <f>F24</f>
        <v>100</v>
      </c>
      <c r="T24" s="714" t="s">
        <v>17</v>
      </c>
      <c r="U24" s="715">
        <f>H24</f>
        <v>100</v>
      </c>
      <c r="V24" s="714" t="s">
        <v>17</v>
      </c>
      <c r="W24" s="715">
        <f>J24</f>
        <v>100</v>
      </c>
      <c r="X24" s="1532"/>
      <c r="Y24" s="3293"/>
      <c r="Z24" s="1533">
        <f>Q24</f>
        <v>111</v>
      </c>
      <c r="AA24" s="1530">
        <f t="shared" si="3"/>
        <v>1</v>
      </c>
      <c r="AB24" s="1530">
        <f t="shared" si="4"/>
        <v>1</v>
      </c>
      <c r="AC24" s="1530">
        <f t="shared" si="5"/>
        <v>1</v>
      </c>
    </row>
    <row r="25" spans="1:29" s="113" customFormat="1" ht="15.6"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8"/>
      <c r="M25" s="2939"/>
      <c r="N25" s="2939"/>
      <c r="O25" s="2993"/>
      <c r="P25" s="3293"/>
      <c r="Q25" s="1520">
        <f t="shared" si="11"/>
        <v>111</v>
      </c>
      <c r="R25" s="710" t="s">
        <v>17</v>
      </c>
      <c r="S25" s="711">
        <f>F25</f>
        <v>100</v>
      </c>
      <c r="T25" s="710" t="s">
        <v>17</v>
      </c>
      <c r="U25" s="711">
        <f>H25</f>
        <v>100</v>
      </c>
      <c r="V25" s="710" t="s">
        <v>17</v>
      </c>
      <c r="W25" s="711">
        <f>J25</f>
        <v>100</v>
      </c>
      <c r="X25" s="712"/>
      <c r="Y25" s="3293"/>
      <c r="Z25" s="55">
        <f>Q25</f>
        <v>111</v>
      </c>
      <c r="AA25" s="1530">
        <f>D25/F25</f>
        <v>1</v>
      </c>
      <c r="AB25" s="1530">
        <f>D25/H25</f>
        <v>1</v>
      </c>
      <c r="AC25" s="1530">
        <f>D25/J25</f>
        <v>1</v>
      </c>
    </row>
    <row r="26" spans="1:29" ht="30">
      <c r="A26" s="425" t="s">
        <v>2378</v>
      </c>
      <c r="B26" s="67" t="s">
        <v>2529</v>
      </c>
      <c r="C26" s="2145"/>
      <c r="D26" s="426">
        <v>100</v>
      </c>
      <c r="E26" s="2145"/>
      <c r="F26" s="623">
        <f>SUMIF(77:77,E26,78:78)-SUMIF(77:77,C26,78:78)+100</f>
        <v>100</v>
      </c>
      <c r="G26" s="2145"/>
      <c r="H26" s="426">
        <f>SUMIF(77:77,G26,78:78)-SUMIF(77:77,C26,78:78)+100</f>
        <v>100</v>
      </c>
      <c r="I26" s="2145"/>
      <c r="J26" s="426">
        <f>SUMIF(77:77,I26,78:78)-SUMIF(77:77,C26,78:78)+100</f>
        <v>100</v>
      </c>
      <c r="K26" s="569"/>
      <c r="L26" s="2943"/>
      <c r="M26" s="2937"/>
      <c r="N26" s="2937"/>
      <c r="O26" s="2995"/>
      <c r="P26" s="3294" t="s">
        <v>2380</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295" t="s">
        <v>2380</v>
      </c>
      <c r="Z26" s="1533" t="str">
        <f t="shared" ref="Z26:Z34" si="15">Q26</f>
        <v>公共部分装修</v>
      </c>
      <c r="AA26" s="1530">
        <f t="shared" si="3"/>
        <v>1</v>
      </c>
      <c r="AB26" s="1530">
        <f t="shared" si="4"/>
        <v>1</v>
      </c>
      <c r="AC26" s="1530">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0" t="e">
        <f t="shared" si="3"/>
        <v>#N/A</v>
      </c>
      <c r="AB27" s="1530" t="e">
        <f t="shared" si="4"/>
        <v>#N/A</v>
      </c>
      <c r="AC27" s="1530"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295"/>
      <c r="Q28" s="1529" t="str">
        <f t="shared" si="11"/>
        <v>物业等级</v>
      </c>
      <c r="R28" s="714" t="s">
        <v>17</v>
      </c>
      <c r="S28" s="715">
        <f t="shared" si="12"/>
        <v>100</v>
      </c>
      <c r="T28" s="714" t="s">
        <v>17</v>
      </c>
      <c r="U28" s="715">
        <f t="shared" si="13"/>
        <v>100</v>
      </c>
      <c r="V28" s="714" t="s">
        <v>17</v>
      </c>
      <c r="W28" s="715">
        <f t="shared" si="14"/>
        <v>100</v>
      </c>
      <c r="X28" s="1532"/>
      <c r="Y28" s="3295"/>
      <c r="Z28" s="1533" t="str">
        <f t="shared" si="15"/>
        <v>物业等级</v>
      </c>
      <c r="AA28" s="1530">
        <f t="shared" si="3"/>
        <v>1</v>
      </c>
      <c r="AB28" s="1530">
        <f t="shared" si="4"/>
        <v>1</v>
      </c>
      <c r="AC28" s="1530">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295"/>
      <c r="Q29" s="1529" t="str">
        <f t="shared" si="11"/>
        <v>有无电梯</v>
      </c>
      <c r="R29" s="714" t="s">
        <v>17</v>
      </c>
      <c r="S29" s="715">
        <f t="shared" si="12"/>
        <v>100</v>
      </c>
      <c r="T29" s="714" t="s">
        <v>17</v>
      </c>
      <c r="U29" s="715">
        <f t="shared" si="13"/>
        <v>100</v>
      </c>
      <c r="V29" s="714" t="s">
        <v>17</v>
      </c>
      <c r="W29" s="715">
        <f t="shared" si="14"/>
        <v>100</v>
      </c>
      <c r="X29" s="1532"/>
      <c r="Y29" s="3295"/>
      <c r="Z29" s="1533" t="str">
        <f t="shared" si="15"/>
        <v>有无电梯</v>
      </c>
      <c r="AA29" s="1530">
        <f t="shared" si="3"/>
        <v>1</v>
      </c>
      <c r="AB29" s="1530">
        <f t="shared" si="4"/>
        <v>1</v>
      </c>
      <c r="AC29" s="1530">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295"/>
      <c r="Q30" s="1529" t="str">
        <f t="shared" si="11"/>
        <v>建筑面积</v>
      </c>
      <c r="R30" s="714" t="s">
        <v>17</v>
      </c>
      <c r="S30" s="715" t="e">
        <f t="shared" si="12"/>
        <v>#N/A</v>
      </c>
      <c r="T30" s="714" t="s">
        <v>17</v>
      </c>
      <c r="U30" s="715" t="e">
        <f t="shared" si="13"/>
        <v>#N/A</v>
      </c>
      <c r="V30" s="714" t="s">
        <v>17</v>
      </c>
      <c r="W30" s="715" t="e">
        <f t="shared" si="14"/>
        <v>#N/A</v>
      </c>
      <c r="X30" s="1532"/>
      <c r="Y30" s="3295"/>
      <c r="Z30" s="1533" t="str">
        <f t="shared" si="15"/>
        <v>建筑面积</v>
      </c>
      <c r="AA30" s="1530" t="e">
        <f t="shared" si="3"/>
        <v>#N/A</v>
      </c>
      <c r="AB30" s="1530" t="e">
        <f t="shared" si="4"/>
        <v>#N/A</v>
      </c>
      <c r="AC30" s="1530"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295"/>
      <c r="Q31" s="1520"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295" t="s">
        <v>2380</v>
      </c>
      <c r="Q32" s="1529">
        <f t="shared" si="11"/>
        <v>111</v>
      </c>
      <c r="R32" s="714" t="s">
        <v>17</v>
      </c>
      <c r="S32" s="715">
        <f t="shared" si="12"/>
        <v>100</v>
      </c>
      <c r="T32" s="714" t="s">
        <v>17</v>
      </c>
      <c r="U32" s="715">
        <f t="shared" si="13"/>
        <v>100</v>
      </c>
      <c r="V32" s="714" t="s">
        <v>17</v>
      </c>
      <c r="W32" s="715">
        <f t="shared" si="14"/>
        <v>100</v>
      </c>
      <c r="X32" s="1532"/>
      <c r="Y32" s="3295" t="s">
        <v>2380</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295"/>
      <c r="Q33" s="1529">
        <f t="shared" si="11"/>
        <v>111</v>
      </c>
      <c r="R33" s="714" t="s">
        <v>17</v>
      </c>
      <c r="S33" s="715">
        <f t="shared" si="12"/>
        <v>100</v>
      </c>
      <c r="T33" s="714" t="s">
        <v>17</v>
      </c>
      <c r="U33" s="715">
        <f t="shared" si="13"/>
        <v>100</v>
      </c>
      <c r="V33" s="714" t="s">
        <v>17</v>
      </c>
      <c r="W33" s="715">
        <f t="shared" si="14"/>
        <v>100</v>
      </c>
      <c r="X33" s="1532"/>
      <c r="Y33" s="3295"/>
      <c r="Z33" s="1533">
        <f t="shared" si="15"/>
        <v>111</v>
      </c>
      <c r="AA33" s="1530">
        <f t="shared" si="3"/>
        <v>1</v>
      </c>
      <c r="AB33" s="1530">
        <f t="shared" si="4"/>
        <v>1</v>
      </c>
      <c r="AC33" s="1530">
        <f t="shared" si="5"/>
        <v>1</v>
      </c>
    </row>
    <row r="34" spans="1:30" ht="15.6"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3"/>
      <c r="M34" s="2937"/>
      <c r="N34" s="2937"/>
      <c r="O34" s="2995"/>
      <c r="P34" s="3295"/>
      <c r="Q34" s="1529">
        <f t="shared" si="11"/>
        <v>111</v>
      </c>
      <c r="R34" s="714" t="s">
        <v>17</v>
      </c>
      <c r="S34" s="715">
        <f t="shared" si="12"/>
        <v>100</v>
      </c>
      <c r="T34" s="714" t="s">
        <v>17</v>
      </c>
      <c r="U34" s="715">
        <f t="shared" si="13"/>
        <v>100</v>
      </c>
      <c r="V34" s="714" t="s">
        <v>17</v>
      </c>
      <c r="W34" s="715">
        <f t="shared" si="14"/>
        <v>100</v>
      </c>
      <c r="X34" s="1532"/>
      <c r="Y34" s="3295"/>
      <c r="Z34" s="1533">
        <f t="shared" si="15"/>
        <v>111</v>
      </c>
      <c r="AA34" s="1530">
        <f t="shared" si="3"/>
        <v>1</v>
      </c>
      <c r="AB34" s="1530">
        <f t="shared" si="4"/>
        <v>1</v>
      </c>
      <c r="AC34" s="1530">
        <f t="shared" si="5"/>
        <v>1</v>
      </c>
    </row>
    <row r="35" spans="1:30" ht="14.4">
      <c r="A35" s="438" t="s">
        <v>2392</v>
      </c>
      <c r="B35" s="439"/>
      <c r="C35" s="1310" t="s">
        <v>1</v>
      </c>
      <c r="D35" s="1311"/>
      <c r="E35" s="1312"/>
      <c r="F35" s="1313"/>
      <c r="G35" s="1314"/>
      <c r="H35" s="1315"/>
      <c r="I35" s="1312"/>
      <c r="J35" s="1315"/>
      <c r="K35" s="723"/>
      <c r="L35" s="2945"/>
      <c r="M35" s="2946"/>
      <c r="N35" s="2937"/>
      <c r="O35" s="2946"/>
      <c r="P35" s="3290" t="str">
        <f>A35</f>
        <v>成交单价（元/平方米）</v>
      </c>
      <c r="Q35" s="3290"/>
      <c r="R35" s="3359">
        <f>E35</f>
        <v>0</v>
      </c>
      <c r="S35" s="3359"/>
      <c r="T35" s="3359">
        <f>G35</f>
        <v>0</v>
      </c>
      <c r="U35" s="3359"/>
      <c r="V35" s="3359">
        <f>I35</f>
        <v>0</v>
      </c>
      <c r="W35" s="3359"/>
      <c r="X35" s="699"/>
      <c r="Y35" s="721"/>
      <c r="Z35" s="699"/>
      <c r="AA35" s="699"/>
      <c r="AB35" s="699"/>
      <c r="AC35" s="699"/>
    </row>
    <row r="36" spans="1:30" ht="15" thickBot="1">
      <c r="A36" s="445" t="s">
        <v>2484</v>
      </c>
      <c r="B36" s="446"/>
      <c r="C36" s="1316" t="e">
        <f>R37</f>
        <v>#DIV/0!</v>
      </c>
      <c r="D36" s="2530" t="s">
        <v>2872</v>
      </c>
      <c r="E36" s="1317" t="e">
        <f>R36</f>
        <v>#DIV/0!</v>
      </c>
      <c r="F36" s="2531"/>
      <c r="G36" s="1316" t="e">
        <f>T36</f>
        <v>#DIV/0!</v>
      </c>
      <c r="H36" s="2531"/>
      <c r="I36" s="1317" t="e">
        <f>V36</f>
        <v>#DIV/0!</v>
      </c>
      <c r="J36" s="2531"/>
      <c r="K36" s="2533">
        <f>F36+H36+J36</f>
        <v>0</v>
      </c>
      <c r="L36" s="2945"/>
      <c r="M36" s="2946"/>
      <c r="N36" s="2937"/>
      <c r="O36" s="2946"/>
      <c r="P36" s="3290" t="str">
        <f>A36</f>
        <v>比较价值（元/平方米）</v>
      </c>
      <c r="Q36" s="3290"/>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 thickBot="1">
      <c r="A37" s="449" t="s">
        <v>2485</v>
      </c>
      <c r="B37" s="450"/>
      <c r="C37" s="1319" t="e">
        <f>R37</f>
        <v>#DIV/0!</v>
      </c>
      <c r="D37" s="1319"/>
      <c r="E37" s="1319"/>
      <c r="F37" s="1319"/>
      <c r="G37" s="1319"/>
      <c r="H37" s="1319"/>
      <c r="I37" s="1319"/>
      <c r="J37" s="1319"/>
      <c r="K37" s="724"/>
      <c r="L37" s="2945"/>
      <c r="M37" s="2946"/>
      <c r="N37" s="2946"/>
      <c r="O37" s="2946"/>
      <c r="P37" s="3284" t="str">
        <f>A37</f>
        <v>估价对象XX用房的比较价值（楼面单价，元/平方米）</v>
      </c>
      <c r="Q37" s="3285"/>
      <c r="R37" s="3382" t="e">
        <f>IF(F1="售价",ROUND(IF(D36="简单平均",AVERAGE(R36:W36),R36*F36+T36*H36+V36*J36),0),ROUND(IF(D36="简单平均",AVERAGE(R36:V36),R36*F36+T36*H36+V36*J36),1))</f>
        <v>#DIV/0!</v>
      </c>
      <c r="S37" s="3382"/>
      <c r="T37" s="3382"/>
      <c r="U37" s="3382"/>
      <c r="V37" s="3382"/>
      <c r="W37" s="3382"/>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2.2" thickBot="1">
      <c r="A45" s="703" t="s">
        <v>2489</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4.4">
      <c r="A46" s="462" t="s">
        <v>2363</v>
      </c>
      <c r="B46" s="463"/>
      <c r="C46" s="1339" t="str">
        <f>YEAR(C7)&amp;"-"&amp;MONTH(C7)</f>
        <v>2021-7</v>
      </c>
      <c r="D46" s="1340">
        <f>EDATE(C46,-1)</f>
        <v>44348</v>
      </c>
      <c r="E46" s="1340">
        <f t="shared" ref="E46:O46" si="16">EDATE(D46,-1)</f>
        <v>44317</v>
      </c>
      <c r="F46" s="1340">
        <f t="shared" si="16"/>
        <v>44287</v>
      </c>
      <c r="G46" s="1340">
        <f t="shared" si="16"/>
        <v>44256</v>
      </c>
      <c r="H46" s="1340">
        <f t="shared" si="16"/>
        <v>44228</v>
      </c>
      <c r="I46" s="1340">
        <f t="shared" si="16"/>
        <v>44197</v>
      </c>
      <c r="J46" s="1340">
        <f t="shared" si="16"/>
        <v>44166</v>
      </c>
      <c r="K46" s="1340">
        <f t="shared" si="16"/>
        <v>44136</v>
      </c>
      <c r="L46" s="1340">
        <f t="shared" si="16"/>
        <v>44105</v>
      </c>
      <c r="M46" s="1340">
        <f t="shared" si="16"/>
        <v>44075</v>
      </c>
      <c r="N46" s="1340">
        <f t="shared" si="16"/>
        <v>44044</v>
      </c>
      <c r="O46" s="1340">
        <f t="shared" si="16"/>
        <v>44013</v>
      </c>
      <c r="P46" s="2997"/>
      <c r="Q46" s="2962"/>
      <c r="R46" s="2962"/>
      <c r="S46" s="2962"/>
      <c r="T46" s="2962"/>
      <c r="U46" s="2962"/>
      <c r="V46" s="2962"/>
      <c r="W46" s="2962"/>
      <c r="X46" s="2962"/>
      <c r="Y46" s="2962"/>
      <c r="Z46" s="2962"/>
      <c r="AA46" s="2962"/>
      <c r="AB46" s="2962"/>
      <c r="AC46" s="2962"/>
      <c r="AD46" s="2962"/>
    </row>
    <row r="47" spans="1:30" s="113" customFormat="1">
      <c r="A47" s="466"/>
      <c r="B47" s="467"/>
      <c r="C47" s="1338">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 thickBot="1">
      <c r="A48" s="472" t="s">
        <v>2400</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4.4">
      <c r="A49" s="478" t="s">
        <v>2365</v>
      </c>
      <c r="B49" s="467"/>
      <c r="C49" s="479" t="s">
        <v>2467</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4.4"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ht="14.4">
      <c r="A51" s="484" t="s">
        <v>2403</v>
      </c>
      <c r="B51" s="485" t="s">
        <v>2369</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4.4"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9.4" thickTop="1">
      <c r="A53" s="491"/>
      <c r="B53" s="495" t="s">
        <v>2372</v>
      </c>
      <c r="C53" s="496" t="s">
        <v>2404</v>
      </c>
      <c r="D53" s="496" t="s">
        <v>2405</v>
      </c>
      <c r="E53" s="496" t="s">
        <v>2406</v>
      </c>
      <c r="F53" s="496" t="s">
        <v>2407</v>
      </c>
      <c r="G53" s="496" t="s">
        <v>2408</v>
      </c>
      <c r="H53" s="496" t="s">
        <v>2409</v>
      </c>
      <c r="I53" s="496" t="s">
        <v>2410</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4.4"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4.4"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4.4"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4.4"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4.4"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4.4"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9.4" thickTop="1">
      <c r="A63" s="491"/>
      <c r="B63" s="495" t="s">
        <v>2555</v>
      </c>
      <c r="C63" s="535" t="s">
        <v>2412</v>
      </c>
      <c r="D63" s="535" t="s">
        <v>2413</v>
      </c>
      <c r="E63" s="535" t="s">
        <v>2414</v>
      </c>
      <c r="F63" s="535" t="s">
        <v>2415</v>
      </c>
      <c r="G63" s="535" t="s">
        <v>2416</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 thickTop="1">
      <c r="A65" s="491"/>
      <c r="B65" s="503" t="s">
        <v>2504</v>
      </c>
      <c r="C65" s="616" t="s">
        <v>2490</v>
      </c>
      <c r="D65" s="616" t="s">
        <v>2491</v>
      </c>
      <c r="E65" s="616" t="s">
        <v>2492</v>
      </c>
      <c r="F65" s="616" t="s">
        <v>2493</v>
      </c>
      <c r="G65" s="616" t="s">
        <v>2494</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 thickTop="1">
      <c r="A67" s="491"/>
      <c r="B67" s="495" t="s">
        <v>2424</v>
      </c>
      <c r="C67" s="535" t="s">
        <v>2412</v>
      </c>
      <c r="D67" s="535" t="s">
        <v>2413</v>
      </c>
      <c r="E67" s="535" t="s">
        <v>2414</v>
      </c>
      <c r="F67" s="535" t="s">
        <v>2415</v>
      </c>
      <c r="G67" s="535" t="s">
        <v>2416</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 thickTop="1">
      <c r="A69" s="491"/>
      <c r="B69" s="495" t="s">
        <v>2544</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4.4"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4.4"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4.4"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4.4"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4.4"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4.4"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4.4"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2378</v>
      </c>
      <c r="B77" s="485" t="s">
        <v>2431</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2548</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2556</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4.4"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2558</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4.4"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4.4"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4.4"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4.4"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4.4"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4.4"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4.4"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4.4"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2559</v>
      </c>
      <c r="B1" s="355"/>
      <c r="C1" s="356" t="s">
        <v>2609</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4.4">
      <c r="A4" s="361" t="s">
        <v>2460</v>
      </c>
      <c r="B4" s="362"/>
      <c r="C4" s="3287" t="s">
        <v>2461</v>
      </c>
      <c r="D4" s="3300"/>
      <c r="E4" s="3301" t="s">
        <v>2462</v>
      </c>
      <c r="F4" s="3302"/>
      <c r="G4" s="3287" t="s">
        <v>2463</v>
      </c>
      <c r="H4" s="3300"/>
      <c r="I4" s="3287" t="s">
        <v>2464</v>
      </c>
      <c r="J4" s="3300"/>
      <c r="K4" s="567" t="s">
        <v>2465</v>
      </c>
      <c r="L4" s="2936"/>
      <c r="M4" s="2937"/>
      <c r="N4" s="2937"/>
      <c r="O4" s="2937"/>
      <c r="P4" s="3303" t="s">
        <v>2466</v>
      </c>
      <c r="Q4" s="3304"/>
      <c r="R4" s="3309" t="s">
        <v>2462</v>
      </c>
      <c r="S4" s="3310"/>
      <c r="T4" s="3309" t="s">
        <v>2463</v>
      </c>
      <c r="U4" s="3310"/>
      <c r="V4" s="3296" t="s">
        <v>2464</v>
      </c>
      <c r="W4" s="3296"/>
      <c r="X4" s="1532"/>
      <c r="Y4" s="3309" t="s">
        <v>2466</v>
      </c>
      <c r="Z4" s="3310"/>
      <c r="AA4" s="3297" t="s">
        <v>2462</v>
      </c>
      <c r="AB4" s="3298" t="s">
        <v>2463</v>
      </c>
      <c r="AC4" s="3297" t="s">
        <v>2464</v>
      </c>
    </row>
    <row r="5" spans="1:29">
      <c r="A5" s="364"/>
      <c r="B5" s="365"/>
      <c r="C5" s="3317" t="s">
        <v>2357</v>
      </c>
      <c r="D5" s="3318"/>
      <c r="E5" s="3325" t="s">
        <v>2358</v>
      </c>
      <c r="F5" s="3326"/>
      <c r="G5" s="3317" t="s">
        <v>2359</v>
      </c>
      <c r="H5" s="3318"/>
      <c r="I5" s="3317" t="s">
        <v>2360</v>
      </c>
      <c r="J5" s="3318"/>
      <c r="K5" s="567"/>
      <c r="L5" s="2936"/>
      <c r="M5" s="2937"/>
      <c r="N5" s="2937"/>
      <c r="O5" s="2937"/>
      <c r="P5" s="3305"/>
      <c r="Q5" s="3306"/>
      <c r="R5" s="3311"/>
      <c r="S5" s="3312"/>
      <c r="T5" s="3311"/>
      <c r="U5" s="3312"/>
      <c r="V5" s="3296"/>
      <c r="W5" s="3296"/>
      <c r="X5" s="1532"/>
      <c r="Y5" s="3311"/>
      <c r="Z5" s="3312"/>
      <c r="AA5" s="3298"/>
      <c r="AB5" s="3298"/>
      <c r="AC5" s="3298"/>
    </row>
    <row r="6" spans="1:29" ht="15" thickBot="1">
      <c r="A6" s="366"/>
      <c r="B6" s="367"/>
      <c r="C6" s="3383" t="s">
        <v>2610</v>
      </c>
      <c r="D6" s="3384"/>
      <c r="E6" s="3385" t="s">
        <v>2610</v>
      </c>
      <c r="F6" s="3386"/>
      <c r="G6" s="3383" t="s">
        <v>2610</v>
      </c>
      <c r="H6" s="3384"/>
      <c r="I6" s="3383" t="s">
        <v>2610</v>
      </c>
      <c r="J6" s="3384"/>
      <c r="K6" s="567" t="s">
        <v>2362</v>
      </c>
      <c r="L6" s="2936"/>
      <c r="M6" s="2937"/>
      <c r="N6" s="2937"/>
      <c r="O6" s="2937"/>
      <c r="P6" s="3307"/>
      <c r="Q6" s="3308"/>
      <c r="R6" s="3311"/>
      <c r="S6" s="3312"/>
      <c r="T6" s="3313"/>
      <c r="U6" s="3314"/>
      <c r="V6" s="3296"/>
      <c r="W6" s="3296"/>
      <c r="X6" s="1532"/>
      <c r="Y6" s="3313"/>
      <c r="Z6" s="3314"/>
      <c r="AA6" s="3299"/>
      <c r="AB6" s="3299"/>
      <c r="AC6" s="3299"/>
    </row>
    <row r="7" spans="1:29" s="113" customFormat="1" ht="15" thickBot="1">
      <c r="A7" s="368" t="s">
        <v>2363</v>
      </c>
      <c r="B7" s="369"/>
      <c r="C7" s="370">
        <f>'数据-取费表'!B2</f>
        <v>44397</v>
      </c>
      <c r="D7" s="371">
        <v>100</v>
      </c>
      <c r="E7" s="372"/>
      <c r="F7" s="373">
        <f>SUMIF(65:65,YEAR(E7)&amp;"-"&amp;INT((MONTH(E7)+2)/3),66:66)</f>
        <v>0</v>
      </c>
      <c r="G7" s="2152"/>
      <c r="H7" s="371">
        <f>SUMIF(65:65,YEAR(G7)&amp;"-"&amp;INT((MONTH(G7)+2)/3),66:66)</f>
        <v>0</v>
      </c>
      <c r="I7" s="2152"/>
      <c r="J7" s="371">
        <f>SUMIF(65:65,YEAR(I7)&amp;"-"&amp;INT((MONTH(I7)+2)/3),66:66)</f>
        <v>0</v>
      </c>
      <c r="K7" s="568"/>
      <c r="L7" s="2938"/>
      <c r="M7" s="2939"/>
      <c r="N7" s="2939"/>
      <c r="O7" s="2939"/>
      <c r="P7" s="3319" t="s">
        <v>2364</v>
      </c>
      <c r="Q7" s="3321"/>
      <c r="R7" s="710" t="s">
        <v>17</v>
      </c>
      <c r="S7" s="711">
        <f t="shared" ref="S7:S15" si="0">F7</f>
        <v>0</v>
      </c>
      <c r="T7" s="710" t="s">
        <v>17</v>
      </c>
      <c r="U7" s="711">
        <f t="shared" ref="U7:U15" si="1">H7</f>
        <v>0</v>
      </c>
      <c r="V7" s="710" t="s">
        <v>17</v>
      </c>
      <c r="W7" s="711">
        <f t="shared" ref="W7:W15" si="2">J7</f>
        <v>0</v>
      </c>
      <c r="X7" s="712"/>
      <c r="Y7" s="3319" t="s">
        <v>2364</v>
      </c>
      <c r="Z7" s="3320"/>
      <c r="AA7" s="713" t="e">
        <f>D7/F7</f>
        <v>#DIV/0!</v>
      </c>
      <c r="AB7" s="713" t="e">
        <f>D7/H7</f>
        <v>#DIV/0!</v>
      </c>
      <c r="AC7" s="713" t="e">
        <f>D7/J7</f>
        <v>#DIV/0!</v>
      </c>
    </row>
    <row r="8" spans="1:29" s="113" customFormat="1" ht="1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19" t="s">
        <v>2367</v>
      </c>
      <c r="Q8" s="3320"/>
      <c r="R8" s="710" t="s">
        <v>17</v>
      </c>
      <c r="S8" s="711">
        <f t="shared" si="0"/>
        <v>0</v>
      </c>
      <c r="T8" s="710" t="s">
        <v>17</v>
      </c>
      <c r="U8" s="711">
        <f t="shared" si="1"/>
        <v>0</v>
      </c>
      <c r="V8" s="710" t="s">
        <v>17</v>
      </c>
      <c r="W8" s="711">
        <f t="shared" si="2"/>
        <v>0</v>
      </c>
      <c r="X8" s="712"/>
      <c r="Y8" s="3319" t="s">
        <v>2367</v>
      </c>
      <c r="Z8" s="3320"/>
      <c r="AA8" s="713" t="e">
        <f t="shared" ref="AA8:AA40" si="3">D8/F8</f>
        <v>#DIV/0!</v>
      </c>
      <c r="AB8" s="713" t="e">
        <f t="shared" ref="AB8:AB40" si="4">D8/H8</f>
        <v>#DIV/0!</v>
      </c>
      <c r="AC8" s="713" t="e">
        <f t="shared" ref="AC8:AC40" si="5">D8/J8</f>
        <v>#DIV/0!</v>
      </c>
    </row>
    <row r="9" spans="1:29" s="113" customFormat="1" ht="14.4">
      <c r="A9" s="375" t="s">
        <v>2368</v>
      </c>
      <c r="B9" s="67" t="s">
        <v>2369</v>
      </c>
      <c r="C9" s="2155"/>
      <c r="D9" s="131">
        <v>100</v>
      </c>
      <c r="E9" s="2155"/>
      <c r="F9" s="131">
        <f>SUMIF(70:70,E9,71:71)-SUMIF(70:70,C9,71:71)+100</f>
        <v>100</v>
      </c>
      <c r="G9" s="2155"/>
      <c r="H9" s="131">
        <f>SUMIF(70:70,G9,71:71)-SUMIF(70:70,C9,71:71)+100</f>
        <v>100</v>
      </c>
      <c r="I9" s="2155"/>
      <c r="J9" s="131">
        <f>SUMIF(70:70,I9,71:71)-SUMIF(70:70,C9,71:71)+100</f>
        <v>100</v>
      </c>
      <c r="K9" s="568"/>
      <c r="L9" s="2938"/>
      <c r="M9" s="2939"/>
      <c r="N9" s="2939"/>
      <c r="O9" s="2993"/>
      <c r="P9" s="3290" t="s">
        <v>2370</v>
      </c>
      <c r="Q9" s="1520"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91"/>
      <c r="D10" s="132">
        <v>100</v>
      </c>
      <c r="E10" s="391"/>
      <c r="F10" s="132">
        <f>ROUND(100/'数据-取费表'!G16,0)</f>
        <v>104</v>
      </c>
      <c r="G10" s="391"/>
      <c r="H10" s="132">
        <f>ROUND(100/'数据-取费表'!G16,0)</f>
        <v>104</v>
      </c>
      <c r="I10" s="391"/>
      <c r="J10" s="132">
        <f>ROUND(100/'数据-取费表'!G16,0)</f>
        <v>104</v>
      </c>
      <c r="K10" s="628"/>
      <c r="L10" s="2940"/>
      <c r="M10" s="2941"/>
      <c r="N10" s="2941"/>
      <c r="O10" s="2994"/>
      <c r="P10" s="3290"/>
      <c r="Q10" s="1520" t="str">
        <f t="shared" si="6"/>
        <v>土地使用年限（年）</v>
      </c>
      <c r="R10" s="710" t="s">
        <v>17</v>
      </c>
      <c r="S10" s="711">
        <f t="shared" si="0"/>
        <v>104</v>
      </c>
      <c r="T10" s="710" t="s">
        <v>17</v>
      </c>
      <c r="U10" s="711">
        <f t="shared" si="1"/>
        <v>104</v>
      </c>
      <c r="V10" s="710" t="s">
        <v>17</v>
      </c>
      <c r="W10" s="711">
        <f t="shared" si="2"/>
        <v>104</v>
      </c>
      <c r="X10" s="712"/>
      <c r="Y10" s="3187"/>
      <c r="Z10" s="55" t="str">
        <f t="shared" si="7"/>
        <v>土地使用年限（年）</v>
      </c>
      <c r="AA10" s="713">
        <f t="shared" si="3"/>
        <v>0.96153846153846156</v>
      </c>
      <c r="AB10" s="713">
        <f t="shared" si="4"/>
        <v>0.96153846153846156</v>
      </c>
      <c r="AC10" s="713">
        <f t="shared" si="5"/>
        <v>0.96153846153846156</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290"/>
      <c r="Q11" s="1520"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290"/>
      <c r="Q12" s="1520">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290"/>
      <c r="Q13" s="1520">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290"/>
      <c r="Q14" s="1520">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585" t="s">
        <v>2611</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292" t="s">
        <v>2375</v>
      </c>
      <c r="Q15" s="1529" t="str">
        <f t="shared" si="6"/>
        <v>产业集聚程度</v>
      </c>
      <c r="R15" s="714" t="s">
        <v>17</v>
      </c>
      <c r="S15" s="715">
        <f t="shared" si="0"/>
        <v>100</v>
      </c>
      <c r="T15" s="714" t="s">
        <v>17</v>
      </c>
      <c r="U15" s="715">
        <f t="shared" si="1"/>
        <v>100</v>
      </c>
      <c r="V15" s="714" t="s">
        <v>17</v>
      </c>
      <c r="W15" s="715">
        <f t="shared" si="2"/>
        <v>100</v>
      </c>
      <c r="X15" s="1532"/>
      <c r="Y15" s="3292" t="s">
        <v>2375</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3"/>
      <c r="M16" s="2937"/>
      <c r="N16" s="2937"/>
      <c r="O16" s="2995"/>
      <c r="P16" s="3293"/>
      <c r="Q16" s="1529"/>
      <c r="R16" s="714"/>
      <c r="S16" s="715"/>
      <c r="T16" s="714"/>
      <c r="U16" s="715"/>
      <c r="V16" s="714"/>
      <c r="W16" s="715"/>
      <c r="X16" s="1532"/>
      <c r="Y16" s="3293"/>
      <c r="Z16" s="1533"/>
      <c r="AA16" s="1530">
        <v>1</v>
      </c>
      <c r="AB16" s="1530">
        <v>1</v>
      </c>
      <c r="AC16" s="1530">
        <v>1</v>
      </c>
    </row>
    <row r="17" spans="1:29" ht="96.6">
      <c r="A17" s="387"/>
      <c r="B17" s="587" t="s">
        <v>2524</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293"/>
      <c r="Q17" s="1529" t="str">
        <f>B17</f>
        <v>交通便捷度</v>
      </c>
      <c r="R17" s="714" t="s">
        <v>17</v>
      </c>
      <c r="S17" s="715">
        <f>F17</f>
        <v>100</v>
      </c>
      <c r="T17" s="714" t="s">
        <v>17</v>
      </c>
      <c r="U17" s="715">
        <f>H17</f>
        <v>100</v>
      </c>
      <c r="V17" s="714" t="s">
        <v>17</v>
      </c>
      <c r="W17" s="715">
        <f>J17</f>
        <v>100</v>
      </c>
      <c r="X17" s="1532"/>
      <c r="Y17" s="3293"/>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3"/>
      <c r="M18" s="2937"/>
      <c r="N18" s="2937"/>
      <c r="O18" s="2995"/>
      <c r="P18" s="3293"/>
      <c r="Q18" s="1529"/>
      <c r="R18" s="714"/>
      <c r="S18" s="715"/>
      <c r="T18" s="714"/>
      <c r="U18" s="715"/>
      <c r="V18" s="714"/>
      <c r="W18" s="715"/>
      <c r="X18" s="1532"/>
      <c r="Y18" s="3293"/>
      <c r="Z18" s="1533"/>
      <c r="AA18" s="1530">
        <v>1</v>
      </c>
      <c r="AB18" s="1530">
        <v>1</v>
      </c>
      <c r="AC18" s="1530">
        <v>1</v>
      </c>
    </row>
    <row r="19" spans="1:29" ht="28.8">
      <c r="A19" s="387"/>
      <c r="B19" s="587" t="s">
        <v>2562</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293"/>
      <c r="Q19" s="1529" t="str">
        <f t="shared" ref="Q19:Q33" si="8">B19</f>
        <v>区域土地利用方向</v>
      </c>
      <c r="R19" s="714" t="s">
        <v>17</v>
      </c>
      <c r="S19" s="715">
        <f>F19</f>
        <v>100</v>
      </c>
      <c r="T19" s="714" t="s">
        <v>17</v>
      </c>
      <c r="U19" s="715">
        <f>H19</f>
        <v>100</v>
      </c>
      <c r="V19" s="714" t="s">
        <v>17</v>
      </c>
      <c r="W19" s="715">
        <f>J19</f>
        <v>100</v>
      </c>
      <c r="X19" s="1532"/>
      <c r="Y19" s="3293"/>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3"/>
      <c r="M20" s="2937"/>
      <c r="N20" s="2937"/>
      <c r="O20" s="2995"/>
      <c r="P20" s="3293"/>
      <c r="Q20" s="1529"/>
      <c r="R20" s="714"/>
      <c r="S20" s="715"/>
      <c r="T20" s="714"/>
      <c r="U20" s="715"/>
      <c r="V20" s="714"/>
      <c r="W20" s="715"/>
      <c r="X20" s="1532"/>
      <c r="Y20" s="3293"/>
      <c r="Z20" s="1533"/>
      <c r="AA20" s="1530"/>
      <c r="AB20" s="1530"/>
      <c r="AC20" s="1530"/>
    </row>
    <row r="21" spans="1:29" ht="82.8">
      <c r="A21" s="364"/>
      <c r="B21" s="587" t="s">
        <v>2612</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293"/>
      <c r="Q21" s="1529" t="str">
        <f t="shared" si="8"/>
        <v>环境状况</v>
      </c>
      <c r="R21" s="714" t="s">
        <v>17</v>
      </c>
      <c r="S21" s="715">
        <f>F21</f>
        <v>100</v>
      </c>
      <c r="T21" s="714" t="s">
        <v>17</v>
      </c>
      <c r="U21" s="715">
        <f>H21</f>
        <v>100</v>
      </c>
      <c r="V21" s="714" t="s">
        <v>17</v>
      </c>
      <c r="W21" s="715">
        <f>J21</f>
        <v>100</v>
      </c>
      <c r="X21" s="1532"/>
      <c r="Y21" s="3293"/>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3"/>
      <c r="M22" s="2937"/>
      <c r="N22" s="2937"/>
      <c r="O22" s="2995"/>
      <c r="P22" s="3293"/>
      <c r="Q22" s="1529"/>
      <c r="R22" s="714"/>
      <c r="S22" s="715"/>
      <c r="T22" s="714"/>
      <c r="U22" s="715"/>
      <c r="V22" s="714"/>
      <c r="W22" s="715"/>
      <c r="X22" s="1532"/>
      <c r="Y22" s="3293"/>
      <c r="Z22" s="1533"/>
      <c r="AA22" s="1530">
        <v>1</v>
      </c>
      <c r="AB22" s="1530">
        <v>1</v>
      </c>
      <c r="AC22" s="1530">
        <v>1</v>
      </c>
    </row>
    <row r="23" spans="1:29" s="113" customFormat="1" ht="41.4">
      <c r="A23" s="605"/>
      <c r="B23" s="589" t="s">
        <v>2469</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293"/>
      <c r="Q23" s="1520" t="str">
        <f t="shared" si="8"/>
        <v>公共配套设施</v>
      </c>
      <c r="R23" s="710" t="s">
        <v>17</v>
      </c>
      <c r="S23" s="711">
        <f>F23</f>
        <v>100</v>
      </c>
      <c r="T23" s="710" t="s">
        <v>17</v>
      </c>
      <c r="U23" s="711">
        <f>H23</f>
        <v>100</v>
      </c>
      <c r="V23" s="710" t="s">
        <v>17</v>
      </c>
      <c r="W23" s="711">
        <f>J23</f>
        <v>100</v>
      </c>
      <c r="X23" s="712"/>
      <c r="Y23" s="3293"/>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8"/>
      <c r="M24" s="2939"/>
      <c r="N24" s="2939"/>
      <c r="O24" s="2993"/>
      <c r="P24" s="3293"/>
      <c r="Q24" s="1520"/>
      <c r="R24" s="710"/>
      <c r="S24" s="711"/>
      <c r="T24" s="710"/>
      <c r="U24" s="711"/>
      <c r="V24" s="710"/>
      <c r="W24" s="711"/>
      <c r="X24" s="712"/>
      <c r="Y24" s="3293"/>
      <c r="Z24" s="55"/>
      <c r="AA24" s="713">
        <v>1</v>
      </c>
      <c r="AB24" s="713">
        <v>1</v>
      </c>
      <c r="AC24" s="713">
        <v>1</v>
      </c>
    </row>
    <row r="25" spans="1:29" s="113" customFormat="1" ht="41.4">
      <c r="A25" s="605"/>
      <c r="B25" s="589" t="s">
        <v>2470</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293"/>
      <c r="Q25" s="1520"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8"/>
      <c r="M26" s="2939"/>
      <c r="N26" s="2939"/>
      <c r="O26" s="2993"/>
      <c r="P26" s="3293"/>
      <c r="Q26" s="1520"/>
      <c r="R26" s="710"/>
      <c r="S26" s="711"/>
      <c r="T26" s="710"/>
      <c r="U26" s="711"/>
      <c r="V26" s="710"/>
      <c r="W26" s="711"/>
      <c r="X26" s="712"/>
      <c r="Y26" s="3293"/>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293"/>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293"/>
      <c r="Z27" s="1533" t="str">
        <f t="shared" ref="Z27:Z40" si="13">Q27</f>
        <v>临街状况</v>
      </c>
      <c r="AA27" s="1530">
        <f t="shared" si="3"/>
        <v>1</v>
      </c>
      <c r="AB27" s="1530">
        <f t="shared" si="4"/>
        <v>1</v>
      </c>
      <c r="AC27" s="1530">
        <f t="shared" si="5"/>
        <v>1</v>
      </c>
    </row>
    <row r="28" spans="1:29" ht="28.8">
      <c r="A28" s="387"/>
      <c r="B28" s="589" t="s">
        <v>2506</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293"/>
      <c r="Q28" s="1529" t="str">
        <f t="shared" si="8"/>
        <v>毗邻道路的类型与等级</v>
      </c>
      <c r="R28" s="714" t="s">
        <v>17</v>
      </c>
      <c r="S28" s="715">
        <f t="shared" si="10"/>
        <v>100</v>
      </c>
      <c r="T28" s="714" t="s">
        <v>17</v>
      </c>
      <c r="U28" s="715">
        <f t="shared" si="11"/>
        <v>100</v>
      </c>
      <c r="V28" s="714" t="s">
        <v>17</v>
      </c>
      <c r="W28" s="715">
        <f t="shared" si="12"/>
        <v>100</v>
      </c>
      <c r="X28" s="1532"/>
      <c r="Y28" s="3293"/>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3"/>
      <c r="M29" s="2937"/>
      <c r="N29" s="2937"/>
      <c r="O29" s="2995"/>
      <c r="P29" s="3293"/>
      <c r="Q29" s="1529"/>
      <c r="R29" s="714"/>
      <c r="S29" s="715"/>
      <c r="T29" s="714"/>
      <c r="U29" s="715"/>
      <c r="V29" s="714"/>
      <c r="W29" s="715"/>
      <c r="X29" s="1532"/>
      <c r="Y29" s="3293"/>
      <c r="Z29" s="1533"/>
      <c r="AA29" s="1530">
        <v>1</v>
      </c>
      <c r="AB29" s="1530">
        <v>1</v>
      </c>
      <c r="AC29" s="1530">
        <v>1</v>
      </c>
    </row>
    <row r="30" spans="1:29" ht="15">
      <c r="A30" s="387"/>
      <c r="B30" s="610" t="s">
        <v>2564</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293"/>
      <c r="Q30" s="1529" t="str">
        <f t="shared" si="8"/>
        <v>土地级别</v>
      </c>
      <c r="R30" s="714" t="s">
        <v>17</v>
      </c>
      <c r="S30" s="715">
        <f t="shared" si="10"/>
        <v>100</v>
      </c>
      <c r="T30" s="714" t="s">
        <v>17</v>
      </c>
      <c r="U30" s="715">
        <f t="shared" si="11"/>
        <v>100</v>
      </c>
      <c r="V30" s="714" t="s">
        <v>17</v>
      </c>
      <c r="W30" s="715">
        <f t="shared" si="12"/>
        <v>100</v>
      </c>
      <c r="X30" s="1532"/>
      <c r="Y30" s="3293"/>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293"/>
      <c r="Q31" s="1529">
        <f t="shared" si="8"/>
        <v>111</v>
      </c>
      <c r="R31" s="714" t="s">
        <v>17</v>
      </c>
      <c r="S31" s="715">
        <f t="shared" si="10"/>
        <v>100</v>
      </c>
      <c r="T31" s="714" t="s">
        <v>17</v>
      </c>
      <c r="U31" s="715">
        <f t="shared" si="11"/>
        <v>100</v>
      </c>
      <c r="V31" s="714" t="s">
        <v>17</v>
      </c>
      <c r="W31" s="715">
        <f t="shared" si="12"/>
        <v>100</v>
      </c>
      <c r="X31" s="1532"/>
      <c r="Y31" s="3293"/>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294" t="s">
        <v>2380</v>
      </c>
      <c r="Q32" s="1529">
        <f t="shared" si="8"/>
        <v>111</v>
      </c>
      <c r="R32" s="714" t="s">
        <v>17</v>
      </c>
      <c r="S32" s="715">
        <f t="shared" si="10"/>
        <v>100</v>
      </c>
      <c r="T32" s="714" t="s">
        <v>17</v>
      </c>
      <c r="U32" s="715">
        <f t="shared" si="11"/>
        <v>100</v>
      </c>
      <c r="V32" s="714" t="s">
        <v>17</v>
      </c>
      <c r="W32" s="715">
        <f t="shared" si="12"/>
        <v>100</v>
      </c>
      <c r="X32" s="1532"/>
      <c r="Y32" s="3295" t="s">
        <v>2380</v>
      </c>
      <c r="Z32" s="1533">
        <f t="shared" si="13"/>
        <v>111</v>
      </c>
      <c r="AA32" s="1530">
        <f t="shared" si="3"/>
        <v>1</v>
      </c>
      <c r="AB32" s="1530">
        <f t="shared" si="4"/>
        <v>1</v>
      </c>
      <c r="AC32" s="1530">
        <f t="shared" si="5"/>
        <v>1</v>
      </c>
    </row>
    <row r="33" spans="1:31" s="430" customFormat="1" ht="15.6"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295"/>
      <c r="Q33" s="1529">
        <f t="shared" si="8"/>
        <v>111</v>
      </c>
      <c r="R33" s="717" t="s">
        <v>17</v>
      </c>
      <c r="S33" s="718">
        <f t="shared" si="10"/>
        <v>100</v>
      </c>
      <c r="T33" s="717" t="s">
        <v>17</v>
      </c>
      <c r="U33" s="718">
        <f t="shared" si="11"/>
        <v>100</v>
      </c>
      <c r="V33" s="717" t="s">
        <v>17</v>
      </c>
      <c r="W33" s="718">
        <f t="shared" si="12"/>
        <v>100</v>
      </c>
      <c r="X33" s="719"/>
      <c r="Y33" s="3295"/>
      <c r="Z33" s="720">
        <f t="shared" si="13"/>
        <v>111</v>
      </c>
      <c r="AA33" s="1530">
        <f t="shared" si="3"/>
        <v>1</v>
      </c>
      <c r="AB33" s="1530">
        <f t="shared" si="4"/>
        <v>1</v>
      </c>
      <c r="AC33" s="1530">
        <f t="shared" si="5"/>
        <v>1</v>
      </c>
    </row>
    <row r="34" spans="1:31" ht="15">
      <c r="A34" s="399" t="s">
        <v>2378</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295"/>
      <c r="Q34" s="1529" t="str">
        <f>B34</f>
        <v>宗地面积</v>
      </c>
      <c r="R34" s="714" t="s">
        <v>17</v>
      </c>
      <c r="S34" s="715" t="e">
        <f t="shared" si="10"/>
        <v>#N/A</v>
      </c>
      <c r="T34" s="714" t="s">
        <v>17</v>
      </c>
      <c r="U34" s="715" t="e">
        <f t="shared" si="11"/>
        <v>#N/A</v>
      </c>
      <c r="V34" s="714" t="s">
        <v>17</v>
      </c>
      <c r="W34" s="715" t="e">
        <f t="shared" si="12"/>
        <v>#N/A</v>
      </c>
      <c r="X34" s="1532"/>
      <c r="Y34" s="3295"/>
      <c r="Z34" s="1533" t="str">
        <f t="shared" si="13"/>
        <v>宗地面积</v>
      </c>
      <c r="AA34" s="1530" t="e">
        <f t="shared" si="3"/>
        <v>#N/A</v>
      </c>
      <c r="AB34" s="1530" t="e">
        <f t="shared" si="4"/>
        <v>#N/A</v>
      </c>
      <c r="AC34" s="1530" t="e">
        <f t="shared" si="5"/>
        <v>#N/A</v>
      </c>
    </row>
    <row r="35" spans="1:31" ht="15">
      <c r="A35" s="431"/>
      <c r="B35" s="381" t="s">
        <v>2566</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3"/>
      <c r="M35" s="2937"/>
      <c r="N35" s="2937"/>
      <c r="O35" s="2995"/>
      <c r="P35" s="3295"/>
      <c r="Q35" s="1529" t="str">
        <f t="shared" ref="Q35:Q40" si="14">B35</f>
        <v>宗地形状</v>
      </c>
      <c r="R35" s="714" t="s">
        <v>17</v>
      </c>
      <c r="S35" s="715">
        <f t="shared" si="10"/>
        <v>100</v>
      </c>
      <c r="T35" s="714" t="s">
        <v>17</v>
      </c>
      <c r="U35" s="715">
        <f t="shared" si="11"/>
        <v>100</v>
      </c>
      <c r="V35" s="714" t="s">
        <v>17</v>
      </c>
      <c r="W35" s="715">
        <f t="shared" si="12"/>
        <v>100</v>
      </c>
      <c r="X35" s="1532"/>
      <c r="Y35" s="3295"/>
      <c r="Z35" s="1533" t="str">
        <f t="shared" si="13"/>
        <v>宗地形状</v>
      </c>
      <c r="AA35" s="1530">
        <f t="shared" si="3"/>
        <v>1</v>
      </c>
      <c r="AB35" s="1530">
        <f t="shared" si="4"/>
        <v>1</v>
      </c>
      <c r="AC35" s="1530">
        <f t="shared" si="5"/>
        <v>1</v>
      </c>
    </row>
    <row r="36" spans="1:31" s="113" customFormat="1" ht="15">
      <c r="A36" s="432"/>
      <c r="B36" s="381" t="s">
        <v>2568</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8"/>
      <c r="M36" s="2939"/>
      <c r="N36" s="2939"/>
      <c r="O36" s="2993"/>
      <c r="P36" s="3295"/>
      <c r="Q36" s="1529"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
      <c r="A37" s="431"/>
      <c r="B37" s="381" t="s">
        <v>2569</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3"/>
      <c r="M37" s="2937"/>
      <c r="N37" s="2937"/>
      <c r="O37" s="2995"/>
      <c r="P37" s="3295" t="s">
        <v>2380</v>
      </c>
      <c r="Q37" s="1529" t="str">
        <f t="shared" si="14"/>
        <v>工程地质条件</v>
      </c>
      <c r="R37" s="714" t="s">
        <v>17</v>
      </c>
      <c r="S37" s="715">
        <f t="shared" si="10"/>
        <v>100</v>
      </c>
      <c r="T37" s="714" t="s">
        <v>17</v>
      </c>
      <c r="U37" s="715">
        <f t="shared" si="11"/>
        <v>100</v>
      </c>
      <c r="V37" s="714" t="s">
        <v>17</v>
      </c>
      <c r="W37" s="715">
        <f t="shared" si="12"/>
        <v>100</v>
      </c>
      <c r="X37" s="1532"/>
      <c r="Y37" s="3295" t="s">
        <v>2380</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295"/>
      <c r="Q38" s="1529">
        <f t="shared" si="14"/>
        <v>111</v>
      </c>
      <c r="R38" s="714" t="s">
        <v>17</v>
      </c>
      <c r="S38" s="715">
        <f t="shared" si="10"/>
        <v>100</v>
      </c>
      <c r="T38" s="714" t="s">
        <v>17</v>
      </c>
      <c r="U38" s="715">
        <f t="shared" si="11"/>
        <v>100</v>
      </c>
      <c r="V38" s="714" t="s">
        <v>17</v>
      </c>
      <c r="W38" s="715">
        <f t="shared" si="12"/>
        <v>100</v>
      </c>
      <c r="X38" s="1532"/>
      <c r="Y38" s="3295"/>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295"/>
      <c r="Q39" s="1529">
        <f t="shared" si="14"/>
        <v>111</v>
      </c>
      <c r="R39" s="714" t="s">
        <v>17</v>
      </c>
      <c r="S39" s="715">
        <f t="shared" si="10"/>
        <v>100</v>
      </c>
      <c r="T39" s="714" t="s">
        <v>17</v>
      </c>
      <c r="U39" s="715">
        <f t="shared" si="11"/>
        <v>100</v>
      </c>
      <c r="V39" s="714" t="s">
        <v>17</v>
      </c>
      <c r="W39" s="715">
        <f t="shared" si="12"/>
        <v>100</v>
      </c>
      <c r="X39" s="1532"/>
      <c r="Y39" s="3295"/>
      <c r="Z39" s="1533">
        <f t="shared" si="13"/>
        <v>111</v>
      </c>
      <c r="AA39" s="1530">
        <f t="shared" si="3"/>
        <v>1</v>
      </c>
      <c r="AB39" s="1530">
        <f t="shared" si="4"/>
        <v>1</v>
      </c>
      <c r="AC39" s="1530">
        <f t="shared" si="5"/>
        <v>1</v>
      </c>
    </row>
    <row r="40" spans="1:31" s="430" customFormat="1" ht="15.6"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295"/>
      <c r="Q40" s="1529">
        <f t="shared" si="14"/>
        <v>111</v>
      </c>
      <c r="R40" s="717" t="s">
        <v>17</v>
      </c>
      <c r="S40" s="718">
        <f t="shared" si="10"/>
        <v>100</v>
      </c>
      <c r="T40" s="717" t="s">
        <v>17</v>
      </c>
      <c r="U40" s="718">
        <f t="shared" si="11"/>
        <v>100</v>
      </c>
      <c r="V40" s="717" t="s">
        <v>17</v>
      </c>
      <c r="W40" s="718">
        <f t="shared" si="12"/>
        <v>100</v>
      </c>
      <c r="X40" s="719"/>
      <c r="Y40" s="3295"/>
      <c r="Z40" s="720">
        <f t="shared" si="13"/>
        <v>111</v>
      </c>
      <c r="AA40" s="1530">
        <f t="shared" si="3"/>
        <v>1</v>
      </c>
      <c r="AB40" s="1530">
        <f t="shared" si="4"/>
        <v>1</v>
      </c>
      <c r="AC40" s="1530">
        <f t="shared" si="5"/>
        <v>1</v>
      </c>
    </row>
    <row r="41" spans="1:31" ht="14.4">
      <c r="A41" s="438" t="s">
        <v>2535</v>
      </c>
      <c r="B41" s="2160" t="s">
        <v>2613</v>
      </c>
      <c r="C41" s="638" t="s">
        <v>1</v>
      </c>
      <c r="D41" s="440"/>
      <c r="E41" s="441"/>
      <c r="F41" s="442"/>
      <c r="G41" s="443"/>
      <c r="H41" s="444"/>
      <c r="I41" s="441"/>
      <c r="J41" s="444"/>
      <c r="K41" s="723"/>
      <c r="L41" s="2945"/>
      <c r="M41" s="2937"/>
      <c r="N41" s="2937"/>
      <c r="O41" s="2946"/>
      <c r="P41" s="3290" t="str">
        <f>A41</f>
        <v>成交单价</v>
      </c>
      <c r="Q41" s="3290"/>
      <c r="R41" s="3296">
        <f>E41</f>
        <v>0</v>
      </c>
      <c r="S41" s="3296"/>
      <c r="T41" s="3296">
        <f>G41</f>
        <v>0</v>
      </c>
      <c r="U41" s="3296"/>
      <c r="V41" s="3296">
        <f>I41</f>
        <v>0</v>
      </c>
      <c r="W41" s="3296"/>
      <c r="X41" s="699"/>
      <c r="Y41" s="721"/>
      <c r="Z41" s="699"/>
      <c r="AA41" s="699"/>
      <c r="AB41" s="699"/>
      <c r="AC41" s="699"/>
    </row>
    <row r="42" spans="1:31" ht="15" thickBot="1">
      <c r="A42" s="445" t="s">
        <v>2484</v>
      </c>
      <c r="B42" s="639"/>
      <c r="C42" s="448" t="e">
        <f>R43</f>
        <v>#DIV/0!</v>
      </c>
      <c r="D42" s="2530" t="s">
        <v>2872</v>
      </c>
      <c r="E42" s="448" t="e">
        <f>R42</f>
        <v>#DIV/0!</v>
      </c>
      <c r="F42" s="2531"/>
      <c r="G42" s="447" t="e">
        <f>T42</f>
        <v>#DIV/0!</v>
      </c>
      <c r="H42" s="2531"/>
      <c r="I42" s="448" t="e">
        <f>V42</f>
        <v>#DIV/0!</v>
      </c>
      <c r="J42" s="2531"/>
      <c r="K42" s="2533">
        <f>F42+H42+J42</f>
        <v>0</v>
      </c>
      <c r="L42" s="2945"/>
      <c r="M42" s="2937"/>
      <c r="N42" s="2937"/>
      <c r="O42" s="2946"/>
      <c r="P42" s="3290" t="str">
        <f>A42</f>
        <v>比较价值（元/平方米）</v>
      </c>
      <c r="Q42" s="3290"/>
      <c r="R42" s="3283" t="e">
        <f>ROUND(PRODUCT(R41,AA7:AA40),0)</f>
        <v>#DIV/0!</v>
      </c>
      <c r="S42" s="3283"/>
      <c r="T42" s="3283" t="e">
        <f>ROUND(PRODUCT(T41,AB7:AB40),0)</f>
        <v>#DIV/0!</v>
      </c>
      <c r="U42" s="3283"/>
      <c r="V42" s="3283" t="e">
        <f>ROUND(PRODUCT(V41,AC7:AC40),0)</f>
        <v>#DIV/0!</v>
      </c>
      <c r="W42" s="3283"/>
      <c r="X42" s="699"/>
      <c r="Y42" s="699"/>
      <c r="Z42" s="699"/>
      <c r="AA42" s="699"/>
      <c r="AB42" s="699"/>
      <c r="AC42" s="699"/>
    </row>
    <row r="43" spans="1:31" ht="15" thickBot="1">
      <c r="A43" s="449" t="s">
        <v>2485</v>
      </c>
      <c r="B43" s="450"/>
      <c r="C43" s="451" t="e">
        <f>R43</f>
        <v>#DIV/0!</v>
      </c>
      <c r="D43" s="451"/>
      <c r="E43" s="451"/>
      <c r="F43" s="451"/>
      <c r="G43" s="451"/>
      <c r="H43" s="451"/>
      <c r="I43" s="451"/>
      <c r="J43" s="451"/>
      <c r="K43" s="724"/>
      <c r="L43" s="2945"/>
      <c r="M43" s="2937"/>
      <c r="N43" s="2937"/>
      <c r="O43" s="2946"/>
      <c r="P43" s="3284" t="str">
        <f>A43</f>
        <v>估价对象XX用房的比较价值（楼面单价，元/平方米）</v>
      </c>
      <c r="Q43" s="3285"/>
      <c r="R43" s="3286" t="e">
        <f>ROUND(IF(D42="简单平均",AVERAGE(R42:W42),R42*F42+T42*H42+V42*J42),0)</f>
        <v>#DIV/0!</v>
      </c>
      <c r="S43" s="3286"/>
      <c r="T43" s="3286"/>
      <c r="U43" s="3286"/>
      <c r="V43" s="3286"/>
      <c r="W43" s="3286"/>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4.4"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8.8">
      <c r="A50" s="640" t="s">
        <v>2572</v>
      </c>
      <c r="B50" s="641" t="s">
        <v>2573</v>
      </c>
      <c r="C50" s="2161" t="s">
        <v>2574</v>
      </c>
      <c r="D50" s="2162" t="s">
        <v>2575</v>
      </c>
      <c r="E50" s="642" t="s">
        <v>2576</v>
      </c>
      <c r="F50" s="643" t="s">
        <v>2577</v>
      </c>
      <c r="G50" s="3287" t="s">
        <v>2578</v>
      </c>
      <c r="H50" s="3288"/>
      <c r="I50" s="1533" t="s">
        <v>2614</v>
      </c>
      <c r="J50" s="1533">
        <f>项目基本情况!F35</f>
        <v>0</v>
      </c>
      <c r="K50" s="2164" t="s">
        <v>2580</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2581</v>
      </c>
      <c r="B51" s="645" t="e">
        <f>C43</f>
        <v>#DIV/0!</v>
      </c>
      <c r="C51" s="646">
        <v>1</v>
      </c>
      <c r="D51" s="1069">
        <v>1</v>
      </c>
      <c r="E51" s="646">
        <f>'数据-汇总表'!E8+'数据-汇总表'!E9</f>
        <v>108974.32</v>
      </c>
      <c r="F51" s="647" t="e">
        <f t="shared" ref="F51:F60" si="15">ROUND(B51*E51/10000,0)</f>
        <v>#DIV/0!</v>
      </c>
      <c r="G51" s="3289"/>
      <c r="H51" s="3290"/>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2582</v>
      </c>
      <c r="B52" s="224" t="e">
        <f>ROUND($C$43*C52*D52,0)</f>
        <v>#DIV/0!</v>
      </c>
      <c r="C52" s="176">
        <f t="shared" ref="C52:C60" si="16">IF($C$50="北京市系数",I52,J52)</f>
        <v>0.7</v>
      </c>
      <c r="D52" s="1070">
        <v>0.25</v>
      </c>
      <c r="E52" s="650"/>
      <c r="F52" s="647" t="e">
        <f t="shared" si="15"/>
        <v>#DIV/0!</v>
      </c>
      <c r="G52" s="3291" t="s">
        <v>2583</v>
      </c>
      <c r="H52" s="1012" t="str">
        <f>项目基本情况!B37</f>
        <v>七级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2584</v>
      </c>
      <c r="B53" s="224" t="e">
        <f t="shared" ref="B53:B60" si="17">ROUND($C$43*C53*D53,0)</f>
        <v>#DIV/0!</v>
      </c>
      <c r="C53" s="176">
        <f t="shared" si="16"/>
        <v>0.4</v>
      </c>
      <c r="D53" s="1070">
        <v>0.25</v>
      </c>
      <c r="E53" s="650"/>
      <c r="F53" s="647" t="e">
        <f t="shared" si="15"/>
        <v>#DIV/0!</v>
      </c>
      <c r="G53" s="3291"/>
      <c r="H53" s="1012" t="str">
        <f>项目基本情况!B37</f>
        <v>七级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2585</v>
      </c>
      <c r="B54" s="224" t="e">
        <f t="shared" si="17"/>
        <v>#DIV/0!</v>
      </c>
      <c r="C54" s="176">
        <f t="shared" si="16"/>
        <v>0.28000000000000003</v>
      </c>
      <c r="D54" s="1070">
        <v>0.25</v>
      </c>
      <c r="E54" s="650"/>
      <c r="F54" s="647" t="e">
        <f t="shared" si="15"/>
        <v>#DIV/0!</v>
      </c>
      <c r="G54" s="3291"/>
      <c r="H54" s="1012" t="str">
        <f>项目基本情况!B37</f>
        <v>七级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2586</v>
      </c>
      <c r="B55" s="224" t="e">
        <f t="shared" si="17"/>
        <v>#DIV/0!</v>
      </c>
      <c r="C55" s="176">
        <f t="shared" si="16"/>
        <v>0.25</v>
      </c>
      <c r="D55" s="1070">
        <v>0.25</v>
      </c>
      <c r="E55" s="650"/>
      <c r="F55" s="647" t="e">
        <f t="shared" si="15"/>
        <v>#DIV/0!</v>
      </c>
      <c r="G55" s="3291"/>
      <c r="H55" s="1012" t="str">
        <f>项目基本情况!B37</f>
        <v>七级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2587</v>
      </c>
      <c r="B56" s="224" t="e">
        <f t="shared" si="17"/>
        <v>#DIV/0!</v>
      </c>
      <c r="C56" s="176">
        <f t="shared" si="16"/>
        <v>0.25</v>
      </c>
      <c r="D56" s="1070">
        <v>0.25</v>
      </c>
      <c r="E56" s="223">
        <f>'数据-汇总表'!E11</f>
        <v>0</v>
      </c>
      <c r="F56" s="647" t="e">
        <f t="shared" si="15"/>
        <v>#DIV/0!</v>
      </c>
      <c r="G56" s="2165" t="s">
        <v>2588</v>
      </c>
      <c r="H56" s="1012" t="str">
        <f>项目基本情况!C37</f>
        <v>七级</v>
      </c>
      <c r="I56" s="873">
        <f>SUMIF(修正!A45:A56,H56,修正!F45:F56)</f>
        <v>0.25</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2589</v>
      </c>
      <c r="B57" s="224" t="e">
        <f t="shared" si="17"/>
        <v>#DIV/0!</v>
      </c>
      <c r="C57" s="176">
        <f t="shared" si="16"/>
        <v>0.25</v>
      </c>
      <c r="D57" s="1070">
        <v>0.25</v>
      </c>
      <c r="E57" s="223">
        <f>'数据-汇总表'!E12</f>
        <v>0</v>
      </c>
      <c r="F57" s="647" t="e">
        <f t="shared" si="15"/>
        <v>#DIV/0!</v>
      </c>
      <c r="G57" s="1017" t="s">
        <v>2590</v>
      </c>
      <c r="H57" s="1012" t="str">
        <f>IF(G57="商业",项目基本情况!B37,IF(G57="办公",项目基本情况!C37,IF(G57="住宅",项目基本情况!D37,项目基本情况!E37)))</f>
        <v>七级</v>
      </c>
      <c r="I57" s="873">
        <f>SUMIF(修正!A45:A56,H57,修正!G45:G56)</f>
        <v>0.25</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2591</v>
      </c>
      <c r="B58" s="224" t="e">
        <f t="shared" si="17"/>
        <v>#DIV/0!</v>
      </c>
      <c r="C58" s="176">
        <f t="shared" si="16"/>
        <v>0</v>
      </c>
      <c r="D58" s="1070">
        <v>0.25</v>
      </c>
      <c r="E58" s="223">
        <f>'数据-汇总表'!E13</f>
        <v>43656.97</v>
      </c>
      <c r="F58" s="647" t="e">
        <f t="shared" si="15"/>
        <v>#DIV/0!</v>
      </c>
      <c r="G58" s="1017" t="s">
        <v>2592</v>
      </c>
      <c r="H58" s="1012">
        <f>IF(G58="商业",项目基本情况!B37,IF(G58="办公",项目基本情况!C37,IF(G58="住宅",项目基本情况!D37,项目基本情况!E37)))</f>
        <v>0</v>
      </c>
      <c r="I58" s="873">
        <f>SUMIF(修正!A45:A56,H58,修正!H45:H56)</f>
        <v>0</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2593</v>
      </c>
      <c r="B59" s="224" t="e">
        <f t="shared" si="17"/>
        <v>#DIV/0!</v>
      </c>
      <c r="C59" s="176">
        <f t="shared" si="16"/>
        <v>0.2</v>
      </c>
      <c r="D59" s="1070">
        <v>0.25</v>
      </c>
      <c r="E59" s="223">
        <f>'数据-汇总表'!E14</f>
        <v>0</v>
      </c>
      <c r="F59" s="647" t="e">
        <f t="shared" si="15"/>
        <v>#DIV/0!</v>
      </c>
      <c r="G59" s="2165" t="s">
        <v>2583</v>
      </c>
      <c r="H59" s="1012" t="str">
        <f>项目基本情况!B37</f>
        <v>七级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4.4" thickBot="1">
      <c r="A60" s="649" t="s">
        <v>2594</v>
      </c>
      <c r="B60" s="224" t="e">
        <f t="shared" si="17"/>
        <v>#DIV/0!</v>
      </c>
      <c r="C60" s="176">
        <f t="shared" si="16"/>
        <v>0.2</v>
      </c>
      <c r="D60" s="1070">
        <v>0.25</v>
      </c>
      <c r="E60" s="223">
        <f>'数据-汇总表'!E15</f>
        <v>0</v>
      </c>
      <c r="F60" s="647" t="e">
        <f t="shared" si="15"/>
        <v>#DIV/0!</v>
      </c>
      <c r="G60" s="2166" t="s">
        <v>2588</v>
      </c>
      <c r="H60" s="1022" t="str">
        <f>项目基本情况!C37</f>
        <v>七级</v>
      </c>
      <c r="I60" s="873">
        <f>SUMIF(修正!A45:A56,H60,修正!H45:H56)</f>
        <v>0.2</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4.4" thickBot="1">
      <c r="A61" s="651" t="s">
        <v>2595</v>
      </c>
      <c r="B61" s="652" t="s">
        <v>28</v>
      </c>
      <c r="C61" s="652" t="s">
        <v>29</v>
      </c>
      <c r="D61" s="652" t="s">
        <v>997</v>
      </c>
      <c r="E61" s="652">
        <f>IF(B41="楼面地价",SUM(E51:E60),'数据-汇总表'!D3)</f>
        <v>27615.81</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6"/>
      <c r="Q63" s="2946"/>
      <c r="R63" s="2946"/>
      <c r="S63" s="2946"/>
      <c r="T63" s="2946"/>
      <c r="U63" s="2946"/>
      <c r="V63" s="2946"/>
      <c r="W63" s="2946"/>
      <c r="X63" s="2946"/>
      <c r="Y63" s="2946"/>
      <c r="Z63" s="2946"/>
      <c r="AA63" s="2946"/>
      <c r="AB63" s="2946"/>
      <c r="AC63" s="2946"/>
      <c r="AD63" s="2946"/>
      <c r="AE63" s="2946"/>
    </row>
    <row r="64" spans="1:31" ht="22.2" thickBot="1">
      <c r="A64" s="703" t="s">
        <v>2489</v>
      </c>
      <c r="B64" s="699"/>
      <c r="C64" s="704"/>
      <c r="D64" s="704"/>
      <c r="E64" s="704"/>
      <c r="F64" s="705"/>
      <c r="G64" s="705"/>
      <c r="H64" s="704"/>
      <c r="I64" s="704"/>
      <c r="J64" s="704"/>
      <c r="K64" s="706"/>
      <c r="L64" s="707"/>
      <c r="M64" s="704"/>
      <c r="N64" s="704"/>
      <c r="O64" s="1065"/>
      <c r="P64" s="2990"/>
      <c r="Q64" s="2960"/>
      <c r="R64" s="2946"/>
      <c r="S64" s="2946"/>
      <c r="T64" s="2946"/>
      <c r="U64" s="2946"/>
      <c r="V64" s="2946"/>
      <c r="W64" s="2946"/>
      <c r="X64" s="2946"/>
      <c r="Y64" s="2946"/>
      <c r="Z64" s="2946"/>
      <c r="AA64" s="2946"/>
      <c r="AB64" s="2946"/>
      <c r="AC64" s="2946"/>
      <c r="AD64" s="2946"/>
      <c r="AE64" s="2946"/>
    </row>
    <row r="65" spans="1:31" s="465" customFormat="1" ht="14.4">
      <c r="A65" s="2167" t="s">
        <v>2596</v>
      </c>
      <c r="B65" s="1263"/>
      <c r="C65" s="1337" t="str">
        <f>YEAR(C63)&amp;"-"&amp;ROUNDUP(MONTH(C63)/3,0)</f>
        <v>2021-3</v>
      </c>
      <c r="D65" s="1337" t="str">
        <f t="shared" ref="D65:O65" si="19">YEAR(D63)&amp;"-"&amp;ROUNDUP(MONTH(D63)/3,0)</f>
        <v>2021-2</v>
      </c>
      <c r="E65" s="1337" t="str">
        <f t="shared" si="19"/>
        <v>2021-1</v>
      </c>
      <c r="F65" s="1337" t="str">
        <f t="shared" si="19"/>
        <v>2020-4</v>
      </c>
      <c r="G65" s="1337" t="str">
        <f t="shared" si="19"/>
        <v>2020-3</v>
      </c>
      <c r="H65" s="1337" t="str">
        <f t="shared" si="19"/>
        <v>2020-2</v>
      </c>
      <c r="I65" s="1337" t="str">
        <f t="shared" si="19"/>
        <v>2020-1</v>
      </c>
      <c r="J65" s="1337" t="str">
        <f t="shared" si="19"/>
        <v>2019-4</v>
      </c>
      <c r="K65" s="1337" t="str">
        <f t="shared" si="19"/>
        <v>2019-3</v>
      </c>
      <c r="L65" s="1337" t="str">
        <f t="shared" si="19"/>
        <v>2019-2</v>
      </c>
      <c r="M65" s="1337" t="str">
        <f t="shared" si="19"/>
        <v>2019-1</v>
      </c>
      <c r="N65" s="1337" t="str">
        <f t="shared" si="19"/>
        <v>2018-4</v>
      </c>
      <c r="O65" s="1337"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2615</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60"/>
      <c r="Q66" s="2880"/>
      <c r="R66" s="2880"/>
      <c r="S66" s="2880"/>
      <c r="T66" s="2880"/>
      <c r="U66" s="2880"/>
      <c r="V66" s="2880"/>
      <c r="W66" s="2880"/>
      <c r="X66" s="2880"/>
      <c r="Y66" s="2880"/>
      <c r="Z66" s="2880"/>
      <c r="AA66" s="2880"/>
      <c r="AB66" s="2880"/>
      <c r="AC66" s="2880"/>
      <c r="AD66" s="2880"/>
      <c r="AE66" s="2880"/>
    </row>
    <row r="67" spans="1:31" s="113" customFormat="1" ht="15" thickBot="1">
      <c r="A67" s="472" t="s">
        <v>2400</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4.4">
      <c r="A68" s="478" t="s">
        <v>2365</v>
      </c>
      <c r="B68" s="467"/>
      <c r="C68" s="479" t="s">
        <v>2467</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4.4"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ht="14.4">
      <c r="A70" s="484" t="s">
        <v>2403</v>
      </c>
      <c r="B70" s="485" t="s">
        <v>2369</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4.4"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9.4" thickTop="1">
      <c r="A72" s="491"/>
      <c r="B72" s="495" t="s">
        <v>2372</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4.4"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4.4"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4.4"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4.4"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4.4"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4.4"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4.4"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ht="14.4">
      <c r="A83" s="484" t="s">
        <v>2374</v>
      </c>
      <c r="B83" s="485" t="s">
        <v>2520</v>
      </c>
      <c r="C83" s="530" t="s">
        <v>2412</v>
      </c>
      <c r="D83" s="530" t="s">
        <v>2413</v>
      </c>
      <c r="E83" s="530" t="s">
        <v>2414</v>
      </c>
      <c r="F83" s="530" t="s">
        <v>2415</v>
      </c>
      <c r="G83" s="530" t="s">
        <v>2416</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 thickTop="1">
      <c r="A85" s="491"/>
      <c r="B85" s="495" t="s">
        <v>2417</v>
      </c>
      <c r="C85" s="535" t="s">
        <v>2412</v>
      </c>
      <c r="D85" s="535" t="s">
        <v>2413</v>
      </c>
      <c r="E85" s="535" t="s">
        <v>2414</v>
      </c>
      <c r="F85" s="535" t="s">
        <v>2415</v>
      </c>
      <c r="G85" s="535" t="s">
        <v>2416</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29.4" thickTop="1">
      <c r="A87" s="536"/>
      <c r="B87" s="495" t="s">
        <v>2598</v>
      </c>
      <c r="C87" s="530" t="s">
        <v>2412</v>
      </c>
      <c r="D87" s="530" t="s">
        <v>2413</v>
      </c>
      <c r="E87" s="530" t="s">
        <v>2414</v>
      </c>
      <c r="F87" s="530" t="s">
        <v>2415</v>
      </c>
      <c r="G87" s="530" t="s">
        <v>2416</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9.4" thickTop="1">
      <c r="A89" s="536"/>
      <c r="B89" s="495" t="s">
        <v>2599</v>
      </c>
      <c r="C89" s="530" t="s">
        <v>2412</v>
      </c>
      <c r="D89" s="530" t="s">
        <v>2413</v>
      </c>
      <c r="E89" s="530" t="s">
        <v>2414</v>
      </c>
      <c r="F89" s="530" t="s">
        <v>2415</v>
      </c>
      <c r="G89" s="530" t="s">
        <v>2416</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 thickTop="1">
      <c r="A91" s="510"/>
      <c r="B91" s="495" t="s">
        <v>2469</v>
      </c>
      <c r="C91" s="530" t="s">
        <v>2412</v>
      </c>
      <c r="D91" s="530" t="s">
        <v>2413</v>
      </c>
      <c r="E91" s="530" t="s">
        <v>2414</v>
      </c>
      <c r="F91" s="530" t="s">
        <v>2415</v>
      </c>
      <c r="G91" s="530" t="s">
        <v>2416</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 thickTop="1">
      <c r="A93" s="510"/>
      <c r="B93" s="503" t="s">
        <v>2616</v>
      </c>
      <c r="C93" s="616" t="s">
        <v>2490</v>
      </c>
      <c r="D93" s="616" t="s">
        <v>2491</v>
      </c>
      <c r="E93" s="616" t="s">
        <v>2492</v>
      </c>
      <c r="F93" s="616" t="s">
        <v>2493</v>
      </c>
      <c r="G93" s="616" t="s">
        <v>2494</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 thickTop="1">
      <c r="A95" s="491"/>
      <c r="B95" s="495" t="str">
        <f>B27</f>
        <v>临街状况</v>
      </c>
      <c r="C95" s="496" t="s">
        <v>2600</v>
      </c>
      <c r="D95" s="496" t="s">
        <v>2601</v>
      </c>
      <c r="E95" s="496" t="s">
        <v>2602</v>
      </c>
      <c r="F95" s="496" t="s">
        <v>2603</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9.4" thickTop="1">
      <c r="A97" s="491"/>
      <c r="B97" s="495" t="s">
        <v>2506</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 thickTop="1">
      <c r="A99" s="491"/>
      <c r="B99" s="495" t="s">
        <v>2564</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4.4"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4.4"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4.4"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4.4"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4.4"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4.4"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ht="14.4">
      <c r="A107" s="484" t="s">
        <v>2378</v>
      </c>
      <c r="B107" s="485" t="s">
        <v>2604</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4.4"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2605</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2607</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2608</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4.4"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4.4"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4.4"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4.4"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4.4"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4.4"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46" sqref="K46"/>
    </sheetView>
  </sheetViews>
  <sheetFormatPr defaultColWidth="12" defaultRowHeight="13.2"/>
  <cols>
    <col min="1" max="1" width="9.77734375" style="2242" customWidth="1"/>
    <col min="2" max="2" width="19.21875" style="2345" customWidth="1"/>
    <col min="3" max="4" width="12" style="2176"/>
    <col min="5" max="5" width="14.6640625" style="2176" customWidth="1"/>
    <col min="6" max="8" width="12" style="2176"/>
    <col min="9" max="9" width="12.21875" style="2176" bestFit="1" customWidth="1"/>
    <col min="10" max="10" width="12" style="2176"/>
    <col min="11" max="11" width="8.109375" style="2237" customWidth="1"/>
    <col min="12" max="12" width="12" style="2176"/>
    <col min="13" max="13" width="8.44140625" style="2176" customWidth="1"/>
    <col min="14" max="14" width="9.77734375" style="2176" customWidth="1"/>
    <col min="15" max="25" width="12" style="2176"/>
    <col min="26" max="26" width="9.33203125" style="2242" customWidth="1"/>
    <col min="27" max="32" width="9.33203125" style="1276" customWidth="1"/>
    <col min="33" max="36" width="9.33203125" style="2242" customWidth="1"/>
    <col min="37" max="38" width="9.33203125" style="2176" customWidth="1"/>
    <col min="39" max="16384" width="12" style="2176"/>
  </cols>
  <sheetData>
    <row r="1" spans="1:36" ht="31.2">
      <c r="A1" s="202" t="s">
        <v>2617</v>
      </c>
      <c r="B1" s="203"/>
      <c r="C1" s="207" t="s">
        <v>2618</v>
      </c>
      <c r="D1" s="348">
        <f>SUM(D29:D30,D33:D39)</f>
        <v>169830.57</v>
      </c>
      <c r="E1" s="2173"/>
      <c r="F1" s="2173"/>
      <c r="G1" s="2173"/>
      <c r="H1" s="2173"/>
      <c r="I1" s="2173"/>
      <c r="J1" s="2173"/>
      <c r="K1" s="1274"/>
      <c r="L1" s="2174" t="s">
        <v>2619</v>
      </c>
      <c r="M1" s="988">
        <f>SUMPRODUCT((区片价!B5:B9=I2)*(区片价!C3:F3=E2)*(区片价!C5:F9))</f>
        <v>0</v>
      </c>
      <c r="N1" s="991">
        <f>SUMPRODUCT((因素修正幅度!B5:B9=I2)*(因素修正幅度!C3:F3=E2)*(因素修正幅度!C5:F9))</f>
        <v>0</v>
      </c>
      <c r="O1" s="2175"/>
      <c r="P1" s="2175"/>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6">
      <c r="A2" s="207" t="s">
        <v>2625</v>
      </c>
      <c r="B2" s="210">
        <f>C26</f>
        <v>134956</v>
      </c>
      <c r="C2" s="2177" t="s">
        <v>2626</v>
      </c>
      <c r="D2" s="2178" t="s">
        <v>2627</v>
      </c>
      <c r="E2" s="2179" t="s">
        <v>27</v>
      </c>
      <c r="F2" s="2178" t="s">
        <v>2628</v>
      </c>
      <c r="G2" s="2180" t="str">
        <f>IF(E2="商业",项目基本情况!B37,IF(E2="办公",项目基本情况!C37,IF(E2="住宅",项目基本情况!D37,项目基本情况!E37)))</f>
        <v>七级</v>
      </c>
      <c r="H2" s="2178" t="s">
        <v>2629</v>
      </c>
      <c r="I2" s="2180" t="str">
        <f>IF(E2="商业",项目基本情况!B38,IF(E2="办公",项目基本情况!C38,IF(E2="住宅",项目基本情况!D38,项目基本情况!E38)))</f>
        <v>Ⅶ-兴1</v>
      </c>
      <c r="J2" s="2181"/>
      <c r="K2" s="1274"/>
      <c r="L2" s="2182"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22347</v>
      </c>
      <c r="U2" s="1368"/>
      <c r="V2" s="1367">
        <f>ROUND(T2*U2/10000,0)</f>
        <v>0</v>
      </c>
      <c r="W2" s="1371"/>
      <c r="X2" s="1371"/>
      <c r="Y2" s="1371"/>
      <c r="Z2" s="1371"/>
      <c r="AA2" s="1371"/>
      <c r="AB2" s="1371"/>
      <c r="AC2" s="1372"/>
      <c r="AD2" s="1373"/>
      <c r="AE2" s="1373"/>
      <c r="AF2" s="1373"/>
      <c r="AG2" s="1373"/>
      <c r="AH2" s="1373"/>
      <c r="AI2" s="1373"/>
      <c r="AJ2" s="1374"/>
    </row>
    <row r="3" spans="1:36" ht="26.4">
      <c r="A3" s="209" t="s">
        <v>2631</v>
      </c>
      <c r="B3" s="210">
        <f>ROUND(B2*10000/D1,0)</f>
        <v>7947</v>
      </c>
      <c r="C3" s="2177" t="s">
        <v>2632</v>
      </c>
      <c r="D3" s="2178" t="s">
        <v>2633</v>
      </c>
      <c r="E3" s="2183" t="s">
        <v>3719</v>
      </c>
      <c r="F3" s="2184" t="s">
        <v>2634</v>
      </c>
      <c r="G3" s="849">
        <f>IF(F3="宗地容积率",'数据-汇总表'!I4,IF(F3="估价对象容积率",'数据-汇总表'!I6,'数据-汇总表'!I7))</f>
        <v>3.99</v>
      </c>
      <c r="H3" s="175" t="s">
        <v>2635</v>
      </c>
      <c r="I3" s="875"/>
      <c r="J3" s="2181" t="s">
        <v>2636</v>
      </c>
      <c r="K3" s="1274"/>
      <c r="L3" s="2182"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16041</v>
      </c>
      <c r="U3" s="1368"/>
      <c r="V3" s="1367">
        <f t="shared" ref="V3:V16" si="1">ROUND(T3*U3/10000,0)</f>
        <v>0</v>
      </c>
      <c r="W3" s="1371"/>
      <c r="X3" s="1371"/>
      <c r="Y3" s="1371"/>
      <c r="Z3" s="1371"/>
      <c r="AA3" s="1371"/>
      <c r="AB3" s="1371"/>
      <c r="AC3" s="1372"/>
      <c r="AD3" s="1373"/>
      <c r="AE3" s="1373"/>
      <c r="AF3" s="1373"/>
      <c r="AG3" s="1373"/>
      <c r="AH3" s="1373"/>
      <c r="AI3" s="1373"/>
      <c r="AJ3" s="1374"/>
    </row>
    <row r="4" spans="1:36" ht="15.6">
      <c r="A4" s="3390"/>
      <c r="B4" s="3391"/>
      <c r="C4" s="3391"/>
      <c r="D4" s="3392"/>
      <c r="E4" s="3392"/>
      <c r="F4" s="3392"/>
      <c r="G4" s="3392"/>
      <c r="H4" s="3392"/>
      <c r="I4" s="3392"/>
      <c r="J4" s="3393"/>
      <c r="K4" s="1274"/>
      <c r="L4" s="2182"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si="0"/>
        <v>12941</v>
      </c>
      <c r="U4" s="1368"/>
      <c r="V4" s="1367">
        <f t="shared" si="1"/>
        <v>0</v>
      </c>
      <c r="W4" s="1371"/>
      <c r="X4" s="1371"/>
      <c r="Y4" s="1371"/>
      <c r="Z4" s="1371"/>
      <c r="AA4" s="1371"/>
      <c r="AB4" s="1371"/>
      <c r="AC4" s="1372"/>
      <c r="AD4" s="1373"/>
      <c r="AE4" s="1373"/>
      <c r="AF4" s="1373"/>
      <c r="AG4" s="1373"/>
      <c r="AH4" s="1373"/>
      <c r="AI4" s="1373"/>
      <c r="AJ4" s="1374"/>
    </row>
    <row r="5" spans="1:36" s="2194" customFormat="1" ht="15.6" thickBot="1">
      <c r="A5" s="2185" t="s">
        <v>807</v>
      </c>
      <c r="B5" s="2186" t="s">
        <v>2639</v>
      </c>
      <c r="C5" s="850">
        <f>ROUND(IF(E2="商业",C6*C7+C16,(IF(E2="住宅",C6*C12+C16,C6+C16))),0)</f>
        <v>8570</v>
      </c>
      <c r="D5" s="1516">
        <f>ROUND(C6+C16,0)</f>
        <v>8570</v>
      </c>
      <c r="E5" s="1516"/>
      <c r="F5" s="2187"/>
      <c r="G5" s="2188"/>
      <c r="H5" s="2188"/>
      <c r="I5" s="2188"/>
      <c r="J5" s="2189"/>
      <c r="K5" s="2190"/>
      <c r="L5" s="2182"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0.86560000000000004</v>
      </c>
      <c r="T5" s="1367">
        <f t="shared" si="0"/>
        <v>10384</v>
      </c>
      <c r="U5" s="1368"/>
      <c r="V5" s="1367">
        <f t="shared" si="1"/>
        <v>0</v>
      </c>
      <c r="W5" s="1371"/>
      <c r="X5" s="1371"/>
      <c r="Y5" s="1371"/>
      <c r="Z5" s="1371"/>
      <c r="AA5" s="1371"/>
      <c r="AB5" s="1371"/>
      <c r="AC5" s="2191"/>
      <c r="AD5" s="2192"/>
      <c r="AE5" s="2192"/>
      <c r="AF5" s="2192"/>
      <c r="AG5" s="2192"/>
      <c r="AH5" s="2192"/>
      <c r="AI5" s="2192"/>
      <c r="AJ5" s="2193"/>
    </row>
    <row r="6" spans="1:36" ht="15.6" thickBot="1">
      <c r="A6" s="2195" t="s">
        <v>2641</v>
      </c>
      <c r="B6" s="2196" t="s">
        <v>2642</v>
      </c>
      <c r="C6" s="851">
        <f>SUMIF(L1:L12,G2,M1:M12)</f>
        <v>8570</v>
      </c>
      <c r="D6" s="2197" t="s">
        <v>2643</v>
      </c>
      <c r="E6" s="2198"/>
      <c r="F6" s="2198"/>
      <c r="G6" s="2199"/>
      <c r="H6" s="2199"/>
      <c r="I6" s="2199"/>
      <c r="J6" s="2200"/>
      <c r="K6" s="1561"/>
      <c r="L6" s="2182"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8842</v>
      </c>
      <c r="U6" s="1368"/>
      <c r="V6" s="1367">
        <f t="shared" si="1"/>
        <v>0</v>
      </c>
      <c r="W6" s="1371"/>
      <c r="X6" s="1371"/>
      <c r="Y6" s="1371"/>
      <c r="Z6" s="1371"/>
      <c r="AA6" s="1371"/>
      <c r="AB6" s="1371"/>
      <c r="AC6" s="2191"/>
      <c r="AD6" s="2192"/>
      <c r="AE6" s="2192"/>
      <c r="AF6" s="2192"/>
      <c r="AG6" s="2192"/>
      <c r="AH6" s="2192"/>
      <c r="AI6" s="2192"/>
      <c r="AJ6" s="2193"/>
    </row>
    <row r="7" spans="1:36" ht="24">
      <c r="A7" s="3394" t="str">
        <f>IF(E2="商业",IF(C8="不临58条商业街","",2),"")</f>
        <v/>
      </c>
      <c r="B7" s="2201" t="s">
        <v>2645</v>
      </c>
      <c r="C7" s="852" t="e">
        <f>IF(C8="不临58条商业街",1,ROUND(1+(1.6*E8+1.2*E9+0.8*E10+0.4*E11)*C9,4))</f>
        <v>#DIV/0!</v>
      </c>
      <c r="D7" s="2202" t="s">
        <v>2646</v>
      </c>
      <c r="E7" s="876"/>
      <c r="F7" s="2203"/>
      <c r="G7" s="2204"/>
      <c r="H7" s="2204"/>
      <c r="I7" s="2204"/>
      <c r="J7" s="2205"/>
      <c r="K7" s="1561"/>
      <c r="L7" s="2182" t="s">
        <v>2647</v>
      </c>
      <c r="M7" s="989">
        <f>SUMPRODUCT((区片价!B158:B205=I2)*(区片价!C3:F3=E2)*(区片价!C158:F205))</f>
        <v>8570</v>
      </c>
      <c r="N7" s="991">
        <f>SUMPRODUCT((因素修正幅度!B158:B205=I2)*(因素修正幅度!C3:F3=E2)*(因素修正幅度!C158:F205))</f>
        <v>0.13</v>
      </c>
      <c r="O7" s="1274"/>
      <c r="P7" s="1274"/>
      <c r="Q7" s="1274"/>
      <c r="R7" s="1367">
        <v>6</v>
      </c>
      <c r="S7" s="1367">
        <f>ROUND(IF(G3&gt;1,IF(R7&lt;7,SUMPRODUCT((B93:B98=R7)*(C92:N92=G2)*(C93:N98)),SUMIF(C92:N92,G2,C100:N100)),IF(R7&lt;7,SUMPRODUCT((B102:B107=R7)*(C92:N92=G2)*(C102:N107)),SUMIF(C92:N92,G2,C109:N109))),4)</f>
        <v>0.6482</v>
      </c>
      <c r="T7" s="1367">
        <f t="shared" si="0"/>
        <v>7776</v>
      </c>
      <c r="U7" s="1368"/>
      <c r="V7" s="1367">
        <f t="shared" si="1"/>
        <v>0</v>
      </c>
      <c r="W7" s="1535" t="s">
        <v>2648</v>
      </c>
      <c r="X7" s="1369" t="str">
        <f>G2</f>
        <v>七级</v>
      </c>
      <c r="Y7" s="1369" t="s">
        <v>2649</v>
      </c>
      <c r="Z7" s="1370">
        <f>G3</f>
        <v>3.99</v>
      </c>
      <c r="AA7" s="1371"/>
      <c r="AB7" s="1371"/>
      <c r="AC7" s="1372"/>
      <c r="AD7" s="1373"/>
      <c r="AE7" s="1373"/>
      <c r="AF7" s="1373"/>
      <c r="AG7" s="1373"/>
      <c r="AH7" s="1373"/>
      <c r="AI7" s="1373"/>
      <c r="AJ7" s="1374"/>
    </row>
    <row r="8" spans="1:36" ht="15">
      <c r="A8" s="3395"/>
      <c r="B8" s="175" t="s">
        <v>2650</v>
      </c>
      <c r="C8" s="2206"/>
      <c r="D8" s="853" t="s">
        <v>139</v>
      </c>
      <c r="E8" s="854" t="e">
        <f>ROUND(C11/E7,4)</f>
        <v>#DIV/0!</v>
      </c>
      <c r="F8" s="2207" t="s">
        <v>2651</v>
      </c>
      <c r="G8" s="2208"/>
      <c r="H8" s="2208"/>
      <c r="I8" s="2208"/>
      <c r="J8" s="2209"/>
      <c r="K8" s="1274"/>
      <c r="L8" s="2182"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87" t="s">
        <v>2653</v>
      </c>
      <c r="X8" s="3388"/>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395"/>
      <c r="B9" s="175" t="s">
        <v>2666</v>
      </c>
      <c r="C9" s="855">
        <f>SUMIF(修正!C59:C119,C8,修正!E59:E119)</f>
        <v>0</v>
      </c>
      <c r="D9" s="176" t="s">
        <v>140</v>
      </c>
      <c r="E9" s="176" t="e">
        <f>ROUND(C11/E7,4)</f>
        <v>#DIV/0!</v>
      </c>
      <c r="F9" s="2207" t="s">
        <v>2667</v>
      </c>
      <c r="G9" s="2208"/>
      <c r="H9" s="2208"/>
      <c r="I9" s="2208"/>
      <c r="J9" s="2209"/>
      <c r="K9" s="1274"/>
      <c r="L9" s="2182"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89" t="s">
        <v>2669</v>
      </c>
      <c r="X9" s="1376" t="s">
        <v>2670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95"/>
      <c r="B10" s="175" t="s">
        <v>2671</v>
      </c>
      <c r="C10" s="176">
        <f>SUMIF(修正!C59:C119,C8,修正!F59:F119)</f>
        <v>0</v>
      </c>
      <c r="D10" s="176" t="s">
        <v>141</v>
      </c>
      <c r="E10" s="176" t="e">
        <f>ROUND(C11/E7,4)</f>
        <v>#DIV/0!</v>
      </c>
      <c r="F10" s="2207" t="s">
        <v>2672</v>
      </c>
      <c r="G10" s="2208"/>
      <c r="H10" s="2208"/>
      <c r="I10" s="2208"/>
      <c r="J10" s="2209"/>
      <c r="K10" s="1274"/>
      <c r="L10" s="2182"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89"/>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6" thickBot="1">
      <c r="A11" s="3395"/>
      <c r="B11" s="2210" t="s">
        <v>2674</v>
      </c>
      <c r="C11" s="856">
        <f>C10/4</f>
        <v>0</v>
      </c>
      <c r="D11" s="856" t="s">
        <v>142</v>
      </c>
      <c r="E11" s="856" t="e">
        <f>ROUND(C11/E7,4)</f>
        <v>#DIV/0!</v>
      </c>
      <c r="F11" s="2211" t="s">
        <v>2675</v>
      </c>
      <c r="G11" s="2212"/>
      <c r="H11" s="2212"/>
      <c r="I11" s="2212"/>
      <c r="J11" s="2213"/>
      <c r="K11" s="1274"/>
      <c r="L11" s="2182"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89" t="s">
        <v>2677</v>
      </c>
      <c r="X11" s="1379" t="s">
        <v>2678</v>
      </c>
      <c r="Y11" s="1380">
        <f>$G$3</f>
        <v>3.99</v>
      </c>
      <c r="Z11" s="1380">
        <f t="shared" ref="Z11:AJ11" si="3">$G$3</f>
        <v>3.99</v>
      </c>
      <c r="AA11" s="1380">
        <f t="shared" si="3"/>
        <v>3.99</v>
      </c>
      <c r="AB11" s="1380">
        <f t="shared" si="3"/>
        <v>3.99</v>
      </c>
      <c r="AC11" s="1380">
        <f t="shared" si="3"/>
        <v>3.99</v>
      </c>
      <c r="AD11" s="1380">
        <f t="shared" si="3"/>
        <v>3.99</v>
      </c>
      <c r="AE11" s="1380">
        <f t="shared" si="3"/>
        <v>3.99</v>
      </c>
      <c r="AF11" s="1380">
        <f t="shared" si="3"/>
        <v>3.99</v>
      </c>
      <c r="AG11" s="1380">
        <f t="shared" si="3"/>
        <v>3.99</v>
      </c>
      <c r="AH11" s="1380">
        <f t="shared" si="3"/>
        <v>3.99</v>
      </c>
      <c r="AI11" s="1380">
        <f t="shared" si="3"/>
        <v>3.99</v>
      </c>
      <c r="AJ11" s="1380">
        <f t="shared" si="3"/>
        <v>3.99</v>
      </c>
    </row>
    <row r="12" spans="1:36" ht="25.8" thickBot="1">
      <c r="A12" s="3394" t="s">
        <v>2679</v>
      </c>
      <c r="B12" s="2214" t="s">
        <v>2680</v>
      </c>
      <c r="C12" s="852">
        <f>ROUND(C15*D15*E15*F15*G15*H15*I15*J15,4)</f>
        <v>1</v>
      </c>
      <c r="D12" s="2215" t="s">
        <v>2681</v>
      </c>
      <c r="E12" s="2216"/>
      <c r="F12" s="2216"/>
      <c r="G12" s="2217"/>
      <c r="H12" s="2217"/>
      <c r="I12" s="2217"/>
      <c r="J12" s="2218"/>
      <c r="K12" s="1274"/>
      <c r="L12" s="2219"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89"/>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96"/>
      <c r="B13" s="2220" t="s">
        <v>2684</v>
      </c>
      <c r="C13" s="2221" t="s">
        <v>2685</v>
      </c>
      <c r="D13" s="1527" t="s">
        <v>2686</v>
      </c>
      <c r="E13" s="1527" t="s">
        <v>2687</v>
      </c>
      <c r="F13" s="30" t="s">
        <v>2688</v>
      </c>
      <c r="G13" s="2222" t="s">
        <v>2689</v>
      </c>
      <c r="H13" s="2222" t="s">
        <v>2689</v>
      </c>
      <c r="I13" s="2222" t="s">
        <v>2689</v>
      </c>
      <c r="J13" s="2223" t="s">
        <v>2689</v>
      </c>
      <c r="K13" s="1274"/>
      <c r="L13" s="1274"/>
      <c r="M13" s="1274"/>
      <c r="N13" s="1274"/>
      <c r="O13" s="1274"/>
      <c r="P13" s="1274"/>
      <c r="Q13" s="1274"/>
      <c r="R13" s="1367">
        <v>12</v>
      </c>
      <c r="S13" s="1368"/>
      <c r="T13" s="1367">
        <f t="shared" si="0"/>
        <v>0</v>
      </c>
      <c r="U13" s="1368"/>
      <c r="V13" s="1367">
        <f t="shared" si="1"/>
        <v>0</v>
      </c>
      <c r="W13" s="3389"/>
      <c r="X13" s="1381"/>
      <c r="Y13" s="1378">
        <f>(-0.163*(Y12^2)-0.59*Y12+7617)*(10^(-4))/Y11</f>
        <v>0.19090225563909774</v>
      </c>
      <c r="Z13" s="1378">
        <f t="shared" ref="Z13:AJ13" si="5">(-0.163*(Z12^2)-0.59*Z12+7617)*(10^(-4))/Z11</f>
        <v>0.19090225563909774</v>
      </c>
      <c r="AA13" s="1378">
        <f t="shared" si="5"/>
        <v>0.19090225563909774</v>
      </c>
      <c r="AB13" s="1378">
        <f t="shared" si="5"/>
        <v>0.19090225563909774</v>
      </c>
      <c r="AC13" s="1378">
        <f t="shared" si="5"/>
        <v>0.19090225563909774</v>
      </c>
      <c r="AD13" s="1378">
        <f t="shared" si="5"/>
        <v>0.19090225563909774</v>
      </c>
      <c r="AE13" s="1378">
        <f t="shared" si="5"/>
        <v>0.19090225563909774</v>
      </c>
      <c r="AF13" s="1378">
        <f t="shared" si="5"/>
        <v>0.19090225563909774</v>
      </c>
      <c r="AG13" s="1378">
        <f t="shared" si="5"/>
        <v>0.19090225563909774</v>
      </c>
      <c r="AH13" s="1378">
        <f t="shared" si="5"/>
        <v>0.19090225563909774</v>
      </c>
      <c r="AI13" s="1378">
        <f t="shared" si="5"/>
        <v>0.19090225563909774</v>
      </c>
      <c r="AJ13" s="1378">
        <f t="shared" si="5"/>
        <v>0.19090225563909774</v>
      </c>
    </row>
    <row r="14" spans="1:36" ht="15">
      <c r="A14" s="3396"/>
      <c r="B14" s="2224"/>
      <c r="C14" s="2225"/>
      <c r="D14" s="2226"/>
      <c r="E14" s="2226"/>
      <c r="F14" s="2227"/>
      <c r="G14" s="2228" t="s">
        <v>2690</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2"/>
      <c r="AE14" s="3012"/>
      <c r="AF14" s="3012"/>
      <c r="AG14" s="3012"/>
      <c r="AH14" s="3012"/>
      <c r="AI14" s="3012"/>
      <c r="AJ14" s="3013"/>
    </row>
    <row r="15" spans="1:36" ht="15.6" thickBot="1">
      <c r="A15" s="3397"/>
      <c r="B15" s="2232" t="s">
        <v>2691</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2"/>
      <c r="AE15" s="3012"/>
      <c r="AF15" s="3012"/>
      <c r="AG15" s="3012"/>
      <c r="AH15" s="3012"/>
      <c r="AI15" s="3012"/>
      <c r="AJ15" s="3013"/>
    </row>
    <row r="16" spans="1:36" ht="24.6" customHeight="1">
      <c r="A16" s="3394" t="s">
        <v>2696</v>
      </c>
      <c r="B16" s="2201" t="s">
        <v>2697</v>
      </c>
      <c r="C16" s="2363">
        <f>ROUND(IF(F17="与级别开发程度一致",0,(G17-E17)/C17),0)</f>
        <v>0</v>
      </c>
      <c r="D16" s="3410" t="s">
        <v>2701</v>
      </c>
      <c r="E16" s="3411"/>
      <c r="F16" s="3410" t="s">
        <v>2698</v>
      </c>
      <c r="G16" s="3411"/>
      <c r="H16" s="2233"/>
      <c r="I16" s="2233"/>
      <c r="J16" s="2367"/>
      <c r="K16" s="2233"/>
      <c r="L16" s="2233"/>
      <c r="M16" s="2233"/>
      <c r="N16" s="2233"/>
      <c r="O16" s="2234"/>
      <c r="P16" s="2175"/>
      <c r="Q16" s="1274"/>
      <c r="R16" s="1367">
        <v>15</v>
      </c>
      <c r="S16" s="1368"/>
      <c r="T16" s="1367">
        <f t="shared" si="0"/>
        <v>0</v>
      </c>
      <c r="U16" s="1368"/>
      <c r="V16" s="1367">
        <f t="shared" si="1"/>
        <v>0</v>
      </c>
      <c r="W16" s="1371"/>
      <c r="X16" s="1371"/>
      <c r="Y16" s="1371"/>
      <c r="Z16" s="1371"/>
      <c r="AA16" s="1371"/>
      <c r="AB16" s="1371"/>
      <c r="AC16" s="1372"/>
      <c r="AD16" s="3012"/>
      <c r="AE16" s="3012"/>
      <c r="AF16" s="3012"/>
      <c r="AG16" s="3012"/>
      <c r="AH16" s="3012"/>
      <c r="AI16" s="3012"/>
      <c r="AJ16" s="3013"/>
    </row>
    <row r="17" spans="1:37" ht="27" thickBot="1">
      <c r="A17" s="3398"/>
      <c r="B17" s="2374" t="s">
        <v>2700</v>
      </c>
      <c r="C17" s="2375">
        <f>SUMPRODUCT((修正!A2:A5=E2)*(修正!B1:M1=G2)*(修正!B2:M5))</f>
        <v>2.5</v>
      </c>
      <c r="D17" s="193" t="str">
        <f>IF(OR(G2="八级",G2="九级",G2="十级",G2="十一级",G2="十二级"),"五通一平","七通一平")</f>
        <v>七通一平</v>
      </c>
      <c r="E17" s="2364">
        <f>SUMPRODUCT((修正!B1:M1=G2)*(修正!B15:M15))</f>
        <v>300</v>
      </c>
      <c r="F17" s="2365" t="s">
        <v>3720</v>
      </c>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 thickBot="1">
      <c r="A18" s="2368" t="s">
        <v>808</v>
      </c>
      <c r="B18" s="2369" t="s">
        <v>2703</v>
      </c>
      <c r="C18" s="2370">
        <f>SUMIF(修正!C18:C39,E3,修正!E18:E39)</f>
        <v>1</v>
      </c>
      <c r="D18" s="2371"/>
      <c r="E18" s="2372"/>
      <c r="F18" s="2372"/>
      <c r="G18" s="2372"/>
      <c r="H18" s="2372"/>
      <c r="I18" s="2372"/>
      <c r="J18" s="2373"/>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11"/>
    </row>
    <row r="19" spans="1:37" s="2194" customFormat="1" ht="29.4" thickBot="1">
      <c r="A19" s="2238" t="s">
        <v>809</v>
      </c>
      <c r="B19" s="2239" t="s">
        <v>2704</v>
      </c>
      <c r="C19" s="857">
        <f>ROUND(IF(H19="按公示增长率计算",SUMPRODUCT((地价!A3:A35=YEAR(G19)&amp;"-"&amp;ROUNDUP(MONTH(G19)/3,0))*(地价!X2:AB2=E2)*(地价!X3:AB35)),IF(H19="地价指数",M20/M19,(1+I19)^O19)),4)</f>
        <v>1.3588</v>
      </c>
      <c r="D19" s="2243" t="s">
        <v>2705</v>
      </c>
      <c r="E19" s="858">
        <v>41640</v>
      </c>
      <c r="F19" s="2243" t="s">
        <v>2706</v>
      </c>
      <c r="G19" s="859">
        <f>'数据-取费表'!B2</f>
        <v>44397</v>
      </c>
      <c r="H19" s="2244" t="s">
        <v>3721</v>
      </c>
      <c r="I19" s="860" t="str">
        <f>IF(H19="季度增幅（自定义）",SUMIF(N21:N24,E2,O21:O24),"")</f>
        <v/>
      </c>
      <c r="J19" s="2241"/>
      <c r="K19" s="1281"/>
      <c r="L19" s="2245" t="s">
        <v>2707</v>
      </c>
      <c r="M19" s="1489">
        <f>ROUND(SUMIF(地价!B2:F2,E2,地价!B35:F35),0)</f>
        <v>258</v>
      </c>
      <c r="N19" s="2246" t="s">
        <v>2708</v>
      </c>
      <c r="O19" s="861">
        <f>ROUNDDOWN(DATEDIF(E19,G19,"M")/3,0)</f>
        <v>30</v>
      </c>
      <c r="P19" s="1278"/>
      <c r="Q19" s="1280"/>
      <c r="R19" s="1280"/>
      <c r="S19" s="1280"/>
      <c r="T19" s="1275"/>
      <c r="U19" s="1275"/>
      <c r="V19" s="1275"/>
      <c r="W19" s="1274"/>
      <c r="X19" s="1274"/>
      <c r="Y19" s="1274"/>
      <c r="Z19" s="1281"/>
      <c r="AA19" s="1281"/>
      <c r="AB19" s="1281"/>
      <c r="AC19" s="1281"/>
      <c r="AD19" s="1281"/>
      <c r="AE19" s="1281"/>
      <c r="AF19" s="1280"/>
      <c r="AG19" s="3014"/>
      <c r="AH19" s="2332"/>
      <c r="AI19" s="3015"/>
      <c r="AJ19" s="3015"/>
      <c r="AK19" s="2247"/>
    </row>
    <row r="20" spans="1:37" s="2194" customFormat="1" ht="29.4" thickBot="1">
      <c r="A20" s="2248" t="s">
        <v>810</v>
      </c>
      <c r="B20" s="2249" t="s">
        <v>2709</v>
      </c>
      <c r="C20" s="862">
        <f>ROUND(POWER(1+G20,J20-I20)*(POWER(1+G20,I20)-1)/(POWER(1+G20,J20)-1),4)</f>
        <v>0.97450000000000003</v>
      </c>
      <c r="D20" s="2250" t="s">
        <v>2710</v>
      </c>
      <c r="E20" s="1498">
        <f>存贷款利率!E18/100</f>
        <v>4.3499999999999997E-2</v>
      </c>
      <c r="F20" s="2250" t="s">
        <v>2702</v>
      </c>
      <c r="G20" s="867">
        <f>SUMIF(M26:P26,E2,M28:P28)</f>
        <v>5.1999999999999998E-2</v>
      </c>
      <c r="H20" s="2250" t="s">
        <v>2711</v>
      </c>
      <c r="I20" s="868">
        <f>SUMIF('数据-取费表'!C6:C15,E2,'数据-取费表'!F6:F15)/COUNTIF('数据-取费表'!C6:C15,E2)</f>
        <v>44.88</v>
      </c>
      <c r="J20" s="869">
        <f>IF(E2="住宅",70,IF(E2="商业",40,50))</f>
        <v>50</v>
      </c>
      <c r="K20" s="1281"/>
      <c r="L20" s="2251" t="s">
        <v>2712</v>
      </c>
      <c r="M20" s="1490">
        <f>ROUND(SUMPRODUCT((地价!A4:A35=YEAR(G19)&amp;"-"&amp;ROUNDUP(MONTH(G19)/3,0))*(地价!B2:F2=E2)*(地价!B4:F35)),0)</f>
        <v>350</v>
      </c>
      <c r="N20" s="2252" t="s">
        <v>2713</v>
      </c>
      <c r="O20" s="2253" t="s">
        <v>2714</v>
      </c>
      <c r="P20" s="2254" t="s">
        <v>2715</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4" customFormat="1" ht="14.4">
      <c r="A21" s="2255" t="s">
        <v>811</v>
      </c>
      <c r="B21" s="2256" t="s">
        <v>3722</v>
      </c>
      <c r="C21" s="870">
        <f>IF(B21="容积率修正",IF(G3&lt;=10,D22,J22),C23)</f>
        <v>0.86639999999999995</v>
      </c>
      <c r="D21" s="2257"/>
      <c r="E21" s="2257"/>
      <c r="F21" s="2257"/>
      <c r="G21" s="2257"/>
      <c r="H21" s="2257"/>
      <c r="I21" s="2257"/>
      <c r="J21" s="2258"/>
      <c r="K21" s="1281"/>
      <c r="L21" s="3011"/>
      <c r="M21" s="3011"/>
      <c r="N21" s="2259" t="s">
        <v>2716</v>
      </c>
      <c r="O21" s="1329"/>
      <c r="P21" s="1330">
        <f>SUMPRODUCT((地价!A3:A35=YEAR(G19)&amp;"-"&amp;ROUNDUP(MONTH(G19)/3,0))*(地价!AD2:AH2=N21)*(地价!AD3:AH35))</f>
        <v>1.0699999999999999E-2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4" customFormat="1" ht="14.4">
      <c r="A22" s="2133" t="s">
        <v>2717</v>
      </c>
      <c r="B22" s="2260" t="s">
        <v>2718</v>
      </c>
      <c r="C22" s="1529" t="s">
        <v>2719</v>
      </c>
      <c r="D22" s="1529">
        <f>IF(E22=G22,F22,IF(G3&lt;=10,ROUND(F22+(H22-F22)*(G3-E22)/(G22-E22),4),"——"))</f>
        <v>0.86639999999999995</v>
      </c>
      <c r="E22" s="849">
        <f>ROUNDDOWN(G3,1)</f>
        <v>3.9</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0.87180000000000002</v>
      </c>
      <c r="G22" s="849">
        <f>ROUNDUP(G3,1)</f>
        <v>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529" t="s">
        <v>155</v>
      </c>
      <c r="J22" s="871" t="str">
        <f>IF(G3&gt;10,D113,"——")</f>
        <v>——</v>
      </c>
      <c r="K22" s="1281"/>
      <c r="L22" s="3011"/>
      <c r="M22" s="3011"/>
      <c r="N22" s="2259" t="s">
        <v>2720</v>
      </c>
      <c r="O22" s="1329"/>
      <c r="P22" s="1330">
        <f>SUMPRODUCT((地价!A3:A35=YEAR(G19)&amp;"-"&amp;ROUNDUP(MONTH(G19)/3,0))*(地价!AD2:AH2=N22)*(地价!AD3:AH35))</f>
        <v>1.0699999999999999E-2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9.4" thickBot="1">
      <c r="A23" s="2133" t="s">
        <v>2721</v>
      </c>
      <c r="B23" s="2261" t="s">
        <v>2722</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2723</v>
      </c>
      <c r="O23" s="1329"/>
      <c r="P23" s="1330">
        <f>SUMPRODUCT((地价!A3:A35=YEAR(G19)&amp;"-"&amp;ROUNDUP(MONTH(G19)/3,0))*(地价!AD2:AH2=N23)*(地价!AD3:AH35))</f>
        <v>1.8700000000000001E-2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 thickBot="1">
      <c r="A24" s="2248" t="s">
        <v>812</v>
      </c>
      <c r="B24" s="2239" t="s">
        <v>2724</v>
      </c>
      <c r="C24" s="857">
        <f>SUMIF(A45:A88,E2,B45:B88)</f>
        <v>1.0570999999999999</v>
      </c>
      <c r="D24" s="2240"/>
      <c r="E24" s="2267"/>
      <c r="F24" s="2267"/>
      <c r="G24" s="2267"/>
      <c r="H24" s="2267"/>
      <c r="I24" s="2267"/>
      <c r="J24" s="2268"/>
      <c r="K24" s="1281"/>
      <c r="L24" s="3011"/>
      <c r="M24" s="3011"/>
      <c r="N24" s="2269" t="s">
        <v>2725</v>
      </c>
      <c r="O24" s="1331"/>
      <c r="P24" s="1332">
        <f>SUMPRODUCT((地价!A3:A35=YEAR(G19)&amp;"-"&amp;ROUNDUP(MONTH(G19)/3,0))*(地价!AD2:AH2=N24)*(地价!AD3:AH35))</f>
        <v>1.24E-2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 thickBot="1">
      <c r="A25" s="2248" t="s">
        <v>813</v>
      </c>
      <c r="B25" s="2270" t="s">
        <v>2726</v>
      </c>
      <c r="C25" s="863"/>
      <c r="D25" s="2204"/>
      <c r="E25" s="2204"/>
      <c r="F25" s="2271"/>
      <c r="G25" s="2204"/>
      <c r="H25" s="2204"/>
      <c r="I25" s="2204"/>
      <c r="J25" s="2205"/>
      <c r="K25" s="1274"/>
      <c r="L25" s="2175"/>
      <c r="M25" s="2175"/>
      <c r="N25" s="3006" t="s">
        <v>2727</v>
      </c>
      <c r="O25" s="3007"/>
      <c r="P25" s="3008">
        <f>SUMPRODUCT((地价!A3:A35=YEAR(G19)&amp;"-"&amp;ROUNDUP(MONTH(G19)/3,0))*(地价!AD2:AH2=N25)*(地价!AD3:AH35))</f>
        <v>1.7000000000000001E-2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4.4">
      <c r="A26" s="2272"/>
      <c r="B26" s="2260" t="s">
        <v>2728</v>
      </c>
      <c r="C26" s="2534">
        <f>IF(B21="容积率修正",E29+SUM(E33:E39),SUM(V2:V16)+SUM(E33:E39))</f>
        <v>134956</v>
      </c>
      <c r="D26" s="2273"/>
      <c r="E26" s="2229"/>
      <c r="F26" s="2274"/>
      <c r="G26" s="2229"/>
      <c r="H26" s="2229"/>
      <c r="I26" s="2229"/>
      <c r="J26" s="2275"/>
      <c r="K26" s="1274"/>
      <c r="L26" s="3009" t="s">
        <v>2627</v>
      </c>
      <c r="M26" s="2202" t="s">
        <v>2692</v>
      </c>
      <c r="N26" s="2202" t="s">
        <v>2693</v>
      </c>
      <c r="O26" s="2202" t="s">
        <v>2694</v>
      </c>
      <c r="P26" s="3010" t="s">
        <v>2695</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 thickBot="1">
      <c r="A27" s="2272"/>
      <c r="B27" s="2276" t="s">
        <v>2729</v>
      </c>
      <c r="C27" s="864">
        <f>E30+SUM(I33:I39)</f>
        <v>5425</v>
      </c>
      <c r="D27" s="2277"/>
      <c r="E27" s="2278"/>
      <c r="F27" s="2279"/>
      <c r="G27" s="2278"/>
      <c r="H27" s="2278"/>
      <c r="I27" s="2278"/>
      <c r="J27" s="2280"/>
      <c r="K27" s="1274"/>
      <c r="L27" s="2235"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 thickBot="1">
      <c r="A28" s="2281"/>
      <c r="B28" s="2282" t="s">
        <v>2730</v>
      </c>
      <c r="C28" s="2283" t="s">
        <v>2731</v>
      </c>
      <c r="D28" s="2283" t="s">
        <v>2732</v>
      </c>
      <c r="E28" s="2284" t="s">
        <v>2733</v>
      </c>
      <c r="F28" s="2285"/>
      <c r="G28" s="2217"/>
      <c r="H28" s="2217"/>
      <c r="I28" s="2217"/>
      <c r="J28" s="2218"/>
      <c r="K28" s="1274"/>
      <c r="L28" s="2236" t="s">
        <v>2702</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2734</v>
      </c>
      <c r="C29" s="180">
        <f>ROUND(C5*C18*C19*C20*C21*C24,0)</f>
        <v>10393</v>
      </c>
      <c r="D29" s="2288">
        <f>'数据-汇总表'!F27</f>
        <v>108974.32</v>
      </c>
      <c r="E29" s="873">
        <f>ROUND(C29*D29/10000,0)</f>
        <v>113257</v>
      </c>
      <c r="F29" s="2289" t="s">
        <v>2735</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8" thickBot="1">
      <c r="A30" s="2292"/>
      <c r="B30" s="2293" t="s">
        <v>2736</v>
      </c>
      <c r="C30" s="193">
        <f>ROUND(IF(E2="工业",C29*M39,C29*M38),0)</f>
        <v>2598</v>
      </c>
      <c r="D30" s="2294"/>
      <c r="E30" s="873">
        <f>ROUND(C30*D30/10000,0)</f>
        <v>0</v>
      </c>
      <c r="F30" s="2295" t="s">
        <v>2737</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3.8">
      <c r="A31" s="2298"/>
      <c r="B31" s="2299" t="s">
        <v>2738</v>
      </c>
      <c r="C31" s="2300" t="s">
        <v>2739</v>
      </c>
      <c r="D31" s="2217"/>
      <c r="E31" s="2300"/>
      <c r="F31" s="2300"/>
      <c r="G31" s="2215" t="s">
        <v>2740</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36">
      <c r="A32" s="2286"/>
      <c r="B32" s="2302"/>
      <c r="C32" s="458" t="s">
        <v>2731</v>
      </c>
      <c r="D32" s="455" t="s">
        <v>2732</v>
      </c>
      <c r="E32" s="455" t="s">
        <v>2733</v>
      </c>
      <c r="F32" s="348" t="s">
        <v>2741</v>
      </c>
      <c r="G32" s="2303" t="s">
        <v>2731</v>
      </c>
      <c r="H32" s="2303" t="s">
        <v>2732</v>
      </c>
      <c r="I32" s="2303" t="s">
        <v>2733</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407"/>
      <c r="B33" s="2304" t="s">
        <v>2742</v>
      </c>
      <c r="C33" s="180">
        <f>ROUND(D5*C19*C20*C24*F33,0)</f>
        <v>8397</v>
      </c>
      <c r="D33" s="2288">
        <f>'土地比较法-住宅、综合'!E57</f>
        <v>8262.14</v>
      </c>
      <c r="E33" s="176">
        <f>ROUND(C33*D33/10000,0)</f>
        <v>6938</v>
      </c>
      <c r="F33" s="176">
        <f>SUMIF(修正!A45:A56,G2,修正!B45:B56)</f>
        <v>0.7</v>
      </c>
      <c r="G33" s="176">
        <f t="shared" ref="G33" si="6">ROUND(IF(E2="工业",C33*$M$39,C33*$M$38),0)</f>
        <v>2099</v>
      </c>
      <c r="H33" s="176">
        <f>D33</f>
        <v>8262.14</v>
      </c>
      <c r="I33" s="176">
        <f>ROUND(G33*H33/10000,0)</f>
        <v>1734</v>
      </c>
      <c r="J33" s="3412"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3.8">
      <c r="A34" s="3408"/>
      <c r="B34" s="2221" t="s">
        <v>2743</v>
      </c>
      <c r="C34" s="180">
        <f>ROUND(D5*C19*C20*C24*F34,0)</f>
        <v>4798</v>
      </c>
      <c r="D34" s="2288">
        <f>'土地比较法-住宅、综合'!E58</f>
        <v>8937.14</v>
      </c>
      <c r="E34" s="176">
        <f t="shared" ref="E34:E39" si="7">ROUND(C34*D34/10000,0)</f>
        <v>4288</v>
      </c>
      <c r="F34" s="176">
        <f>SUMIF(修正!A45:A56,G2,修正!C45:C56)</f>
        <v>0.4</v>
      </c>
      <c r="G34" s="176">
        <f>ROUND(IF(E2="工业",C34*$M$39,C34*$M$38),0)</f>
        <v>1200</v>
      </c>
      <c r="H34" s="176">
        <f t="shared" ref="H34:H39" si="8">D34</f>
        <v>8937.14</v>
      </c>
      <c r="I34" s="176">
        <f t="shared" ref="I34:I39" si="9">ROUND(G34*H34/10000,0)</f>
        <v>1072</v>
      </c>
      <c r="J34" s="3408"/>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408"/>
      <c r="B35" s="2221" t="s">
        <v>2744</v>
      </c>
      <c r="C35" s="180">
        <f>ROUND(D5*C19*C20*C24*F35,0)</f>
        <v>3359</v>
      </c>
      <c r="D35" s="2288"/>
      <c r="E35" s="176">
        <f t="shared" si="7"/>
        <v>0</v>
      </c>
      <c r="F35" s="176">
        <f>SUMIF(修正!A45:A56,G2,修正!D45:D56)</f>
        <v>0.28000000000000003</v>
      </c>
      <c r="G35" s="176">
        <f>ROUND(IF(E2="工业",C35*$M$39,C35*$M$38),0)</f>
        <v>840</v>
      </c>
      <c r="H35" s="176">
        <f t="shared" si="8"/>
        <v>0</v>
      </c>
      <c r="I35" s="176">
        <f t="shared" si="9"/>
        <v>0</v>
      </c>
      <c r="J35" s="3408"/>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8" thickBot="1">
      <c r="A36" s="3409"/>
      <c r="B36" s="2221" t="s">
        <v>2745</v>
      </c>
      <c r="C36" s="180">
        <f>ROUND(D5*C19*C20*C24*F36,0)</f>
        <v>2999</v>
      </c>
      <c r="D36" s="2288"/>
      <c r="E36" s="176">
        <f t="shared" si="7"/>
        <v>0</v>
      </c>
      <c r="F36" s="176">
        <f>SUMIF(修正!A45:A56,G2,修正!E45:E56)</f>
        <v>0.25</v>
      </c>
      <c r="G36" s="176">
        <f>ROUND(IF(E2="工业",C36*$M$39,C36*$M$38),0)</f>
        <v>750</v>
      </c>
      <c r="H36" s="176">
        <f t="shared" si="8"/>
        <v>0</v>
      </c>
      <c r="I36" s="176">
        <f t="shared" si="9"/>
        <v>0</v>
      </c>
      <c r="J36" s="3409"/>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2746</v>
      </c>
      <c r="C37" s="176">
        <f>ROUND(D5*C19*C20*C24*F37,0)</f>
        <v>2999</v>
      </c>
      <c r="D37" s="2288"/>
      <c r="E37" s="176">
        <f t="shared" si="7"/>
        <v>0</v>
      </c>
      <c r="F37" s="180">
        <f>SUMIF(修正!A45:A56,G2,修正!F45:F56)</f>
        <v>0.25</v>
      </c>
      <c r="G37" s="176">
        <f>ROUND(IF(E2="工业",C37*$M$39,C37*$M$38),0)</f>
        <v>750</v>
      </c>
      <c r="H37" s="176">
        <f t="shared" si="8"/>
        <v>0</v>
      </c>
      <c r="I37" s="176">
        <f t="shared" si="9"/>
        <v>0</v>
      </c>
      <c r="J37" s="2305"/>
      <c r="K37" s="1274"/>
      <c r="L37" s="2307" t="s">
        <v>2747</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2748</v>
      </c>
      <c r="C38" s="176">
        <f>ROUND(D5*C19*C41*C24*F38,0)</f>
        <v>2999</v>
      </c>
      <c r="D38" s="2288"/>
      <c r="E38" s="176">
        <f t="shared" si="7"/>
        <v>0</v>
      </c>
      <c r="F38" s="180">
        <f>SUMIF(修正!A45:A56,G2,修正!G45:G56)</f>
        <v>0.25</v>
      </c>
      <c r="G38" s="176">
        <f>ROUND(IF(E2="工业",C38*$M$39,C38*$M$38),0)</f>
        <v>750</v>
      </c>
      <c r="H38" s="176">
        <f t="shared" si="8"/>
        <v>0</v>
      </c>
      <c r="I38" s="176">
        <f t="shared" si="9"/>
        <v>0</v>
      </c>
      <c r="J38" s="2305"/>
      <c r="K38" s="1274"/>
      <c r="L38" s="1598" t="s">
        <v>2749</v>
      </c>
      <c r="M38" s="2309">
        <v>0.25</v>
      </c>
      <c r="N38" s="1274"/>
      <c r="O38" s="1274"/>
      <c r="P38" s="1274"/>
      <c r="Q38" s="1274"/>
      <c r="R38" s="1274"/>
      <c r="S38" s="1274"/>
      <c r="T38" s="1274"/>
      <c r="U38" s="1274"/>
      <c r="V38" s="1274"/>
      <c r="W38" s="1274"/>
      <c r="X38" s="1274"/>
      <c r="Y38" s="1274"/>
      <c r="Z38" s="1275"/>
      <c r="AA38" s="1275"/>
      <c r="AB38" s="1275"/>
      <c r="AC38" s="1275"/>
      <c r="AD38" s="1275"/>
    </row>
    <row r="39" spans="1:37" ht="13.8" thickBot="1">
      <c r="A39" s="2292"/>
      <c r="B39" s="2310" t="s">
        <v>2750</v>
      </c>
      <c r="C39" s="193">
        <f>ROUND(D5*C19*C41*C24*F39,0)</f>
        <v>2399</v>
      </c>
      <c r="D39" s="2294">
        <f>'土地比较法-住宅、综合'!E63</f>
        <v>43656.97</v>
      </c>
      <c r="E39" s="193">
        <f t="shared" si="7"/>
        <v>10473</v>
      </c>
      <c r="F39" s="865">
        <f>SUMIF(修正!A45:A56,G2,修正!H45:H56)</f>
        <v>0.2</v>
      </c>
      <c r="G39" s="193">
        <f>ROUND(IF(E2="工业",C39*$M$39,C39*$M$38),0)</f>
        <v>600</v>
      </c>
      <c r="H39" s="193">
        <f t="shared" si="8"/>
        <v>43656.97</v>
      </c>
      <c r="I39" s="193">
        <f t="shared" si="9"/>
        <v>2619</v>
      </c>
      <c r="J39" s="2311"/>
      <c r="K39" s="1274"/>
      <c r="L39" s="2312" t="s">
        <v>2695</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ht="24">
      <c r="A41" s="1275"/>
      <c r="B41" s="2362" t="s">
        <v>2855</v>
      </c>
      <c r="C41" s="348">
        <f>ROUND(POWER(1+E41,H41-G41)*(POWER(1+E41,G41)-1)/(POWER(1+E41,H41)-1),4)</f>
        <v>0.97450000000000003</v>
      </c>
      <c r="D41" s="176" t="s">
        <v>2702</v>
      </c>
      <c r="E41" s="2361">
        <f>G20</f>
        <v>5.1999999999999998E-2</v>
      </c>
      <c r="F41" s="176" t="s">
        <v>2711</v>
      </c>
      <c r="G41" s="189">
        <f>'数据-取费表'!F10</f>
        <v>44.88</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 thickBot="1">
      <c r="A45" s="2315" t="s">
        <v>2751</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4.4">
      <c r="A46" s="2317" t="s">
        <v>2752</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5.2">
      <c r="A47" s="2321" t="s">
        <v>2753</v>
      </c>
      <c r="B47" s="1528" t="s">
        <v>2754</v>
      </c>
      <c r="C47" s="1528" t="s">
        <v>2755</v>
      </c>
      <c r="D47" s="1528" t="s">
        <v>2756</v>
      </c>
      <c r="E47" s="752" t="s">
        <v>2757</v>
      </c>
      <c r="F47" s="2322" t="s">
        <v>2758</v>
      </c>
      <c r="G47" s="1528" t="s">
        <v>754</v>
      </c>
      <c r="H47" s="2323" t="s">
        <v>2759</v>
      </c>
      <c r="I47" s="1528" t="s">
        <v>2760</v>
      </c>
      <c r="J47" s="560" t="s">
        <v>2412</v>
      </c>
      <c r="K47" s="560" t="s">
        <v>2413</v>
      </c>
      <c r="L47" s="560" t="s">
        <v>2414</v>
      </c>
      <c r="M47" s="560" t="s">
        <v>2415</v>
      </c>
      <c r="N47" s="560" t="s">
        <v>2416</v>
      </c>
      <c r="AA47" s="1275"/>
      <c r="AB47" s="1275"/>
      <c r="AC47" s="1275"/>
      <c r="AD47" s="1275"/>
      <c r="AE47" s="1275"/>
      <c r="AF47" s="1275"/>
      <c r="AG47" s="1275"/>
      <c r="AH47" s="1275"/>
      <c r="AI47" s="1275"/>
      <c r="AJ47" s="1275"/>
      <c r="AK47" s="1275"/>
    </row>
    <row r="48" spans="1:37" s="1274" customFormat="1" ht="52.8">
      <c r="A48" s="2321" t="s">
        <v>2761</v>
      </c>
      <c r="B48" s="2324" t="str">
        <f>估价对象房地状况!C4</f>
        <v>估价对象位于XX商圈，周边商业氛围成熟，人流量大，商业繁华度好</v>
      </c>
      <c r="C48" s="2226" t="s">
        <v>3723</v>
      </c>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66">
      <c r="A49" s="2321" t="s">
        <v>2762</v>
      </c>
      <c r="B49" s="2325" t="str">
        <f>估价对象房地状况!C18</f>
        <v>估价对象周边道路状况、公共交通通达情况、停车便捷程度，综合评价交通便捷度较好</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2763</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50.4">
      <c r="A51" s="2321" t="s">
        <v>2764</v>
      </c>
      <c r="B51" s="2326" t="s">
        <v>2765</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2766</v>
      </c>
      <c r="B52" s="2325">
        <f>估价对象房地状况!C24</f>
        <v>0</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36">
      <c r="A53" s="2321" t="s">
        <v>2767</v>
      </c>
      <c r="B53" s="2327" t="s">
        <v>2768</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6.4">
      <c r="A54" s="2328" t="s">
        <v>2769</v>
      </c>
      <c r="B54" s="1487" t="str">
        <f>估价对象房地状况!C21</f>
        <v>估价对象所在区域公共配套设施齐备情况</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6.4">
      <c r="A55" s="2328" t="s">
        <v>2770</v>
      </c>
      <c r="B55" s="2325" t="str">
        <f>估价对象房地状况!C22</f>
        <v>估价对象所在区域基础设施水平</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40.200000000000003" thickBot="1">
      <c r="A56" s="2329" t="s">
        <v>2771</v>
      </c>
      <c r="B56" s="2330" t="str">
        <f>估价对象房地状况!C20</f>
        <v>区域自然环境：；人文环境；综合评价环境状况一般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4.4">
      <c r="A57" s="2317" t="s">
        <v>2772</v>
      </c>
      <c r="B57" s="2318">
        <f>1+E59</f>
        <v>1.0570999999999999</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5.2">
      <c r="A58" s="2321" t="s">
        <v>2753</v>
      </c>
      <c r="B58" s="1528"/>
      <c r="C58" s="1528" t="s">
        <v>2755</v>
      </c>
      <c r="D58" s="1528" t="s">
        <v>2756</v>
      </c>
      <c r="E58" s="752" t="s">
        <v>2757</v>
      </c>
      <c r="F58" s="2322" t="s">
        <v>2773</v>
      </c>
      <c r="G58" s="1528" t="s">
        <v>754</v>
      </c>
      <c r="H58" s="2323" t="s">
        <v>2759</v>
      </c>
      <c r="I58" s="1528" t="s">
        <v>2760</v>
      </c>
      <c r="J58" s="560" t="s">
        <v>2412</v>
      </c>
      <c r="K58" s="560" t="s">
        <v>2413</v>
      </c>
      <c r="L58" s="560" t="s">
        <v>2414</v>
      </c>
      <c r="M58" s="560" t="s">
        <v>2415</v>
      </c>
      <c r="N58" s="560" t="s">
        <v>2416</v>
      </c>
      <c r="AA58" s="1275"/>
      <c r="AB58" s="1275"/>
      <c r="AC58" s="1275"/>
      <c r="AD58" s="1275"/>
      <c r="AE58" s="1275"/>
      <c r="AF58" s="1275"/>
      <c r="AG58" s="1275"/>
      <c r="AH58" s="1275"/>
      <c r="AI58" s="1275"/>
      <c r="AJ58" s="1275"/>
      <c r="AK58" s="1275"/>
    </row>
    <row r="59" spans="1:37" s="1274" customFormat="1" ht="52.8">
      <c r="A59" s="2321" t="s">
        <v>2774</v>
      </c>
      <c r="B59" s="2324" t="str">
        <f>估价对象房地状况!C17</f>
        <v>估价对象位于XX商圈，周边办公楼项目较多，入驻率高，办公集聚程度较好</v>
      </c>
      <c r="C59" s="2226" t="s">
        <v>3579</v>
      </c>
      <c r="D59" s="1190">
        <f t="shared" ref="D59:D67" si="15">SUMIF($J$58:$N$58,C59,J59:N59)</f>
        <v>0</v>
      </c>
      <c r="E59" s="754">
        <f>ROUND(SUM(D59:D67),4)</f>
        <v>5.7099999999999998E-2</v>
      </c>
      <c r="F59" s="1992">
        <f>IF(E2="办公",SUMIF(L1:L12,G2,N1:N12),"——")</f>
        <v>0.13</v>
      </c>
      <c r="G59" s="1188">
        <v>1.5599999999999999E-2</v>
      </c>
      <c r="H59" s="1192">
        <f t="shared" ref="H59:H67" si="16">IFERROR(ROUNDDOWN($F$59*I59/2,4),"——")</f>
        <v>1.5599999999999999E-2</v>
      </c>
      <c r="I59" s="753">
        <v>0.24</v>
      </c>
      <c r="J59" s="1189">
        <f t="shared" ref="J59:J67" si="17">K59+$G59</f>
        <v>3.1199999999999999E-2</v>
      </c>
      <c r="K59" s="1189">
        <f t="shared" ref="K59:K67" si="18">$L59+$G59</f>
        <v>1.5599999999999999E-2</v>
      </c>
      <c r="L59" s="1189">
        <v>0</v>
      </c>
      <c r="M59" s="1189">
        <f t="shared" ref="M59:N67" si="19">L59-$G59</f>
        <v>-1.5599999999999999E-2</v>
      </c>
      <c r="N59" s="1189">
        <f t="shared" si="19"/>
        <v>-3.1199999999999999E-2</v>
      </c>
      <c r="AA59" s="1275"/>
      <c r="AB59" s="1275"/>
      <c r="AC59" s="1275"/>
      <c r="AD59" s="1275"/>
      <c r="AE59" s="1275"/>
      <c r="AF59" s="1275"/>
      <c r="AG59" s="1275"/>
      <c r="AH59" s="1275"/>
      <c r="AI59" s="1275"/>
      <c r="AJ59" s="1275"/>
      <c r="AK59" s="1275"/>
    </row>
    <row r="60" spans="1:37" s="1274" customFormat="1" ht="66">
      <c r="A60" s="2321" t="s">
        <v>2762</v>
      </c>
      <c r="B60" s="2325" t="str">
        <f>估价对象房地状况!C18</f>
        <v>估价对象周边道路状况、公共交通通达情况、停车便捷程度，综合评价交通便捷度较好</v>
      </c>
      <c r="C60" s="2226" t="s">
        <v>3580</v>
      </c>
      <c r="D60" s="1190">
        <f t="shared" si="15"/>
        <v>1.95E-2</v>
      </c>
      <c r="E60" s="755"/>
      <c r="F60" s="1992"/>
      <c r="G60" s="1188">
        <v>1.95E-2</v>
      </c>
      <c r="H60" s="1192">
        <f t="shared" si="16"/>
        <v>1.95E-2</v>
      </c>
      <c r="I60" s="753">
        <v>0.3</v>
      </c>
      <c r="J60" s="1189">
        <f t="shared" si="17"/>
        <v>3.9E-2</v>
      </c>
      <c r="K60" s="1189">
        <f t="shared" si="18"/>
        <v>1.95E-2</v>
      </c>
      <c r="L60" s="1189">
        <v>0</v>
      </c>
      <c r="M60" s="1189">
        <f t="shared" si="19"/>
        <v>-1.95E-2</v>
      </c>
      <c r="N60" s="1189">
        <f t="shared" si="19"/>
        <v>-3.9E-2</v>
      </c>
      <c r="AA60" s="1275"/>
      <c r="AB60" s="1275"/>
      <c r="AC60" s="1275"/>
      <c r="AD60" s="1275"/>
      <c r="AE60" s="1275"/>
      <c r="AF60" s="1275"/>
      <c r="AG60" s="1275"/>
      <c r="AH60" s="1275"/>
      <c r="AI60" s="1275"/>
      <c r="AJ60" s="1275"/>
      <c r="AK60" s="1275"/>
    </row>
    <row r="61" spans="1:37" s="1274" customFormat="1" ht="24">
      <c r="A61" s="2321" t="s">
        <v>2763</v>
      </c>
      <c r="B61" s="2325">
        <f>估价对象房地状况!C19</f>
        <v>0</v>
      </c>
      <c r="C61" s="2226" t="s">
        <v>3580</v>
      </c>
      <c r="D61" s="1190">
        <f t="shared" si="15"/>
        <v>5.1999999999999998E-3</v>
      </c>
      <c r="E61" s="755"/>
      <c r="F61" s="1992"/>
      <c r="G61" s="1188">
        <v>5.1999999999999998E-3</v>
      </c>
      <c r="H61" s="1192">
        <f t="shared" si="16"/>
        <v>5.1999999999999998E-3</v>
      </c>
      <c r="I61" s="753">
        <v>0.08</v>
      </c>
      <c r="J61" s="1189">
        <f t="shared" si="17"/>
        <v>1.04E-2</v>
      </c>
      <c r="K61" s="1189">
        <f t="shared" si="18"/>
        <v>5.1999999999999998E-3</v>
      </c>
      <c r="L61" s="1189">
        <v>0</v>
      </c>
      <c r="M61" s="1189">
        <f t="shared" si="19"/>
        <v>-5.1999999999999998E-3</v>
      </c>
      <c r="N61" s="1189">
        <f t="shared" si="19"/>
        <v>-1.04E-2</v>
      </c>
      <c r="AA61" s="1275"/>
      <c r="AB61" s="1275"/>
      <c r="AC61" s="1275"/>
      <c r="AD61" s="1275"/>
      <c r="AE61" s="1275"/>
      <c r="AF61" s="1275"/>
      <c r="AG61" s="1275"/>
      <c r="AH61" s="1275"/>
      <c r="AI61" s="1275"/>
      <c r="AJ61" s="1275"/>
      <c r="AK61" s="1275"/>
    </row>
    <row r="62" spans="1:37" s="1274" customFormat="1" ht="50.4">
      <c r="A62" s="2321" t="s">
        <v>2764</v>
      </c>
      <c r="B62" s="2326" t="s">
        <v>2765</v>
      </c>
      <c r="C62" s="2226" t="s">
        <v>3580</v>
      </c>
      <c r="D62" s="1190">
        <f t="shared" si="15"/>
        <v>2.5999999999999999E-3</v>
      </c>
      <c r="E62" s="755"/>
      <c r="F62" s="1992"/>
      <c r="G62" s="1188">
        <v>2.5999999999999999E-3</v>
      </c>
      <c r="H62" s="1192">
        <f t="shared" si="16"/>
        <v>2.5999999999999999E-3</v>
      </c>
      <c r="I62" s="753">
        <v>0.04</v>
      </c>
      <c r="J62" s="1189">
        <f t="shared" si="17"/>
        <v>5.1999999999999998E-3</v>
      </c>
      <c r="K62" s="1189">
        <f t="shared" si="18"/>
        <v>2.5999999999999999E-3</v>
      </c>
      <c r="L62" s="1189">
        <v>0</v>
      </c>
      <c r="M62" s="1189">
        <f t="shared" si="19"/>
        <v>-2.5999999999999999E-3</v>
      </c>
      <c r="N62" s="1189">
        <f t="shared" si="19"/>
        <v>-5.1999999999999998E-3</v>
      </c>
      <c r="AA62" s="1275"/>
      <c r="AB62" s="1275"/>
      <c r="AC62" s="1275"/>
      <c r="AD62" s="1275"/>
      <c r="AE62" s="1275"/>
      <c r="AF62" s="1275"/>
      <c r="AG62" s="1275"/>
      <c r="AH62" s="1275"/>
      <c r="AI62" s="1275"/>
      <c r="AJ62" s="1275"/>
      <c r="AK62" s="1275"/>
    </row>
    <row r="63" spans="1:37" s="1274" customFormat="1" ht="24">
      <c r="A63" s="2321" t="s">
        <v>2766</v>
      </c>
      <c r="B63" s="2325">
        <f>估价对象房地状况!C24</f>
        <v>0</v>
      </c>
      <c r="C63" s="2226" t="s">
        <v>3580</v>
      </c>
      <c r="D63" s="1190">
        <f t="shared" si="15"/>
        <v>3.2000000000000002E-3</v>
      </c>
      <c r="E63" s="755"/>
      <c r="F63" s="1992"/>
      <c r="G63" s="1188">
        <v>3.2000000000000002E-3</v>
      </c>
      <c r="H63" s="1192">
        <f t="shared" si="16"/>
        <v>3.2000000000000002E-3</v>
      </c>
      <c r="I63" s="753">
        <v>0.05</v>
      </c>
      <c r="J63" s="1189">
        <f t="shared" si="17"/>
        <v>6.4000000000000003E-3</v>
      </c>
      <c r="K63" s="1189">
        <f t="shared" si="18"/>
        <v>3.2000000000000002E-3</v>
      </c>
      <c r="L63" s="1189">
        <v>0</v>
      </c>
      <c r="M63" s="1189">
        <f t="shared" si="19"/>
        <v>-3.2000000000000002E-3</v>
      </c>
      <c r="N63" s="1189">
        <f t="shared" si="19"/>
        <v>-6.4000000000000003E-3</v>
      </c>
      <c r="AA63" s="1275"/>
      <c r="AB63" s="1275"/>
      <c r="AC63" s="1275"/>
      <c r="AD63" s="1275"/>
      <c r="AE63" s="1275"/>
      <c r="AF63" s="1275"/>
      <c r="AG63" s="1275"/>
      <c r="AH63" s="1275"/>
      <c r="AI63" s="1275"/>
      <c r="AJ63" s="1275"/>
      <c r="AK63" s="1275"/>
    </row>
    <row r="64" spans="1:37" s="1274" customFormat="1" ht="36">
      <c r="A64" s="2321" t="s">
        <v>2767</v>
      </c>
      <c r="B64" s="2327" t="s">
        <v>2768</v>
      </c>
      <c r="C64" s="2226" t="s">
        <v>3580</v>
      </c>
      <c r="D64" s="1190">
        <f t="shared" si="15"/>
        <v>3.2000000000000002E-3</v>
      </c>
      <c r="E64" s="755"/>
      <c r="F64" s="1992"/>
      <c r="G64" s="1188">
        <v>3.2000000000000002E-3</v>
      </c>
      <c r="H64" s="1192">
        <f t="shared" si="16"/>
        <v>3.2000000000000002E-3</v>
      </c>
      <c r="I64" s="753">
        <v>0.05</v>
      </c>
      <c r="J64" s="1189">
        <f t="shared" si="17"/>
        <v>6.4000000000000003E-3</v>
      </c>
      <c r="K64" s="1189">
        <f t="shared" si="18"/>
        <v>3.2000000000000002E-3</v>
      </c>
      <c r="L64" s="1189">
        <v>0</v>
      </c>
      <c r="M64" s="1189">
        <f t="shared" si="19"/>
        <v>-3.2000000000000002E-3</v>
      </c>
      <c r="N64" s="1189">
        <f t="shared" si="19"/>
        <v>-6.4000000000000003E-3</v>
      </c>
      <c r="AA64" s="1275"/>
      <c r="AB64" s="1275"/>
      <c r="AC64" s="1275"/>
      <c r="AD64" s="1275"/>
      <c r="AE64" s="1275"/>
      <c r="AF64" s="1275"/>
      <c r="AG64" s="1275"/>
      <c r="AH64" s="1275"/>
      <c r="AI64" s="1275"/>
      <c r="AJ64" s="1275"/>
      <c r="AK64" s="1275"/>
    </row>
    <row r="65" spans="1:37" s="1274" customFormat="1" ht="26.4">
      <c r="A65" s="2321" t="s">
        <v>2769</v>
      </c>
      <c r="B65" s="1487" t="str">
        <f>估价对象房地状况!C21</f>
        <v>估价对象所在区域公共配套设施齐备情况</v>
      </c>
      <c r="C65" s="2226" t="s">
        <v>3580</v>
      </c>
      <c r="D65" s="1190">
        <f t="shared" si="15"/>
        <v>3.8999999999999998E-3</v>
      </c>
      <c r="E65" s="755"/>
      <c r="F65" s="1992"/>
      <c r="G65" s="1188">
        <v>3.8999999999999998E-3</v>
      </c>
      <c r="H65" s="1192">
        <f t="shared" si="16"/>
        <v>3.8999999999999998E-3</v>
      </c>
      <c r="I65" s="753">
        <v>0.06</v>
      </c>
      <c r="J65" s="1189">
        <f t="shared" si="17"/>
        <v>7.7999999999999996E-3</v>
      </c>
      <c r="K65" s="1189">
        <f t="shared" si="18"/>
        <v>3.8999999999999998E-3</v>
      </c>
      <c r="L65" s="1189">
        <v>0</v>
      </c>
      <c r="M65" s="1189">
        <f t="shared" si="19"/>
        <v>-3.8999999999999998E-3</v>
      </c>
      <c r="N65" s="1189">
        <f t="shared" si="19"/>
        <v>-7.7999999999999996E-3</v>
      </c>
      <c r="AA65" s="1275"/>
      <c r="AB65" s="1275"/>
      <c r="AC65" s="1275"/>
      <c r="AD65" s="1275"/>
      <c r="AE65" s="1275"/>
      <c r="AF65" s="1275"/>
      <c r="AG65" s="1275"/>
      <c r="AH65" s="1275"/>
      <c r="AI65" s="1275"/>
      <c r="AJ65" s="1275"/>
      <c r="AK65" s="1275"/>
    </row>
    <row r="66" spans="1:37" s="1274" customFormat="1" ht="26.4">
      <c r="A66" s="2321" t="s">
        <v>2770</v>
      </c>
      <c r="B66" s="1487" t="str">
        <f>估价对象房地状况!C22</f>
        <v>估价对象所在区域基础设施水平</v>
      </c>
      <c r="C66" s="2226" t="s">
        <v>3724</v>
      </c>
      <c r="D66" s="1190">
        <f t="shared" si="15"/>
        <v>1.5599999999999999E-2</v>
      </c>
      <c r="E66" s="755"/>
      <c r="F66" s="1992"/>
      <c r="G66" s="1188">
        <v>7.7999999999999996E-3</v>
      </c>
      <c r="H66" s="1192">
        <f t="shared" si="16"/>
        <v>7.7999999999999996E-3</v>
      </c>
      <c r="I66" s="753">
        <v>0.12</v>
      </c>
      <c r="J66" s="1189">
        <f t="shared" si="17"/>
        <v>1.5599999999999999E-2</v>
      </c>
      <c r="K66" s="1189">
        <f t="shared" si="18"/>
        <v>7.7999999999999996E-3</v>
      </c>
      <c r="L66" s="1189">
        <v>0</v>
      </c>
      <c r="M66" s="1189">
        <f t="shared" si="19"/>
        <v>-7.7999999999999996E-3</v>
      </c>
      <c r="N66" s="1189">
        <f t="shared" si="19"/>
        <v>-1.5599999999999999E-2</v>
      </c>
      <c r="AA66" s="1275"/>
      <c r="AB66" s="1275"/>
      <c r="AC66" s="1275"/>
      <c r="AD66" s="1275"/>
      <c r="AE66" s="1275"/>
      <c r="AF66" s="1275"/>
      <c r="AG66" s="1275"/>
      <c r="AH66" s="1275"/>
      <c r="AI66" s="1275"/>
      <c r="AJ66" s="1275"/>
      <c r="AK66" s="1275"/>
    </row>
    <row r="67" spans="1:37" s="1274" customFormat="1" ht="40.200000000000003" thickBot="1">
      <c r="A67" s="2329" t="s">
        <v>2771</v>
      </c>
      <c r="B67" s="2331" t="str">
        <f>估价对象房地状况!C20</f>
        <v>区域自然环境：；人文环境；综合评价环境状况一般</v>
      </c>
      <c r="C67" s="2226" t="s">
        <v>3580</v>
      </c>
      <c r="D67" s="1190">
        <f t="shared" si="15"/>
        <v>3.8999999999999998E-3</v>
      </c>
      <c r="E67" s="758"/>
      <c r="F67" s="1992"/>
      <c r="G67" s="1188">
        <v>3.8999999999999998E-3</v>
      </c>
      <c r="H67" s="1192">
        <f t="shared" si="16"/>
        <v>3.8999999999999998E-3</v>
      </c>
      <c r="I67" s="757">
        <v>0.06</v>
      </c>
      <c r="J67" s="1189">
        <f t="shared" si="17"/>
        <v>7.7999999999999996E-3</v>
      </c>
      <c r="K67" s="1189">
        <f t="shared" si="18"/>
        <v>3.8999999999999998E-3</v>
      </c>
      <c r="L67" s="1189">
        <v>0</v>
      </c>
      <c r="M67" s="1189">
        <f t="shared" si="19"/>
        <v>-3.8999999999999998E-3</v>
      </c>
      <c r="N67" s="1189">
        <f t="shared" si="19"/>
        <v>-7.7999999999999996E-3</v>
      </c>
      <c r="AA67" s="1275"/>
      <c r="AB67" s="1275"/>
      <c r="AC67" s="1275"/>
      <c r="AD67" s="1275"/>
      <c r="AE67" s="1275"/>
      <c r="AF67" s="1275"/>
      <c r="AG67" s="1275"/>
      <c r="AH67" s="1275"/>
      <c r="AI67" s="1275"/>
      <c r="AJ67" s="1275"/>
      <c r="AK67" s="1275"/>
    </row>
    <row r="68" spans="1:37" s="1274" customFormat="1" ht="14.4">
      <c r="A68" s="2317" t="s">
        <v>2775</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5.2">
      <c r="A69" s="2321" t="s">
        <v>2753</v>
      </c>
      <c r="B69" s="1528"/>
      <c r="C69" s="1528" t="s">
        <v>2755</v>
      </c>
      <c r="D69" s="1528" t="s">
        <v>2756</v>
      </c>
      <c r="E69" s="752" t="s">
        <v>2757</v>
      </c>
      <c r="F69" s="2322" t="s">
        <v>2773</v>
      </c>
      <c r="G69" s="1528" t="s">
        <v>754</v>
      </c>
      <c r="H69" s="2323" t="s">
        <v>2759</v>
      </c>
      <c r="I69" s="1528" t="s">
        <v>2760</v>
      </c>
      <c r="J69" s="560" t="s">
        <v>2412</v>
      </c>
      <c r="K69" s="560" t="s">
        <v>2413</v>
      </c>
      <c r="L69" s="560" t="s">
        <v>2414</v>
      </c>
      <c r="M69" s="560" t="s">
        <v>2415</v>
      </c>
      <c r="N69" s="560" t="s">
        <v>2416</v>
      </c>
      <c r="AA69" s="1275"/>
      <c r="AB69" s="1275"/>
      <c r="AC69" s="1275"/>
      <c r="AD69" s="1275"/>
      <c r="AE69" s="1275"/>
      <c r="AF69" s="1275"/>
      <c r="AG69" s="1275"/>
      <c r="AH69" s="1275"/>
      <c r="AI69" s="1275"/>
      <c r="AJ69" s="1275"/>
      <c r="AK69" s="1275"/>
    </row>
    <row r="70" spans="1:37" s="1274" customFormat="1" ht="66">
      <c r="A70" s="2321" t="s">
        <v>2776</v>
      </c>
      <c r="B70" s="2324" t="str">
        <f>估价对象房地状况!C15</f>
        <v>估价对象周边居住用地比例、居住小区规模和社区发展完善程度，综合评价居住社区成熟度一般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66">
      <c r="A71" s="2321" t="s">
        <v>2762</v>
      </c>
      <c r="B71" s="2325" t="str">
        <f>估价对象房地状况!C18</f>
        <v>估价对象周边道路状况、公共交通通达情况、停车便捷程度，综合评价交通便捷度较好</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2763</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3.8">
      <c r="A73" s="2321" t="s">
        <v>2777</v>
      </c>
      <c r="B73" s="2325">
        <f>估价对象房地状况!C24</f>
        <v>0</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6.4">
      <c r="A74" s="2321" t="s">
        <v>2769</v>
      </c>
      <c r="B74" s="1487" t="str">
        <f>估价对象房地状况!C21</f>
        <v>估价对象所在区域公共配套设施齐备情况</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6.4">
      <c r="A75" s="2321" t="s">
        <v>2770</v>
      </c>
      <c r="B75" s="1487" t="str">
        <f>估价对象房地状况!C22</f>
        <v>估价对象所在区域基础设施水平</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36">
      <c r="A76" s="2321" t="s">
        <v>2767</v>
      </c>
      <c r="B76" s="2327" t="s">
        <v>2768</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39.6">
      <c r="A77" s="2321" t="s">
        <v>2771</v>
      </c>
      <c r="B77" s="2324" t="str">
        <f>估价对象房地状况!C20</f>
        <v>区域自然环境：；人文环境；综合评价环境状况一般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36.6" thickBot="1">
      <c r="A78" s="2329" t="s">
        <v>2778</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4.4">
      <c r="A79" s="2317" t="s">
        <v>2779</v>
      </c>
      <c r="B79" s="2318">
        <f>1+E81</f>
        <v>1</v>
      </c>
      <c r="C79" s="747"/>
      <c r="D79" s="747"/>
      <c r="E79" s="748"/>
      <c r="F79" s="2320"/>
      <c r="G79" s="6"/>
      <c r="H79" s="6"/>
      <c r="I79" s="6"/>
      <c r="J79" s="7"/>
      <c r="K79" s="7"/>
      <c r="L79" s="7"/>
      <c r="M79" s="7"/>
      <c r="N79" s="7"/>
      <c r="Z79" s="2176"/>
      <c r="AA79" s="2242"/>
      <c r="AG79" s="1276"/>
      <c r="AK79" s="2242"/>
    </row>
    <row r="80" spans="1:37" ht="25.2">
      <c r="A80" s="2321" t="s">
        <v>2753</v>
      </c>
      <c r="B80" s="1528"/>
      <c r="C80" s="1528" t="s">
        <v>2755</v>
      </c>
      <c r="D80" s="1528" t="s">
        <v>2756</v>
      </c>
      <c r="E80" s="752" t="s">
        <v>2757</v>
      </c>
      <c r="F80" s="2322" t="s">
        <v>2773</v>
      </c>
      <c r="G80" s="1528" t="s">
        <v>754</v>
      </c>
      <c r="H80" s="2323" t="s">
        <v>2759</v>
      </c>
      <c r="I80" s="1528" t="s">
        <v>2760</v>
      </c>
      <c r="J80" s="560" t="s">
        <v>2412</v>
      </c>
      <c r="K80" s="560" t="s">
        <v>2413</v>
      </c>
      <c r="L80" s="560" t="s">
        <v>2414</v>
      </c>
      <c r="M80" s="560" t="s">
        <v>2415</v>
      </c>
      <c r="N80" s="560" t="s">
        <v>2416</v>
      </c>
      <c r="Z80" s="2176"/>
      <c r="AA80" s="2242"/>
      <c r="AG80" s="1276"/>
      <c r="AK80" s="2242"/>
    </row>
    <row r="81" spans="1:37" ht="39.6">
      <c r="A81" s="2321" t="s">
        <v>2780</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66">
      <c r="A82" s="2321" t="s">
        <v>2762</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2763</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3.8">
      <c r="A84" s="2321" t="s">
        <v>2777</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6.4">
      <c r="A85" s="2321" t="s">
        <v>2769</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6.4">
      <c r="A86" s="2321" t="s">
        <v>2770</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36">
      <c r="A87" s="2321" t="s">
        <v>2767</v>
      </c>
      <c r="B87" s="2327" t="s">
        <v>2781</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53.4" thickBot="1">
      <c r="A88" s="2329" t="s">
        <v>2782</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99" t="s">
        <v>2783</v>
      </c>
      <c r="B90" s="3399"/>
      <c r="C90" s="3399"/>
      <c r="D90" s="3399"/>
      <c r="E90" s="3399"/>
      <c r="F90" s="3399"/>
      <c r="G90" s="3399"/>
      <c r="H90" s="3399"/>
      <c r="I90" s="3399"/>
      <c r="J90" s="3399"/>
      <c r="K90" s="2335"/>
      <c r="L90" s="2335"/>
      <c r="M90" s="2335"/>
      <c r="N90" s="2335"/>
    </row>
    <row r="91" spans="1:37">
      <c r="A91" s="3401" t="s">
        <v>2784</v>
      </c>
      <c r="B91" s="3401" t="s">
        <v>2785</v>
      </c>
      <c r="C91" s="2289" t="s">
        <v>2786</v>
      </c>
      <c r="D91" s="2290"/>
      <c r="E91" s="2290"/>
      <c r="F91" s="2290"/>
      <c r="G91" s="2290"/>
      <c r="H91" s="2290"/>
      <c r="I91" s="2290"/>
      <c r="J91" s="2336"/>
      <c r="K91" s="2337"/>
      <c r="L91" s="2337"/>
      <c r="M91" s="2337"/>
      <c r="N91" s="2337"/>
    </row>
    <row r="92" spans="1:37">
      <c r="A92" s="3401"/>
      <c r="B92" s="3401"/>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402" t="s">
        <v>2787</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03"/>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03"/>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03"/>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03"/>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03"/>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03"/>
      <c r="B99" s="2338" t="s">
        <v>2670</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04"/>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02" t="s">
        <v>2788</v>
      </c>
      <c r="B101" s="2342" t="s">
        <v>2789</v>
      </c>
      <c r="C101" s="2343">
        <f>$G$3</f>
        <v>3.99</v>
      </c>
      <c r="D101" s="2343">
        <f t="shared" ref="D101:N101" si="31">$G$3</f>
        <v>3.99</v>
      </c>
      <c r="E101" s="2343">
        <f t="shared" si="31"/>
        <v>3.99</v>
      </c>
      <c r="F101" s="2343">
        <f t="shared" si="31"/>
        <v>3.99</v>
      </c>
      <c r="G101" s="2343">
        <f t="shared" si="31"/>
        <v>3.99</v>
      </c>
      <c r="H101" s="2343">
        <f t="shared" si="31"/>
        <v>3.99</v>
      </c>
      <c r="I101" s="2343">
        <f t="shared" si="31"/>
        <v>3.99</v>
      </c>
      <c r="J101" s="2343">
        <f t="shared" si="31"/>
        <v>3.99</v>
      </c>
      <c r="K101" s="2343">
        <f t="shared" si="31"/>
        <v>3.99</v>
      </c>
      <c r="L101" s="2343">
        <f t="shared" si="31"/>
        <v>3.99</v>
      </c>
      <c r="M101" s="2343">
        <f t="shared" si="31"/>
        <v>3.99</v>
      </c>
      <c r="N101" s="2343">
        <f t="shared" si="31"/>
        <v>3.99</v>
      </c>
    </row>
    <row r="102" spans="1:14">
      <c r="A102" s="3403"/>
      <c r="B102" s="2338">
        <v>1</v>
      </c>
      <c r="C102" s="2339">
        <f>1.9362/C101</f>
        <v>0.48526315789473679</v>
      </c>
      <c r="D102" s="2339">
        <f>1.9362/D101</f>
        <v>0.48526315789473679</v>
      </c>
      <c r="E102" s="2339">
        <f>1.8629/E101</f>
        <v>0.46689223057644108</v>
      </c>
      <c r="F102" s="2339">
        <f>1.8629/F101</f>
        <v>0.46689223057644108</v>
      </c>
      <c r="G102" s="2339">
        <f>1.8629/G101</f>
        <v>0.46689223057644108</v>
      </c>
      <c r="H102" s="2339">
        <f>1.8629/H101</f>
        <v>0.46689223057644108</v>
      </c>
      <c r="I102" s="2339">
        <f>1.8629/I101</f>
        <v>0.46689223057644108</v>
      </c>
      <c r="J102" s="2339">
        <f>1.942/J101</f>
        <v>0.48671679197994983</v>
      </c>
      <c r="K102" s="2339">
        <f>1.942/K101</f>
        <v>0.48671679197994983</v>
      </c>
      <c r="L102" s="2339">
        <f>1.942/L101</f>
        <v>0.48671679197994983</v>
      </c>
      <c r="M102" s="2339">
        <f>1.942/M101</f>
        <v>0.48671679197994983</v>
      </c>
      <c r="N102" s="2339">
        <f>1.942/N101</f>
        <v>0.48671679197994983</v>
      </c>
    </row>
    <row r="103" spans="1:14">
      <c r="A103" s="3403"/>
      <c r="B103" s="2338">
        <v>2</v>
      </c>
      <c r="C103" s="2339">
        <f>1.4198/C101</f>
        <v>0.35583959899749368</v>
      </c>
      <c r="D103" s="2339">
        <f>1.4198/D101</f>
        <v>0.35583959899749368</v>
      </c>
      <c r="E103" s="2339">
        <f>1.3372/E101</f>
        <v>0.33513784461152879</v>
      </c>
      <c r="F103" s="2339">
        <f>1.3372/F101</f>
        <v>0.33513784461152879</v>
      </c>
      <c r="G103" s="2339">
        <f>1.3372/G101</f>
        <v>0.33513784461152879</v>
      </c>
      <c r="H103" s="2339">
        <f>1.3372/H101</f>
        <v>0.33513784461152879</v>
      </c>
      <c r="I103" s="2339">
        <f>1.3372/I101</f>
        <v>0.33513784461152879</v>
      </c>
      <c r="J103" s="2339">
        <f>1.2799/J101</f>
        <v>0.32077694235588972</v>
      </c>
      <c r="K103" s="2339">
        <f>1.2799/K101</f>
        <v>0.32077694235588972</v>
      </c>
      <c r="L103" s="2339">
        <f>1.2799/L101</f>
        <v>0.32077694235588972</v>
      </c>
      <c r="M103" s="2339">
        <f>1.2799/M101</f>
        <v>0.32077694235588972</v>
      </c>
      <c r="N103" s="2339">
        <f>1.2799/N101</f>
        <v>0.32077694235588972</v>
      </c>
    </row>
    <row r="104" spans="1:14">
      <c r="A104" s="3403"/>
      <c r="B104" s="2338">
        <v>3</v>
      </c>
      <c r="C104" s="2339">
        <f>1.1594/C101</f>
        <v>0.29057644110275688</v>
      </c>
      <c r="D104" s="2339">
        <f>1.1594/D101</f>
        <v>0.29057644110275688</v>
      </c>
      <c r="E104" s="2339">
        <f>1.0788/E101</f>
        <v>0.27037593984962405</v>
      </c>
      <c r="F104" s="2339">
        <f>1.0788/F101</f>
        <v>0.27037593984962405</v>
      </c>
      <c r="G104" s="2339">
        <f>1.0788/G101</f>
        <v>0.27037593984962405</v>
      </c>
      <c r="H104" s="2339">
        <f>1.0788/H101</f>
        <v>0.27037593984962405</v>
      </c>
      <c r="I104" s="2339">
        <f>1.0788/I101</f>
        <v>0.27037593984962405</v>
      </c>
      <c r="J104" s="2339">
        <f>1.0072/J101</f>
        <v>0.25243107769423562</v>
      </c>
      <c r="K104" s="2339">
        <f>1.0072/K101</f>
        <v>0.25243107769423562</v>
      </c>
      <c r="L104" s="2339">
        <f>1.0072/L101</f>
        <v>0.25243107769423562</v>
      </c>
      <c r="M104" s="2339">
        <f>1.0072/M101</f>
        <v>0.25243107769423562</v>
      </c>
      <c r="N104" s="2339">
        <f>1.0072/N101</f>
        <v>0.25243107769423562</v>
      </c>
    </row>
    <row r="105" spans="1:14">
      <c r="A105" s="3403"/>
      <c r="B105" s="2338">
        <v>4</v>
      </c>
      <c r="C105" s="2339">
        <f>0.9622/C101</f>
        <v>0.24115288220551379</v>
      </c>
      <c r="D105" s="2339">
        <f>0.9622/D101</f>
        <v>0.24115288220551379</v>
      </c>
      <c r="E105" s="2339">
        <f>0.8656/E101</f>
        <v>0.2169423558897243</v>
      </c>
      <c r="F105" s="2339">
        <f>0.8656/F101</f>
        <v>0.2169423558897243</v>
      </c>
      <c r="G105" s="2339">
        <f>0.8656/G101</f>
        <v>0.2169423558897243</v>
      </c>
      <c r="H105" s="2339">
        <f>0.8656/H101</f>
        <v>0.2169423558897243</v>
      </c>
      <c r="I105" s="2339">
        <f>0.8656/I101</f>
        <v>0.2169423558897243</v>
      </c>
      <c r="J105" s="2339">
        <f>0.7525/J101</f>
        <v>0.18859649122807015</v>
      </c>
      <c r="K105" s="2339">
        <f>0.7525/K101</f>
        <v>0.18859649122807015</v>
      </c>
      <c r="L105" s="2339">
        <f>0.7525/L101</f>
        <v>0.18859649122807015</v>
      </c>
      <c r="M105" s="2339">
        <f>0.7525/M101</f>
        <v>0.18859649122807015</v>
      </c>
      <c r="N105" s="2339">
        <f>0.7525/N101</f>
        <v>0.18859649122807015</v>
      </c>
    </row>
    <row r="106" spans="1:14">
      <c r="A106" s="3403"/>
      <c r="B106" s="2338">
        <v>5</v>
      </c>
      <c r="C106" s="2339">
        <f>0.8417/C101</f>
        <v>0.21095238095238095</v>
      </c>
      <c r="D106" s="2339">
        <f>0.8417/D101</f>
        <v>0.21095238095238095</v>
      </c>
      <c r="E106" s="2339">
        <f>0.7371/E101</f>
        <v>0.18473684210526314</v>
      </c>
      <c r="F106" s="2339">
        <f>0.7371/F101</f>
        <v>0.18473684210526314</v>
      </c>
      <c r="G106" s="2339">
        <f>0.7371/G101</f>
        <v>0.18473684210526314</v>
      </c>
      <c r="H106" s="2339">
        <f>0.7371/H101</f>
        <v>0.18473684210526314</v>
      </c>
      <c r="I106" s="2339">
        <f>0.7371/I101</f>
        <v>0.18473684210526314</v>
      </c>
      <c r="J106" s="2339">
        <f>0.5659/J101</f>
        <v>0.14182957393483708</v>
      </c>
      <c r="K106" s="2339">
        <f>0.5659/K101</f>
        <v>0.14182957393483708</v>
      </c>
      <c r="L106" s="2339">
        <f>0.5659/L101</f>
        <v>0.14182957393483708</v>
      </c>
      <c r="M106" s="2339">
        <f>0.5659/M101</f>
        <v>0.14182957393483708</v>
      </c>
      <c r="N106" s="2339">
        <f>0.5659/N101</f>
        <v>0.14182957393483708</v>
      </c>
    </row>
    <row r="107" spans="1:14">
      <c r="A107" s="3403"/>
      <c r="B107" s="2338">
        <v>6</v>
      </c>
      <c r="C107" s="2339">
        <f>0.7608/C101</f>
        <v>0.19067669172932331</v>
      </c>
      <c r="D107" s="2339">
        <f>0.7608/D101</f>
        <v>0.19067669172932331</v>
      </c>
      <c r="E107" s="2339">
        <f>0.6482/E101</f>
        <v>0.16245614035087719</v>
      </c>
      <c r="F107" s="2339">
        <f>0.6482/F101</f>
        <v>0.16245614035087719</v>
      </c>
      <c r="G107" s="2339">
        <f>0.6482/G101</f>
        <v>0.16245614035087719</v>
      </c>
      <c r="H107" s="2339">
        <f>0.6482/H101</f>
        <v>0.16245614035087719</v>
      </c>
      <c r="I107" s="2339">
        <f>0.6482/I101</f>
        <v>0.16245614035087719</v>
      </c>
      <c r="J107" s="2339">
        <f>0.4525/J101</f>
        <v>0.11340852130325814</v>
      </c>
      <c r="K107" s="2339">
        <f>0.4525/K101</f>
        <v>0.11340852130325814</v>
      </c>
      <c r="L107" s="2339">
        <f>0.4525/L101</f>
        <v>0.11340852130325814</v>
      </c>
      <c r="M107" s="2339">
        <f>0.4525/M101</f>
        <v>0.11340852130325814</v>
      </c>
      <c r="N107" s="2339">
        <f>0.4525/N101</f>
        <v>0.11340852130325814</v>
      </c>
    </row>
    <row r="108" spans="1:14">
      <c r="A108" s="3403"/>
      <c r="B108" s="3405" t="s">
        <v>2790</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04"/>
      <c r="B109" s="3406"/>
      <c r="C109" s="2341">
        <f>(-0.163*(C108^2)-0.59*C108+7617)*(10^(-4))/C101</f>
        <v>0.19090225563909774</v>
      </c>
      <c r="D109" s="2341">
        <f>(-0.163*(D108^2)-0.59*D108+7617)*(10^(-4))/D101</f>
        <v>0.19090225563909774</v>
      </c>
      <c r="E109" s="2341">
        <f>(-0.161*(E108^2)-7.509*E108+6533)*(10^(-4))/E101</f>
        <v>0.16373433583959898</v>
      </c>
      <c r="F109" s="2341">
        <f>(-0.161*(F108^2)-7.509*F108+6533)*(10^(-4))/F101</f>
        <v>0.16373433583959898</v>
      </c>
      <c r="G109" s="2341">
        <f>(-0.161*(G108^2)-7.509*G108+6533)*(10^(-4))/G101</f>
        <v>0.16373433583959898</v>
      </c>
      <c r="H109" s="2341">
        <f>(-0.161*(H108^2)-7.509*H108+6533)*(10^(-4))/H101</f>
        <v>0.16373433583959898</v>
      </c>
      <c r="I109" s="2341">
        <f>(-0.161*(I108^2)-7.509*I108+6533)*(10^(-4))/I101</f>
        <v>0.16373433583959898</v>
      </c>
      <c r="J109" s="2341">
        <f>(-0.214*(J108^2)-21.991*J108+4665)*(10^(-4))/J101</f>
        <v>0.11691729323308271</v>
      </c>
      <c r="K109" s="2341">
        <f>(-0.214*(K108^2)-21.991*K108+4665)*(10^(-4))/K101</f>
        <v>0.11691729323308271</v>
      </c>
      <c r="L109" s="2341">
        <f>(-0.214*(L108^2)-21.991*L108+4665)*(10^(-4))/L101</f>
        <v>0.11691729323308271</v>
      </c>
      <c r="M109" s="2341">
        <f>(-0.214*(M108^2)-21.991*M108+4665)*(10^(-4))/M101</f>
        <v>0.11691729323308271</v>
      </c>
      <c r="N109" s="2341">
        <f>(-0.214*(N108^2)-21.991*N108+4665)*(10^(-4))/N101</f>
        <v>0.11691729323308271</v>
      </c>
    </row>
    <row r="110" spans="1:14">
      <c r="A110" s="3400" t="s">
        <v>2791</v>
      </c>
      <c r="B110" s="3400"/>
      <c r="C110" s="3400"/>
      <c r="D110" s="3400"/>
      <c r="E110" s="3400"/>
      <c r="F110" s="3400"/>
      <c r="G110" s="3400"/>
      <c r="H110" s="3400"/>
      <c r="I110" s="3400"/>
      <c r="J110" s="3400"/>
      <c r="K110" s="2344"/>
      <c r="L110" s="2344"/>
      <c r="M110" s="2344"/>
      <c r="N110" s="2344"/>
    </row>
    <row r="112" spans="1:14" ht="13.8" thickBot="1"/>
    <row r="113" spans="1:13" ht="25.8" thickBot="1">
      <c r="A113" s="836" t="s">
        <v>2792</v>
      </c>
      <c r="B113" s="1191">
        <f>G3</f>
        <v>3.99</v>
      </c>
      <c r="C113" s="837" t="s">
        <v>2793</v>
      </c>
      <c r="D113" s="838">
        <f>SUMPRODUCT((A115:A118=F113)*(B114:M114=H113)*B115:M118)</f>
        <v>0.80479999999999996</v>
      </c>
      <c r="E113" s="2180" t="s">
        <v>2627</v>
      </c>
      <c r="F113" s="2346" t="str">
        <f>E2</f>
        <v>办公</v>
      </c>
      <c r="G113" s="2180" t="s">
        <v>2628</v>
      </c>
      <c r="H113" s="2346" t="str">
        <f>G2</f>
        <v>七级</v>
      </c>
      <c r="I113" s="2180"/>
      <c r="J113" s="2347"/>
      <c r="K113" s="2347"/>
      <c r="L113" s="2347"/>
      <c r="M113" s="2347"/>
    </row>
    <row r="114" spans="1:13">
      <c r="A114" s="841"/>
      <c r="B114" s="2348" t="s">
        <v>2794</v>
      </c>
      <c r="C114" s="2348" t="s">
        <v>2795</v>
      </c>
      <c r="D114" s="2348" t="s">
        <v>2796</v>
      </c>
      <c r="E114" s="2349" t="s">
        <v>2797</v>
      </c>
      <c r="F114" s="2349" t="s">
        <v>2798</v>
      </c>
      <c r="G114" s="2349" t="s">
        <v>2799</v>
      </c>
      <c r="H114" s="2350" t="s">
        <v>2800</v>
      </c>
      <c r="I114" s="2350" t="s">
        <v>2801</v>
      </c>
      <c r="J114" s="2351" t="s">
        <v>2802</v>
      </c>
      <c r="K114" s="2351" t="s">
        <v>2803</v>
      </c>
      <c r="L114" s="2351" t="s">
        <v>2804</v>
      </c>
      <c r="M114" s="2352" t="s">
        <v>2805</v>
      </c>
    </row>
    <row r="115" spans="1:13">
      <c r="A115" s="842" t="s">
        <v>2692</v>
      </c>
      <c r="B115" s="843">
        <f>ROUND(0.9335-0.0094*B113,4)</f>
        <v>0.89600000000000002</v>
      </c>
      <c r="C115" s="843">
        <f>B115</f>
        <v>0.89600000000000002</v>
      </c>
      <c r="D115" s="843">
        <f>ROUND(0.8331-0.0109*B113,4)</f>
        <v>0.78959999999999997</v>
      </c>
      <c r="E115" s="843">
        <f>D115</f>
        <v>0.78959999999999997</v>
      </c>
      <c r="F115" s="843">
        <f>E115</f>
        <v>0.78959999999999997</v>
      </c>
      <c r="G115" s="843">
        <f>F115</f>
        <v>0.78959999999999997</v>
      </c>
      <c r="H115" s="843">
        <f>G115</f>
        <v>0.78959999999999997</v>
      </c>
      <c r="I115" s="843">
        <f>ROUND(0.689-0.0155*B113,4)</f>
        <v>0.62719999999999998</v>
      </c>
      <c r="J115" s="843">
        <f t="shared" ref="J115:M118" si="33">I115</f>
        <v>0.62719999999999998</v>
      </c>
      <c r="K115" s="843">
        <f t="shared" si="33"/>
        <v>0.62719999999999998</v>
      </c>
      <c r="L115" s="843">
        <f t="shared" si="33"/>
        <v>0.62719999999999998</v>
      </c>
      <c r="M115" s="844">
        <f t="shared" si="33"/>
        <v>0.62719999999999998</v>
      </c>
    </row>
    <row r="116" spans="1:13">
      <c r="A116" s="842" t="s">
        <v>2693</v>
      </c>
      <c r="B116" s="843">
        <f>ROUND(0.949-0.012*B113,4)</f>
        <v>0.90110000000000001</v>
      </c>
      <c r="C116" s="843">
        <f>B116</f>
        <v>0.90110000000000001</v>
      </c>
      <c r="D116" s="843">
        <f>ROUND(0.8567-0.013*B113,4)</f>
        <v>0.80479999999999996</v>
      </c>
      <c r="E116" s="843">
        <f t="shared" ref="E116:H117" si="34">D116</f>
        <v>0.80479999999999996</v>
      </c>
      <c r="F116" s="843">
        <f t="shared" si="34"/>
        <v>0.80479999999999996</v>
      </c>
      <c r="G116" s="843">
        <f t="shared" si="34"/>
        <v>0.80479999999999996</v>
      </c>
      <c r="H116" s="843">
        <f t="shared" si="34"/>
        <v>0.80479999999999996</v>
      </c>
      <c r="I116" s="843">
        <f>ROUND(0.7694-0.014*B113,4)</f>
        <v>0.71350000000000002</v>
      </c>
      <c r="J116" s="843">
        <f t="shared" si="33"/>
        <v>0.71350000000000002</v>
      </c>
      <c r="K116" s="843">
        <f t="shared" si="33"/>
        <v>0.71350000000000002</v>
      </c>
      <c r="L116" s="843">
        <f t="shared" si="33"/>
        <v>0.71350000000000002</v>
      </c>
      <c r="M116" s="844">
        <f t="shared" si="33"/>
        <v>0.71350000000000002</v>
      </c>
    </row>
    <row r="117" spans="1:13">
      <c r="A117" s="842" t="s">
        <v>2694</v>
      </c>
      <c r="B117" s="843">
        <f>ROUND(0.8808-0.006*B113,4)</f>
        <v>0.8569</v>
      </c>
      <c r="C117" s="843">
        <f>B117</f>
        <v>0.8569</v>
      </c>
      <c r="D117" s="843">
        <f>ROUND(0.8748-0.008*B113,4)</f>
        <v>0.84289999999999998</v>
      </c>
      <c r="E117" s="843">
        <f t="shared" si="34"/>
        <v>0.84289999999999998</v>
      </c>
      <c r="F117" s="843">
        <f t="shared" si="34"/>
        <v>0.84289999999999998</v>
      </c>
      <c r="G117" s="843">
        <f t="shared" si="34"/>
        <v>0.84289999999999998</v>
      </c>
      <c r="H117" s="843">
        <f t="shared" si="34"/>
        <v>0.84289999999999998</v>
      </c>
      <c r="I117" s="843">
        <f>ROUND(0.7412-0.0095*B113,4)</f>
        <v>0.70330000000000004</v>
      </c>
      <c r="J117" s="843">
        <f t="shared" si="33"/>
        <v>0.70330000000000004</v>
      </c>
      <c r="K117" s="843">
        <f t="shared" si="33"/>
        <v>0.70330000000000004</v>
      </c>
      <c r="L117" s="843">
        <f t="shared" si="33"/>
        <v>0.70330000000000004</v>
      </c>
      <c r="M117" s="844">
        <f t="shared" si="33"/>
        <v>0.70330000000000004</v>
      </c>
    </row>
    <row r="118" spans="1:13" ht="13.8" thickBot="1">
      <c r="A118" s="670" t="s">
        <v>2695</v>
      </c>
      <c r="B118" s="845">
        <f>ROUND(0.7275-0.01*B113,4)</f>
        <v>0.68759999999999999</v>
      </c>
      <c r="C118" s="845">
        <f>B118</f>
        <v>0.68759999999999999</v>
      </c>
      <c r="D118" s="845">
        <f>ROUND(0.7043-0.012*B113,4)</f>
        <v>0.65639999999999998</v>
      </c>
      <c r="E118" s="845">
        <f>D118</f>
        <v>0.65639999999999998</v>
      </c>
      <c r="F118" s="845">
        <f>E118</f>
        <v>0.65639999999999998</v>
      </c>
      <c r="G118" s="845">
        <f>ROUND(0.6299-0.0122*B113,4)</f>
        <v>0.58120000000000005</v>
      </c>
      <c r="H118" s="845">
        <f>G118</f>
        <v>0.58120000000000005</v>
      </c>
      <c r="I118" s="845">
        <f>ROUND(0.5667-0.0136*B113,4)</f>
        <v>0.51239999999999997</v>
      </c>
      <c r="J118" s="845">
        <f t="shared" si="33"/>
        <v>0.51239999999999997</v>
      </c>
      <c r="K118" s="845">
        <f t="shared" si="33"/>
        <v>0.51239999999999997</v>
      </c>
      <c r="L118" s="845">
        <f t="shared" si="33"/>
        <v>0.51239999999999997</v>
      </c>
      <c r="M118" s="846">
        <f t="shared" si="33"/>
        <v>0.51239999999999997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49" customWidth="1"/>
    <col min="2" max="9" width="8.21875" style="811" customWidth="1"/>
    <col min="10" max="13" width="8.21875" style="749"/>
    <col min="14" max="14" width="10" style="749" customWidth="1"/>
    <col min="15" max="16" width="8.21875" style="749"/>
    <col min="17" max="17" width="34.109375" style="749" customWidth="1"/>
    <col min="18" max="18" width="8.21875" style="749" customWidth="1"/>
    <col min="19" max="19" width="8.21875" style="749"/>
    <col min="20" max="20" width="11.6640625" style="749" customWidth="1"/>
    <col min="21" max="16384" width="8.2187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2857</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3" t="s">
        <v>183</v>
      </c>
      <c r="B18" s="815" t="s">
        <v>560</v>
      </c>
      <c r="C18" s="816" t="s">
        <v>561</v>
      </c>
      <c r="D18" s="817"/>
      <c r="E18" s="815">
        <v>1</v>
      </c>
      <c r="F18" s="818" t="s">
        <v>562</v>
      </c>
      <c r="G18" s="819"/>
      <c r="H18" s="811"/>
      <c r="I18" s="811"/>
    </row>
    <row r="19" spans="1:9" s="820" customFormat="1" ht="19.5" customHeight="1">
      <c r="A19" s="3413"/>
      <c r="B19" s="3413" t="s">
        <v>563</v>
      </c>
      <c r="C19" s="816" t="s">
        <v>564</v>
      </c>
      <c r="D19" s="817"/>
      <c r="E19" s="815">
        <v>0.9</v>
      </c>
      <c r="F19" s="818" t="s">
        <v>565</v>
      </c>
      <c r="G19" s="819"/>
      <c r="H19" s="811"/>
      <c r="I19" s="811"/>
    </row>
    <row r="20" spans="1:9" s="820" customFormat="1" ht="19.5" customHeight="1">
      <c r="A20" s="3413"/>
      <c r="B20" s="3413"/>
      <c r="C20" s="816" t="s">
        <v>566</v>
      </c>
      <c r="D20" s="817"/>
      <c r="E20" s="815">
        <v>1.1000000000000001</v>
      </c>
      <c r="F20" s="818" t="s">
        <v>567</v>
      </c>
      <c r="G20" s="819"/>
      <c r="H20" s="811"/>
      <c r="I20" s="811"/>
    </row>
    <row r="21" spans="1:9" s="820" customFormat="1" ht="19.5" customHeight="1">
      <c r="A21" s="3413"/>
      <c r="B21" s="3413"/>
      <c r="C21" s="816" t="s">
        <v>568</v>
      </c>
      <c r="D21" s="817"/>
      <c r="E21" s="815">
        <v>0.8</v>
      </c>
      <c r="F21" s="818" t="s">
        <v>569</v>
      </c>
      <c r="G21" s="819"/>
      <c r="H21" s="811"/>
      <c r="I21" s="811"/>
    </row>
    <row r="22" spans="1:9" s="820" customFormat="1" ht="19.5" customHeight="1">
      <c r="A22" s="3413"/>
      <c r="B22" s="3413"/>
      <c r="C22" s="816" t="s">
        <v>570</v>
      </c>
      <c r="D22" s="817"/>
      <c r="E22" s="815">
        <v>0.5</v>
      </c>
      <c r="F22" s="818"/>
      <c r="G22" s="819"/>
      <c r="H22" s="811"/>
      <c r="I22" s="811"/>
    </row>
    <row r="23" spans="1:9" s="820" customFormat="1" ht="19.5" customHeight="1">
      <c r="A23" s="3413" t="s">
        <v>184</v>
      </c>
      <c r="B23" s="815" t="s">
        <v>560</v>
      </c>
      <c r="C23" s="816" t="s">
        <v>571</v>
      </c>
      <c r="D23" s="817"/>
      <c r="E23" s="815">
        <v>1</v>
      </c>
      <c r="F23" s="818" t="s">
        <v>572</v>
      </c>
      <c r="G23" s="819"/>
      <c r="H23" s="811"/>
      <c r="I23" s="811"/>
    </row>
    <row r="24" spans="1:9" s="820" customFormat="1" ht="19.5" customHeight="1">
      <c r="A24" s="3413"/>
      <c r="B24" s="3413" t="s">
        <v>563</v>
      </c>
      <c r="C24" s="816" t="s">
        <v>573</v>
      </c>
      <c r="D24" s="817"/>
      <c r="E24" s="815">
        <v>0.5</v>
      </c>
      <c r="F24" s="818"/>
      <c r="G24" s="819"/>
      <c r="H24" s="811"/>
      <c r="I24" s="811"/>
    </row>
    <row r="25" spans="1:9" s="820" customFormat="1" ht="19.5" customHeight="1">
      <c r="A25" s="3413"/>
      <c r="B25" s="3413"/>
      <c r="C25" s="816" t="s">
        <v>574</v>
      </c>
      <c r="D25" s="817"/>
      <c r="E25" s="815">
        <v>1.1000000000000001</v>
      </c>
      <c r="F25" s="818"/>
      <c r="G25" s="819"/>
      <c r="H25" s="811"/>
      <c r="I25" s="811"/>
    </row>
    <row r="26" spans="1:9" s="820" customFormat="1" ht="19.5" customHeight="1">
      <c r="A26" s="3413"/>
      <c r="B26" s="3413"/>
      <c r="C26" s="816" t="s">
        <v>575</v>
      </c>
      <c r="D26" s="817"/>
      <c r="E26" s="815">
        <v>1.1000000000000001</v>
      </c>
      <c r="F26" s="818"/>
      <c r="G26" s="819"/>
      <c r="H26" s="811"/>
      <c r="I26" s="811"/>
    </row>
    <row r="27" spans="1:9" s="820" customFormat="1" ht="19.5" customHeight="1">
      <c r="A27" s="3413"/>
      <c r="B27" s="3413"/>
      <c r="C27" s="816" t="s">
        <v>576</v>
      </c>
      <c r="D27" s="817"/>
      <c r="E27" s="815">
        <v>0.9</v>
      </c>
      <c r="F27" s="818" t="s">
        <v>577</v>
      </c>
      <c r="G27" s="819"/>
      <c r="H27" s="811"/>
      <c r="I27" s="811"/>
    </row>
    <row r="28" spans="1:9" s="820" customFormat="1" ht="19.5" customHeight="1">
      <c r="A28" s="3413"/>
      <c r="B28" s="3413"/>
      <c r="C28" s="816" t="s">
        <v>578</v>
      </c>
      <c r="D28" s="817"/>
      <c r="E28" s="815">
        <v>0.9</v>
      </c>
      <c r="F28" s="818" t="s">
        <v>579</v>
      </c>
      <c r="G28" s="819"/>
      <c r="H28" s="811"/>
      <c r="I28" s="811"/>
    </row>
    <row r="29" spans="1:9" s="820" customFormat="1" ht="19.5" customHeight="1">
      <c r="A29" s="3413"/>
      <c r="B29" s="3413"/>
      <c r="C29" s="816" t="s">
        <v>580</v>
      </c>
      <c r="D29" s="817"/>
      <c r="E29" s="815">
        <v>0.9</v>
      </c>
      <c r="F29" s="818" t="s">
        <v>581</v>
      </c>
      <c r="G29" s="819"/>
      <c r="H29" s="811"/>
      <c r="I29" s="811"/>
    </row>
    <row r="30" spans="1:9" s="820" customFormat="1" ht="19.5" customHeight="1">
      <c r="A30" s="3413"/>
      <c r="B30" s="3413"/>
      <c r="C30" s="816" t="s">
        <v>582</v>
      </c>
      <c r="D30" s="817"/>
      <c r="E30" s="815">
        <v>0.9</v>
      </c>
      <c r="F30" s="818" t="s">
        <v>583</v>
      </c>
      <c r="G30" s="819"/>
      <c r="H30" s="811"/>
      <c r="I30" s="811"/>
    </row>
    <row r="31" spans="1:9" s="820" customFormat="1" ht="19.5" customHeight="1">
      <c r="A31" s="3413"/>
      <c r="B31" s="3413"/>
      <c r="C31" s="816" t="s">
        <v>584</v>
      </c>
      <c r="D31" s="817"/>
      <c r="E31" s="815">
        <v>0.8</v>
      </c>
      <c r="F31" s="818" t="s">
        <v>585</v>
      </c>
      <c r="G31" s="819"/>
      <c r="H31" s="811"/>
      <c r="I31" s="811"/>
    </row>
    <row r="32" spans="1:9" s="820" customFormat="1" ht="19.5" customHeight="1">
      <c r="A32" s="3413"/>
      <c r="B32" s="3413"/>
      <c r="C32" s="816" t="s">
        <v>586</v>
      </c>
      <c r="D32" s="817"/>
      <c r="E32" s="815">
        <v>0.8</v>
      </c>
      <c r="F32" s="818" t="s">
        <v>587</v>
      </c>
      <c r="G32" s="819"/>
      <c r="H32" s="811"/>
      <c r="I32" s="811"/>
    </row>
    <row r="33" spans="1:9" s="820" customFormat="1" ht="19.5" customHeight="1">
      <c r="A33" s="3413" t="s">
        <v>185</v>
      </c>
      <c r="B33" s="815" t="s">
        <v>560</v>
      </c>
      <c r="C33" s="816" t="s">
        <v>588</v>
      </c>
      <c r="D33" s="817"/>
      <c r="E33" s="815">
        <v>1</v>
      </c>
      <c r="F33" s="818" t="s">
        <v>589</v>
      </c>
      <c r="G33" s="819"/>
      <c r="H33" s="811"/>
      <c r="I33" s="811"/>
    </row>
    <row r="34" spans="1:9" s="820" customFormat="1" ht="19.5" customHeight="1">
      <c r="A34" s="3413"/>
      <c r="B34" s="815" t="s">
        <v>563</v>
      </c>
      <c r="C34" s="816" t="s">
        <v>590</v>
      </c>
      <c r="D34" s="817"/>
      <c r="E34" s="815">
        <v>1.5</v>
      </c>
      <c r="F34" s="818" t="s">
        <v>591</v>
      </c>
      <c r="G34" s="819"/>
      <c r="H34" s="811"/>
      <c r="I34" s="811"/>
    </row>
    <row r="35" spans="1:9" s="820" customFormat="1" ht="19.5" customHeight="1">
      <c r="A35" s="3413" t="s">
        <v>186</v>
      </c>
      <c r="B35" s="815" t="s">
        <v>560</v>
      </c>
      <c r="C35" s="816" t="s">
        <v>592</v>
      </c>
      <c r="D35" s="817"/>
      <c r="E35" s="815">
        <v>1</v>
      </c>
      <c r="F35" s="818" t="s">
        <v>593</v>
      </c>
      <c r="G35" s="819"/>
      <c r="H35" s="811"/>
      <c r="I35" s="811"/>
    </row>
    <row r="36" spans="1:9" s="820" customFormat="1" ht="19.5" customHeight="1">
      <c r="A36" s="3413"/>
      <c r="B36" s="3413" t="s">
        <v>563</v>
      </c>
      <c r="C36" s="816" t="s">
        <v>594</v>
      </c>
      <c r="D36" s="817"/>
      <c r="E36" s="815">
        <v>1</v>
      </c>
      <c r="F36" s="818" t="s">
        <v>595</v>
      </c>
      <c r="G36" s="819"/>
      <c r="H36" s="811"/>
      <c r="I36" s="811"/>
    </row>
    <row r="37" spans="1:9" s="820" customFormat="1" ht="19.5" customHeight="1">
      <c r="A37" s="3413"/>
      <c r="B37" s="3413"/>
      <c r="C37" s="816" t="s">
        <v>596</v>
      </c>
      <c r="D37" s="817"/>
      <c r="E37" s="815">
        <v>1.5</v>
      </c>
      <c r="F37" s="818" t="s">
        <v>597</v>
      </c>
      <c r="G37" s="819"/>
      <c r="H37" s="811"/>
      <c r="I37" s="811"/>
    </row>
    <row r="38" spans="1:9" s="820" customFormat="1" ht="19.5" customHeight="1">
      <c r="A38" s="3413"/>
      <c r="B38" s="3413"/>
      <c r="C38" s="816" t="s">
        <v>598</v>
      </c>
      <c r="D38" s="817"/>
      <c r="E38" s="815">
        <v>1</v>
      </c>
      <c r="F38" s="818" t="s">
        <v>599</v>
      </c>
      <c r="G38" s="819"/>
      <c r="H38" s="811"/>
      <c r="I38" s="811"/>
    </row>
    <row r="39" spans="1:9" s="820" customFormat="1" ht="19.5" customHeight="1">
      <c r="A39" s="3413"/>
      <c r="B39" s="341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4">
      <c r="A60" s="872"/>
      <c r="B60" s="872"/>
      <c r="C60" s="872" t="s">
        <v>745</v>
      </c>
      <c r="D60" s="872"/>
      <c r="E60" s="828" t="s">
        <v>1</v>
      </c>
      <c r="F60" s="872" t="s">
        <v>1</v>
      </c>
    </row>
    <row r="61" spans="1:8" s="811" customFormat="1" ht="36">
      <c r="A61" s="815">
        <v>1</v>
      </c>
      <c r="B61" s="3413" t="s">
        <v>614</v>
      </c>
      <c r="C61" s="751" t="s">
        <v>615</v>
      </c>
      <c r="D61" s="751" t="s">
        <v>616</v>
      </c>
      <c r="E61" s="828">
        <v>0.5</v>
      </c>
      <c r="F61" s="815">
        <v>80</v>
      </c>
    </row>
    <row r="62" spans="1:8" s="811" customFormat="1" ht="36">
      <c r="A62" s="815">
        <v>2</v>
      </c>
      <c r="B62" s="3413"/>
      <c r="C62" s="751" t="s">
        <v>617</v>
      </c>
      <c r="D62" s="751" t="s">
        <v>618</v>
      </c>
      <c r="E62" s="828">
        <v>0.5</v>
      </c>
      <c r="F62" s="815">
        <v>80</v>
      </c>
    </row>
    <row r="63" spans="1:8" s="811" customFormat="1" ht="48">
      <c r="A63" s="815">
        <v>3</v>
      </c>
      <c r="B63" s="3413"/>
      <c r="C63" s="751" t="s">
        <v>619</v>
      </c>
      <c r="D63" s="751" t="s">
        <v>620</v>
      </c>
      <c r="E63" s="828">
        <v>0.5</v>
      </c>
      <c r="F63" s="815">
        <v>80</v>
      </c>
    </row>
    <row r="64" spans="1:8" s="811" customFormat="1" ht="48">
      <c r="A64" s="815">
        <v>4</v>
      </c>
      <c r="B64" s="3413"/>
      <c r="C64" s="751" t="s">
        <v>621</v>
      </c>
      <c r="D64" s="751" t="s">
        <v>622</v>
      </c>
      <c r="E64" s="828">
        <v>0.4</v>
      </c>
      <c r="F64" s="815">
        <v>60</v>
      </c>
    </row>
    <row r="65" spans="1:6" s="811" customFormat="1" ht="48">
      <c r="A65" s="815">
        <v>5</v>
      </c>
      <c r="B65" s="3413"/>
      <c r="C65" s="751" t="s">
        <v>623</v>
      </c>
      <c r="D65" s="751" t="s">
        <v>624</v>
      </c>
      <c r="E65" s="828">
        <v>0.2</v>
      </c>
      <c r="F65" s="815">
        <v>30</v>
      </c>
    </row>
    <row r="66" spans="1:6" s="811" customFormat="1" ht="48">
      <c r="A66" s="815">
        <v>6</v>
      </c>
      <c r="B66" s="3413"/>
      <c r="C66" s="751" t="s">
        <v>625</v>
      </c>
      <c r="D66" s="751" t="s">
        <v>626</v>
      </c>
      <c r="E66" s="828">
        <v>0.3</v>
      </c>
      <c r="F66" s="815">
        <v>50</v>
      </c>
    </row>
    <row r="67" spans="1:6" s="811" customFormat="1" ht="48">
      <c r="A67" s="815">
        <v>7</v>
      </c>
      <c r="B67" s="3413"/>
      <c r="C67" s="751" t="s">
        <v>627</v>
      </c>
      <c r="D67" s="751" t="s">
        <v>628</v>
      </c>
      <c r="E67" s="828">
        <v>0.2</v>
      </c>
      <c r="F67" s="815">
        <v>30</v>
      </c>
    </row>
    <row r="68" spans="1:6" s="811" customFormat="1" ht="48">
      <c r="A68" s="815">
        <v>8</v>
      </c>
      <c r="B68" s="3413"/>
      <c r="C68" s="751" t="s">
        <v>629</v>
      </c>
      <c r="D68" s="751" t="s">
        <v>630</v>
      </c>
      <c r="E68" s="828">
        <v>0.2</v>
      </c>
      <c r="F68" s="815">
        <v>30</v>
      </c>
    </row>
    <row r="69" spans="1:6" s="811" customFormat="1" ht="48">
      <c r="A69" s="815">
        <v>9</v>
      </c>
      <c r="B69" s="3413"/>
      <c r="C69" s="751" t="s">
        <v>631</v>
      </c>
      <c r="D69" s="751" t="s">
        <v>632</v>
      </c>
      <c r="E69" s="828">
        <v>0.2</v>
      </c>
      <c r="F69" s="815">
        <v>30</v>
      </c>
    </row>
    <row r="70" spans="1:6" s="811" customFormat="1" ht="60">
      <c r="A70" s="815">
        <v>10</v>
      </c>
      <c r="B70" s="3413"/>
      <c r="C70" s="751" t="s">
        <v>633</v>
      </c>
      <c r="D70" s="751" t="s">
        <v>634</v>
      </c>
      <c r="E70" s="828">
        <v>0.2</v>
      </c>
      <c r="F70" s="815">
        <v>30</v>
      </c>
    </row>
    <row r="71" spans="1:6" s="811" customFormat="1" ht="60">
      <c r="A71" s="815">
        <v>11</v>
      </c>
      <c r="B71" s="3413"/>
      <c r="C71" s="751" t="s">
        <v>635</v>
      </c>
      <c r="D71" s="751" t="s">
        <v>636</v>
      </c>
      <c r="E71" s="828">
        <v>0.2</v>
      </c>
      <c r="F71" s="815">
        <v>30</v>
      </c>
    </row>
    <row r="72" spans="1:6" s="811" customFormat="1" ht="36">
      <c r="A72" s="815">
        <v>12</v>
      </c>
      <c r="B72" s="3413"/>
      <c r="C72" s="751" t="s">
        <v>637</v>
      </c>
      <c r="D72" s="751" t="s">
        <v>638</v>
      </c>
      <c r="E72" s="828">
        <v>0.5</v>
      </c>
      <c r="F72" s="815">
        <v>80</v>
      </c>
    </row>
    <row r="73" spans="1:6" s="811" customFormat="1" ht="36">
      <c r="A73" s="815">
        <v>13</v>
      </c>
      <c r="B73" s="3413"/>
      <c r="C73" s="751" t="s">
        <v>639</v>
      </c>
      <c r="D73" s="751" t="s">
        <v>640</v>
      </c>
      <c r="E73" s="828">
        <v>0.4</v>
      </c>
      <c r="F73" s="815">
        <v>60</v>
      </c>
    </row>
    <row r="74" spans="1:6" s="811" customFormat="1" ht="36">
      <c r="A74" s="815">
        <v>14</v>
      </c>
      <c r="B74" s="3413"/>
      <c r="C74" s="751" t="s">
        <v>641</v>
      </c>
      <c r="D74" s="751" t="s">
        <v>642</v>
      </c>
      <c r="E74" s="828">
        <v>0.2</v>
      </c>
      <c r="F74" s="815">
        <v>30</v>
      </c>
    </row>
    <row r="75" spans="1:6" s="811" customFormat="1" ht="36">
      <c r="A75" s="815">
        <v>15</v>
      </c>
      <c r="B75" s="3413"/>
      <c r="C75" s="751" t="s">
        <v>643</v>
      </c>
      <c r="D75" s="751" t="s">
        <v>644</v>
      </c>
      <c r="E75" s="828">
        <v>0.2</v>
      </c>
      <c r="F75" s="815">
        <v>30</v>
      </c>
    </row>
    <row r="76" spans="1:6" s="811" customFormat="1" ht="36">
      <c r="A76" s="815">
        <v>16</v>
      </c>
      <c r="B76" s="3413" t="s">
        <v>645</v>
      </c>
      <c r="C76" s="751" t="s">
        <v>646</v>
      </c>
      <c r="D76" s="751" t="s">
        <v>647</v>
      </c>
      <c r="E76" s="828">
        <v>0.5</v>
      </c>
      <c r="F76" s="815">
        <v>80</v>
      </c>
    </row>
    <row r="77" spans="1:6" s="811" customFormat="1" ht="36">
      <c r="A77" s="815">
        <v>17</v>
      </c>
      <c r="B77" s="3413"/>
      <c r="C77" s="751" t="s">
        <v>648</v>
      </c>
      <c r="D77" s="751" t="s">
        <v>649</v>
      </c>
      <c r="E77" s="828">
        <v>0.5</v>
      </c>
      <c r="F77" s="815">
        <v>80</v>
      </c>
    </row>
    <row r="78" spans="1:6" s="811" customFormat="1" ht="36">
      <c r="A78" s="815">
        <v>18</v>
      </c>
      <c r="B78" s="3413"/>
      <c r="C78" s="751" t="s">
        <v>650</v>
      </c>
      <c r="D78" s="751" t="s">
        <v>651</v>
      </c>
      <c r="E78" s="828">
        <v>0.2</v>
      </c>
      <c r="F78" s="815">
        <v>30</v>
      </c>
    </row>
    <row r="79" spans="1:6" s="811" customFormat="1" ht="36">
      <c r="A79" s="815">
        <v>19</v>
      </c>
      <c r="B79" s="3413"/>
      <c r="C79" s="751" t="s">
        <v>652</v>
      </c>
      <c r="D79" s="751" t="s">
        <v>653</v>
      </c>
      <c r="E79" s="828">
        <v>0.5</v>
      </c>
      <c r="F79" s="815">
        <v>80</v>
      </c>
    </row>
    <row r="80" spans="1:6" s="811" customFormat="1" ht="36">
      <c r="A80" s="815">
        <v>20</v>
      </c>
      <c r="B80" s="3413"/>
      <c r="C80" s="751" t="s">
        <v>654</v>
      </c>
      <c r="D80" s="751" t="s">
        <v>655</v>
      </c>
      <c r="E80" s="828">
        <v>0.2</v>
      </c>
      <c r="F80" s="815">
        <v>30</v>
      </c>
    </row>
    <row r="81" spans="1:6" s="811" customFormat="1" ht="36">
      <c r="A81" s="815">
        <v>21</v>
      </c>
      <c r="B81" s="3413"/>
      <c r="C81" s="751" t="s">
        <v>656</v>
      </c>
      <c r="D81" s="751" t="s">
        <v>657</v>
      </c>
      <c r="E81" s="828">
        <v>0.2</v>
      </c>
      <c r="F81" s="815">
        <v>30</v>
      </c>
    </row>
    <row r="82" spans="1:6" s="811" customFormat="1" ht="60">
      <c r="A82" s="815">
        <v>22</v>
      </c>
      <c r="B82" s="3413"/>
      <c r="C82" s="751" t="s">
        <v>658</v>
      </c>
      <c r="D82" s="751" t="s">
        <v>659</v>
      </c>
      <c r="E82" s="828">
        <v>0.2</v>
      </c>
      <c r="F82" s="815">
        <v>30</v>
      </c>
    </row>
    <row r="83" spans="1:6" s="811" customFormat="1" ht="60">
      <c r="A83" s="815">
        <v>23</v>
      </c>
      <c r="B83" s="3413"/>
      <c r="C83" s="751" t="s">
        <v>660</v>
      </c>
      <c r="D83" s="751" t="s">
        <v>661</v>
      </c>
      <c r="E83" s="828">
        <v>0.2</v>
      </c>
      <c r="F83" s="815">
        <v>30</v>
      </c>
    </row>
    <row r="84" spans="1:6" s="811" customFormat="1" ht="48">
      <c r="A84" s="815">
        <v>24</v>
      </c>
      <c r="B84" s="3413"/>
      <c r="C84" s="751" t="s">
        <v>662</v>
      </c>
      <c r="D84" s="751" t="s">
        <v>663</v>
      </c>
      <c r="E84" s="828">
        <v>0.2</v>
      </c>
      <c r="F84" s="815">
        <v>30</v>
      </c>
    </row>
    <row r="85" spans="1:6" s="811" customFormat="1" ht="36">
      <c r="A85" s="815">
        <v>25</v>
      </c>
      <c r="B85" s="3413"/>
      <c r="C85" s="751" t="s">
        <v>664</v>
      </c>
      <c r="D85" s="751" t="s">
        <v>665</v>
      </c>
      <c r="E85" s="828">
        <v>0.5</v>
      </c>
      <c r="F85" s="815">
        <v>80</v>
      </c>
    </row>
    <row r="86" spans="1:6" s="811" customFormat="1" ht="36">
      <c r="A86" s="815">
        <v>26</v>
      </c>
      <c r="B86" s="3413"/>
      <c r="C86" s="751" t="s">
        <v>666</v>
      </c>
      <c r="D86" s="751" t="s">
        <v>667</v>
      </c>
      <c r="E86" s="828">
        <v>0.2</v>
      </c>
      <c r="F86" s="815">
        <v>30</v>
      </c>
    </row>
    <row r="87" spans="1:6" s="811" customFormat="1" ht="36">
      <c r="A87" s="815">
        <v>27</v>
      </c>
      <c r="B87" s="3413"/>
      <c r="C87" s="751" t="s">
        <v>668</v>
      </c>
      <c r="D87" s="751" t="s">
        <v>669</v>
      </c>
      <c r="E87" s="828">
        <v>0.2</v>
      </c>
      <c r="F87" s="815">
        <v>30</v>
      </c>
    </row>
    <row r="88" spans="1:6" s="811" customFormat="1" ht="36">
      <c r="A88" s="815">
        <v>28</v>
      </c>
      <c r="B88" s="3413"/>
      <c r="C88" s="751" t="s">
        <v>670</v>
      </c>
      <c r="D88" s="751" t="s">
        <v>671</v>
      </c>
      <c r="E88" s="828">
        <v>0.2</v>
      </c>
      <c r="F88" s="815">
        <v>30</v>
      </c>
    </row>
    <row r="89" spans="1:6" s="811" customFormat="1" ht="36">
      <c r="A89" s="815">
        <v>29</v>
      </c>
      <c r="B89" s="3413"/>
      <c r="C89" s="751" t="s">
        <v>672</v>
      </c>
      <c r="D89" s="751" t="s">
        <v>673</v>
      </c>
      <c r="E89" s="828">
        <v>0.2</v>
      </c>
      <c r="F89" s="815">
        <v>30</v>
      </c>
    </row>
    <row r="90" spans="1:6" s="811" customFormat="1" ht="36">
      <c r="A90" s="815">
        <v>30</v>
      </c>
      <c r="B90" s="3413"/>
      <c r="C90" s="751" t="s">
        <v>674</v>
      </c>
      <c r="D90" s="751" t="s">
        <v>675</v>
      </c>
      <c r="E90" s="828">
        <v>0.2</v>
      </c>
      <c r="F90" s="815">
        <v>30</v>
      </c>
    </row>
    <row r="91" spans="1:6" s="811" customFormat="1" ht="48">
      <c r="A91" s="815">
        <v>31</v>
      </c>
      <c r="B91" s="3413"/>
      <c r="C91" s="751" t="s">
        <v>676</v>
      </c>
      <c r="D91" s="751" t="s">
        <v>677</v>
      </c>
      <c r="E91" s="828">
        <v>0.2</v>
      </c>
      <c r="F91" s="815">
        <v>30</v>
      </c>
    </row>
    <row r="92" spans="1:6" s="811" customFormat="1" ht="36">
      <c r="A92" s="815">
        <v>32</v>
      </c>
      <c r="B92" s="3413" t="s">
        <v>678</v>
      </c>
      <c r="C92" s="815" t="s">
        <v>679</v>
      </c>
      <c r="D92" s="751" t="s">
        <v>680</v>
      </c>
      <c r="E92" s="828">
        <v>0.2</v>
      </c>
      <c r="F92" s="815">
        <v>30</v>
      </c>
    </row>
    <row r="93" spans="1:6" s="811" customFormat="1" ht="36">
      <c r="A93" s="815">
        <v>33</v>
      </c>
      <c r="B93" s="3413"/>
      <c r="C93" s="815" t="s">
        <v>681</v>
      </c>
      <c r="D93" s="751" t="s">
        <v>682</v>
      </c>
      <c r="E93" s="828">
        <v>0.2</v>
      </c>
      <c r="F93" s="815">
        <v>30</v>
      </c>
    </row>
    <row r="94" spans="1:6" s="811" customFormat="1" ht="60">
      <c r="A94" s="815">
        <v>34</v>
      </c>
      <c r="B94" s="3413"/>
      <c r="C94" s="815" t="s">
        <v>683</v>
      </c>
      <c r="D94" s="751" t="s">
        <v>684</v>
      </c>
      <c r="E94" s="828">
        <v>0.2</v>
      </c>
      <c r="F94" s="815">
        <v>30</v>
      </c>
    </row>
    <row r="95" spans="1:6" s="811" customFormat="1" ht="48">
      <c r="A95" s="815">
        <v>35</v>
      </c>
      <c r="B95" s="3413"/>
      <c r="C95" s="815" t="s">
        <v>685</v>
      </c>
      <c r="D95" s="751" t="s">
        <v>686</v>
      </c>
      <c r="E95" s="828">
        <v>0.2</v>
      </c>
      <c r="F95" s="815">
        <v>30</v>
      </c>
    </row>
    <row r="96" spans="1:6" s="811" customFormat="1" ht="72">
      <c r="A96" s="815">
        <v>36</v>
      </c>
      <c r="B96" s="3413"/>
      <c r="C96" s="751" t="s">
        <v>687</v>
      </c>
      <c r="D96" s="751" t="s">
        <v>688</v>
      </c>
      <c r="E96" s="828">
        <v>0.2</v>
      </c>
      <c r="F96" s="815">
        <v>30</v>
      </c>
    </row>
    <row r="97" spans="1:6" s="811" customFormat="1" ht="36">
      <c r="A97" s="815">
        <v>37</v>
      </c>
      <c r="B97" s="3413"/>
      <c r="C97" s="815" t="s">
        <v>689</v>
      </c>
      <c r="D97" s="751" t="s">
        <v>690</v>
      </c>
      <c r="E97" s="828">
        <v>0.2</v>
      </c>
      <c r="F97" s="815">
        <v>30</v>
      </c>
    </row>
    <row r="98" spans="1:6" s="811" customFormat="1" ht="36">
      <c r="A98" s="815">
        <v>38</v>
      </c>
      <c r="B98" s="3413"/>
      <c r="C98" s="815" t="s">
        <v>691</v>
      </c>
      <c r="D98" s="751" t="s">
        <v>692</v>
      </c>
      <c r="E98" s="828">
        <v>0.2</v>
      </c>
      <c r="F98" s="815">
        <v>30</v>
      </c>
    </row>
    <row r="99" spans="1:6" s="811" customFormat="1" ht="36">
      <c r="A99" s="815">
        <v>39</v>
      </c>
      <c r="B99" s="3413" t="s">
        <v>693</v>
      </c>
      <c r="C99" s="815" t="s">
        <v>694</v>
      </c>
      <c r="D99" s="751" t="s">
        <v>695</v>
      </c>
      <c r="E99" s="828">
        <v>0.3</v>
      </c>
      <c r="F99" s="815">
        <v>50</v>
      </c>
    </row>
    <row r="100" spans="1:6" s="811" customFormat="1" ht="36">
      <c r="A100" s="815">
        <v>40</v>
      </c>
      <c r="B100" s="3413"/>
      <c r="C100" s="815" t="s">
        <v>696</v>
      </c>
      <c r="D100" s="751" t="s">
        <v>697</v>
      </c>
      <c r="E100" s="828">
        <v>0.2</v>
      </c>
      <c r="F100" s="815">
        <v>30</v>
      </c>
    </row>
    <row r="101" spans="1:6" s="811" customFormat="1" ht="36">
      <c r="A101" s="815">
        <v>41</v>
      </c>
      <c r="B101" s="3413"/>
      <c r="C101" s="815" t="s">
        <v>698</v>
      </c>
      <c r="D101" s="751" t="s">
        <v>695</v>
      </c>
      <c r="E101" s="828">
        <v>0.2</v>
      </c>
      <c r="F101" s="815">
        <v>30</v>
      </c>
    </row>
    <row r="102" spans="1:6" s="811" customFormat="1" ht="72">
      <c r="A102" s="815">
        <v>42</v>
      </c>
      <c r="B102" s="815" t="s">
        <v>699</v>
      </c>
      <c r="C102" s="751" t="s">
        <v>700</v>
      </c>
      <c r="D102" s="751" t="s">
        <v>701</v>
      </c>
      <c r="E102" s="828">
        <v>0.2</v>
      </c>
      <c r="F102" s="815">
        <v>30</v>
      </c>
    </row>
    <row r="103" spans="1:6" s="811" customFormat="1" ht="36">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48">
      <c r="A105" s="815">
        <v>45</v>
      </c>
      <c r="B105" s="3413" t="s">
        <v>708</v>
      </c>
      <c r="C105" s="815" t="s">
        <v>709</v>
      </c>
      <c r="D105" s="751" t="s">
        <v>710</v>
      </c>
      <c r="E105" s="828">
        <v>0.2</v>
      </c>
      <c r="F105" s="815">
        <v>30</v>
      </c>
    </row>
    <row r="106" spans="1:6" s="811" customFormat="1" ht="48">
      <c r="A106" s="815">
        <v>46</v>
      </c>
      <c r="B106" s="3413"/>
      <c r="C106" s="815" t="s">
        <v>711</v>
      </c>
      <c r="D106" s="751" t="s">
        <v>712</v>
      </c>
      <c r="E106" s="828">
        <v>0.2</v>
      </c>
      <c r="F106" s="815">
        <v>30</v>
      </c>
    </row>
    <row r="107" spans="1:6" s="811" customFormat="1" ht="36">
      <c r="A107" s="815">
        <v>47</v>
      </c>
      <c r="B107" s="3413" t="s">
        <v>713</v>
      </c>
      <c r="C107" s="815" t="s">
        <v>714</v>
      </c>
      <c r="D107" s="751" t="s">
        <v>715</v>
      </c>
      <c r="E107" s="828">
        <v>0.3</v>
      </c>
      <c r="F107" s="815">
        <v>50</v>
      </c>
    </row>
    <row r="108" spans="1:6" s="811" customFormat="1" ht="48">
      <c r="A108" s="815">
        <v>48</v>
      </c>
      <c r="B108" s="341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48">
      <c r="A110" s="815">
        <v>50</v>
      </c>
      <c r="B110" s="815" t="s">
        <v>721</v>
      </c>
      <c r="C110" s="815" t="s">
        <v>722</v>
      </c>
      <c r="D110" s="751" t="s">
        <v>723</v>
      </c>
      <c r="E110" s="828">
        <v>0.2</v>
      </c>
      <c r="F110" s="815">
        <v>30</v>
      </c>
    </row>
    <row r="111" spans="1:6" s="811" customFormat="1" ht="48">
      <c r="A111" s="815">
        <v>51</v>
      </c>
      <c r="B111" s="3413" t="s">
        <v>724</v>
      </c>
      <c r="C111" s="815" t="s">
        <v>725</v>
      </c>
      <c r="D111" s="751" t="s">
        <v>726</v>
      </c>
      <c r="E111" s="828">
        <v>0.2</v>
      </c>
      <c r="F111" s="815">
        <v>30</v>
      </c>
    </row>
    <row r="112" spans="1:6" s="811" customFormat="1" ht="36">
      <c r="A112" s="815">
        <v>52</v>
      </c>
      <c r="B112" s="3413"/>
      <c r="C112" s="815" t="s">
        <v>727</v>
      </c>
      <c r="D112" s="751" t="s">
        <v>728</v>
      </c>
      <c r="E112" s="828">
        <v>0.2</v>
      </c>
      <c r="F112" s="815">
        <v>30</v>
      </c>
    </row>
    <row r="113" spans="1:6" s="811" customFormat="1" ht="36">
      <c r="A113" s="815">
        <v>53</v>
      </c>
      <c r="B113" s="3413"/>
      <c r="C113" s="815" t="s">
        <v>729</v>
      </c>
      <c r="D113" s="751" t="s">
        <v>730</v>
      </c>
      <c r="E113" s="828">
        <v>0.2</v>
      </c>
      <c r="F113" s="815">
        <v>30</v>
      </c>
    </row>
    <row r="114" spans="1:6" ht="48">
      <c r="A114" s="815">
        <v>54</v>
      </c>
      <c r="B114" s="815" t="s">
        <v>731</v>
      </c>
      <c r="C114" s="815" t="s">
        <v>732</v>
      </c>
      <c r="D114" s="751" t="s">
        <v>733</v>
      </c>
      <c r="E114" s="828">
        <v>0.2</v>
      </c>
      <c r="F114" s="815">
        <v>30</v>
      </c>
    </row>
    <row r="115" spans="1:6" ht="36">
      <c r="A115" s="815">
        <v>55</v>
      </c>
      <c r="B115" s="815" t="s">
        <v>734</v>
      </c>
      <c r="C115" s="815" t="s">
        <v>735</v>
      </c>
      <c r="D115" s="751" t="s">
        <v>736</v>
      </c>
      <c r="E115" s="828">
        <v>0.2</v>
      </c>
      <c r="F115" s="815">
        <v>30</v>
      </c>
    </row>
    <row r="116" spans="1:6" ht="36">
      <c r="A116" s="815">
        <v>56</v>
      </c>
      <c r="B116" s="3413" t="s">
        <v>737</v>
      </c>
      <c r="C116" s="815" t="s">
        <v>738</v>
      </c>
      <c r="D116" s="751" t="s">
        <v>739</v>
      </c>
      <c r="E116" s="828">
        <v>0.2</v>
      </c>
      <c r="F116" s="815">
        <v>30</v>
      </c>
    </row>
    <row r="117" spans="1:6" ht="36">
      <c r="A117" s="815">
        <v>57</v>
      </c>
      <c r="B117" s="3413"/>
      <c r="C117" s="815" t="s">
        <v>740</v>
      </c>
      <c r="D117" s="751" t="s">
        <v>741</v>
      </c>
      <c r="E117" s="828">
        <v>0.2</v>
      </c>
      <c r="F117" s="815">
        <v>30</v>
      </c>
    </row>
    <row r="118" spans="1:6" ht="36">
      <c r="A118" s="815">
        <v>58</v>
      </c>
      <c r="B118" s="815" t="s">
        <v>742</v>
      </c>
      <c r="C118" s="815" t="s">
        <v>743</v>
      </c>
      <c r="D118" s="751" t="s">
        <v>744</v>
      </c>
      <c r="E118" s="828">
        <v>0.2</v>
      </c>
      <c r="F118" s="815">
        <v>30</v>
      </c>
    </row>
    <row r="119" spans="1:6" ht="14.4">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48"/>
    <col min="2" max="16384" width="9" style="831"/>
  </cols>
  <sheetData>
    <row r="1" spans="1:14" ht="15.6">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5.6">
      <c r="A103" s="829" t="s">
        <v>748</v>
      </c>
      <c r="B103" s="830"/>
      <c r="C103" s="830"/>
      <c r="D103" s="830"/>
      <c r="E103" s="830"/>
      <c r="F103" s="830"/>
      <c r="G103" s="830"/>
      <c r="H103" s="830"/>
      <c r="I103" s="830"/>
      <c r="J103" s="830"/>
      <c r="K103" s="830"/>
      <c r="L103" s="830"/>
      <c r="M103" s="830"/>
      <c r="N103" s="830"/>
    </row>
    <row r="104" spans="1:14" ht="15.6">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0.87180000000000002</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5.6">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5.6">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0" customWidth="1"/>
    <col min="2" max="2" width="37.21875" style="1670" customWidth="1"/>
    <col min="3" max="3" width="11.33203125" style="1670" customWidth="1"/>
    <col min="4" max="4" width="31.77734375" style="1670" customWidth="1"/>
    <col min="5" max="5" width="0.44140625" style="1670" customWidth="1"/>
    <col min="6" max="7" width="13" style="1670" customWidth="1"/>
    <col min="8" max="16384" width="9" style="1670"/>
  </cols>
  <sheetData>
    <row r="1" spans="1:5" ht="17.399999999999999">
      <c r="A1" s="1668" t="s">
        <v>1586</v>
      </c>
      <c r="B1" s="1669"/>
      <c r="C1" s="1669"/>
      <c r="D1" s="1669"/>
      <c r="E1" s="1669"/>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7.399999999999999">
      <c r="A3" s="3100" t="str">
        <f>IF(项目基本情况!B9="房地产市场价值","估价结果一览表（市场价值不需“结果表-1”）","估价结果一览表")</f>
        <v>估价结果一览表</v>
      </c>
      <c r="B3" s="3100"/>
      <c r="C3" s="3100"/>
      <c r="D3" s="3100"/>
      <c r="E3" s="3100"/>
    </row>
    <row r="4" spans="1:5" ht="18" thickBot="1">
      <c r="A4" s="1671"/>
      <c r="B4" s="3098" t="s">
        <v>1595</v>
      </c>
      <c r="C4" s="3098"/>
      <c r="D4" s="3098"/>
      <c r="E4" s="1671"/>
    </row>
    <row r="5" spans="1:5" ht="16.2" thickTop="1">
      <c r="A5" s="1669"/>
      <c r="B5" s="3096" t="s">
        <v>1587</v>
      </c>
      <c r="C5" s="1672" t="s">
        <v>1588</v>
      </c>
      <c r="D5" s="953">
        <f ca="1">结果表!H101</f>
        <v>315122</v>
      </c>
      <c r="E5" s="1669"/>
    </row>
    <row r="6" spans="1:5" ht="15.6">
      <c r="A6" s="1669"/>
      <c r="B6" s="3096"/>
      <c r="C6" s="1672" t="s">
        <v>1589</v>
      </c>
      <c r="D6" s="953" t="str">
        <f ca="1">NUMBERSTRING(INT(D5*10000),2)&amp;"元整"</f>
        <v>叁拾壹亿伍仟壹佰贰拾贰万元整</v>
      </c>
      <c r="E6" s="1669"/>
    </row>
    <row r="7" spans="1:5" ht="15.6">
      <c r="A7" s="1669"/>
      <c r="B7" s="3101"/>
      <c r="C7" s="1673" t="s">
        <v>1590</v>
      </c>
      <c r="D7" s="954">
        <f ca="1">结果表!H102</f>
        <v>17147</v>
      </c>
      <c r="E7" s="1669"/>
    </row>
    <row r="8" spans="1:5" ht="15.6">
      <c r="A8" s="1669"/>
      <c r="B8" s="3102" t="str">
        <f>结果表!E103</f>
        <v>2.估价师知悉的法定优先受偿款</v>
      </c>
      <c r="C8" s="1674" t="s">
        <v>1591</v>
      </c>
      <c r="D8" s="954">
        <f>结果表!H103</f>
        <v>0</v>
      </c>
      <c r="E8" s="1669"/>
    </row>
    <row r="9" spans="1:5" ht="15.6">
      <c r="A9" s="1669"/>
      <c r="B9" s="3104"/>
      <c r="C9" s="1672" t="s">
        <v>1589</v>
      </c>
      <c r="D9" s="953" t="str">
        <f>NUMBERSTRING(INT(D8*10000),2)&amp;"元整"</f>
        <v>零元整</v>
      </c>
      <c r="E9" s="1669"/>
    </row>
    <row r="10" spans="1:5" ht="15.6">
      <c r="A10" s="1669"/>
      <c r="B10" s="1675" t="s">
        <v>1594</v>
      </c>
      <c r="C10" s="1676" t="s">
        <v>1592</v>
      </c>
      <c r="D10" s="955">
        <f>结果表!H104</f>
        <v>0</v>
      </c>
      <c r="E10" s="1669"/>
    </row>
    <row r="11" spans="1:5" ht="15.6">
      <c r="A11" s="1669"/>
      <c r="B11" s="1675" t="s">
        <v>1596</v>
      </c>
      <c r="C11" s="1676" t="s">
        <v>1597</v>
      </c>
      <c r="D11" s="955">
        <f>结果表!H105</f>
        <v>0</v>
      </c>
      <c r="E11" s="1669"/>
    </row>
    <row r="12" spans="1:5" ht="15.6">
      <c r="A12" s="1669"/>
      <c r="B12" s="1675" t="s">
        <v>1598</v>
      </c>
      <c r="C12" s="1676" t="s">
        <v>1597</v>
      </c>
      <c r="D12" s="955">
        <f>结果表!H106</f>
        <v>0</v>
      </c>
      <c r="E12" s="1669"/>
    </row>
    <row r="13" spans="1:5" ht="15.6">
      <c r="A13" s="1669"/>
      <c r="B13" s="3095" t="str">
        <f>结果表!E107</f>
        <v>3.房地产抵押价值</v>
      </c>
      <c r="C13" s="1677" t="s">
        <v>1588</v>
      </c>
      <c r="D13" s="956">
        <f ca="1">结果表!H107</f>
        <v>315122</v>
      </c>
      <c r="E13" s="1669"/>
    </row>
    <row r="14" spans="1:5" ht="15.6">
      <c r="A14" s="1669"/>
      <c r="B14" s="3096"/>
      <c r="C14" s="1672" t="s">
        <v>1589</v>
      </c>
      <c r="D14" s="953" t="str">
        <f ca="1">NUMBERSTRING(INT(D13*10000),2)&amp;"元整"</f>
        <v>叁拾壹亿伍仟壹佰贰拾贰万元整</v>
      </c>
      <c r="E14" s="1669"/>
    </row>
    <row r="15" spans="1:5" ht="15.6">
      <c r="A15" s="1669"/>
      <c r="B15" s="3101"/>
      <c r="C15" s="1673" t="s">
        <v>1599</v>
      </c>
      <c r="D15" s="962">
        <f ca="1">结果表!H108</f>
        <v>17147</v>
      </c>
      <c r="E15" s="1669"/>
    </row>
    <row r="16" spans="1:5" ht="15.6">
      <c r="A16" s="1669"/>
      <c r="B16" s="3102" t="str">
        <f>结果表!E109</f>
        <v>——</v>
      </c>
      <c r="C16" s="1677" t="s">
        <v>1600</v>
      </c>
      <c r="D16" s="1678" t="str">
        <f>结果表!H109</f>
        <v>——</v>
      </c>
      <c r="E16" s="1669"/>
    </row>
    <row r="17" spans="1:5" ht="15.6">
      <c r="A17" s="1669"/>
      <c r="B17" s="3103"/>
      <c r="C17" s="1672" t="s">
        <v>1601</v>
      </c>
      <c r="D17" s="953" t="e">
        <f>NUMBERSTRING(INT(D16*10000),2)&amp;"元整"</f>
        <v>#VALUE!</v>
      </c>
      <c r="E17" s="1669"/>
    </row>
    <row r="18" spans="1:5" ht="15.6">
      <c r="A18" s="1669"/>
      <c r="B18" s="3104"/>
      <c r="C18" s="1673" t="s">
        <v>1590</v>
      </c>
      <c r="D18" s="962" t="str">
        <f>结果表!H110</f>
        <v>——</v>
      </c>
      <c r="E18" s="1669"/>
    </row>
    <row r="19" spans="1:5" ht="15.6">
      <c r="A19" s="1669"/>
      <c r="B19" s="3095" t="str">
        <f>结果表!E111</f>
        <v>——</v>
      </c>
      <c r="C19" s="1677" t="s">
        <v>1588</v>
      </c>
      <c r="D19" s="954" t="str">
        <f>结果表!H111</f>
        <v>——</v>
      </c>
      <c r="E19" s="1669"/>
    </row>
    <row r="20" spans="1:5" ht="15.6">
      <c r="A20" s="1669"/>
      <c r="B20" s="3096"/>
      <c r="C20" s="1672" t="s">
        <v>1601</v>
      </c>
      <c r="D20" s="953" t="e">
        <f>NUMBERSTRING(INT(D19*10000),2)&amp;"元整"</f>
        <v>#VALUE!</v>
      </c>
      <c r="E20" s="1669"/>
    </row>
    <row r="21" spans="1:5" ht="16.2" thickBot="1">
      <c r="A21" s="1669"/>
      <c r="B21" s="3097"/>
      <c r="C21" s="1679" t="s">
        <v>1599</v>
      </c>
      <c r="D21" s="963" t="str">
        <f>结果表!H112</f>
        <v>——</v>
      </c>
      <c r="E21" s="1669"/>
    </row>
    <row r="22" spans="1:5" ht="14.4" thickTop="1">
      <c r="A22" s="1669"/>
      <c r="B22" s="1680" t="s">
        <v>1602</v>
      </c>
      <c r="C22" s="1669"/>
      <c r="D22" s="1669"/>
      <c r="E22" s="1669"/>
    </row>
    <row r="23" spans="1:5">
      <c r="A23" s="1669"/>
      <c r="B23" s="1669"/>
      <c r="C23" s="1669"/>
      <c r="D23" s="1669"/>
      <c r="E23" s="1669"/>
    </row>
    <row r="24" spans="1:5" ht="17.399999999999999">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3.8"/>
  <cols>
    <col min="1" max="1" width="23.33203125" style="1655" customWidth="1"/>
    <col min="2" max="2" width="12.44140625" style="1655" customWidth="1"/>
    <col min="3" max="3" width="12.109375" style="1655" customWidth="1"/>
    <col min="4" max="4" width="14.109375" style="1655" customWidth="1"/>
    <col min="5" max="5" width="12.44140625" style="1655" customWidth="1"/>
    <col min="6" max="16384" width="9" style="1655"/>
  </cols>
  <sheetData>
    <row r="1" spans="1:16" ht="21.6">
      <c r="A1" s="2045" t="s">
        <v>2814</v>
      </c>
      <c r="B1" s="2355"/>
      <c r="C1" s="2355"/>
      <c r="D1" s="2355"/>
      <c r="E1" s="2355"/>
      <c r="F1" s="3016"/>
      <c r="G1" s="3016"/>
      <c r="H1" s="3016"/>
      <c r="I1" s="3016"/>
      <c r="J1" s="3016"/>
      <c r="K1" s="3016"/>
      <c r="L1" s="3016"/>
      <c r="M1" s="3016"/>
      <c r="N1" s="3016"/>
      <c r="O1" s="3016"/>
      <c r="P1" s="3016"/>
    </row>
    <row r="2" spans="1:16" ht="15.6">
      <c r="A2" s="2353" t="s">
        <v>2806</v>
      </c>
      <c r="B2" s="2820">
        <f ca="1">SUMIF(B6:B13,"&lt;&gt;#ref!",B6:B13)</f>
        <v>134956</v>
      </c>
      <c r="C2" s="2353" t="s">
        <v>2807</v>
      </c>
      <c r="D2" s="2353" t="s">
        <v>2808</v>
      </c>
      <c r="E2" s="2830">
        <f ca="1">SUMIF(E6:E13,"&lt;&gt;#ref!",E6:E13)</f>
        <v>169830.57</v>
      </c>
      <c r="F2" s="3016"/>
      <c r="G2" s="3016"/>
      <c r="H2" s="3016"/>
      <c r="I2" s="3016"/>
      <c r="J2" s="3016"/>
      <c r="K2" s="3016"/>
      <c r="L2" s="3016"/>
      <c r="M2" s="3016"/>
      <c r="N2" s="3016"/>
      <c r="O2" s="3016"/>
      <c r="P2" s="3016"/>
    </row>
    <row r="3" spans="1:16" ht="15.6">
      <c r="A3" s="2353" t="s">
        <v>2809</v>
      </c>
      <c r="B3" s="2820">
        <f ca="1">ROUND(B2*10000/E2,0)</f>
        <v>7947</v>
      </c>
      <c r="C3" s="2353" t="s">
        <v>2815</v>
      </c>
      <c r="D3" s="3016"/>
      <c r="E3" s="3016"/>
      <c r="F3" s="3016"/>
      <c r="G3" s="3016"/>
      <c r="H3" s="3016"/>
      <c r="I3" s="3016"/>
      <c r="J3" s="3016"/>
      <c r="K3" s="3016"/>
      <c r="L3" s="3016"/>
      <c r="M3" s="3016"/>
      <c r="N3" s="3016"/>
      <c r="O3" s="3016"/>
      <c r="P3" s="3016"/>
    </row>
    <row r="4" spans="1:16" ht="15.6">
      <c r="A4" s="3017"/>
      <c r="B4" s="3016"/>
      <c r="C4" s="3016"/>
      <c r="D4" s="3016"/>
      <c r="E4" s="3016"/>
      <c r="F4" s="3016"/>
      <c r="G4" s="3016"/>
      <c r="H4" s="3016"/>
      <c r="I4" s="3016"/>
      <c r="J4" s="3016"/>
      <c r="K4" s="3016"/>
      <c r="L4" s="3016"/>
      <c r="M4" s="3016"/>
      <c r="N4" s="3016"/>
      <c r="O4" s="3016"/>
      <c r="P4" s="3016"/>
    </row>
    <row r="5" spans="1:16" ht="31.2">
      <c r="A5" s="2826" t="s">
        <v>2810</v>
      </c>
      <c r="B5" s="2828" t="s">
        <v>2811</v>
      </c>
      <c r="C5" s="2354"/>
      <c r="D5" s="3016"/>
      <c r="E5" s="2829" t="s">
        <v>2812</v>
      </c>
      <c r="F5" s="3016"/>
      <c r="G5" s="3016"/>
      <c r="H5" s="3016"/>
      <c r="I5" s="3016"/>
      <c r="J5" s="3016"/>
      <c r="K5" s="3016"/>
      <c r="L5" s="3016"/>
      <c r="M5" s="3016"/>
      <c r="N5" s="3016"/>
      <c r="O5" s="3016"/>
      <c r="P5" s="3016"/>
    </row>
    <row r="6" spans="1:16" ht="15.6">
      <c r="A6" s="2827" t="s">
        <v>2813</v>
      </c>
      <c r="B6" s="2820">
        <f ca="1">SUMIF(INDIRECT("'"&amp;A6&amp;"'"&amp;"!A:A"),"总价",INDIRECT("'"&amp;A6&amp;"'"&amp;"!B:B"))</f>
        <v>134956</v>
      </c>
      <c r="C6" s="2353" t="s">
        <v>2807</v>
      </c>
      <c r="D6" s="3016"/>
      <c r="E6" s="2830">
        <f ca="1">SUMIF(INDIRECT("'"&amp;A6&amp;"'"&amp;"!C:C"),"建筑面积",INDIRECT("'"&amp;A6&amp;"'"&amp;"!D:D"))</f>
        <v>169830.57</v>
      </c>
      <c r="F6" s="3016"/>
      <c r="G6" s="3016"/>
      <c r="H6" s="3016"/>
      <c r="I6" s="3016"/>
      <c r="J6" s="3016"/>
      <c r="K6" s="3016"/>
      <c r="L6" s="3016"/>
      <c r="M6" s="3016"/>
      <c r="N6" s="3016"/>
      <c r="O6" s="3016"/>
      <c r="P6" s="3016"/>
    </row>
    <row r="7" spans="1:16" ht="15.6">
      <c r="A7" s="2827"/>
      <c r="B7" s="2820" t="e">
        <f ca="1">SUMIF(INDIRECT("'"&amp;A7&amp;"'"&amp;"!A:A"),"总价",INDIRECT("'"&amp;A7&amp;"'"&amp;"!B:B"))</f>
        <v>#REF!</v>
      </c>
      <c r="C7" s="2353" t="s">
        <v>2807</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6">
      <c r="A8" s="2827"/>
      <c r="B8" s="2820" t="e">
        <f t="shared" ref="B8:B13" ca="1" si="1">SUMIF(INDIRECT("'"&amp;A8&amp;"'"&amp;"!A:A"),"总价",INDIRECT("'"&amp;A8&amp;"'"&amp;"!B:B"))</f>
        <v>#REF!</v>
      </c>
      <c r="C8" s="2353" t="s">
        <v>2807</v>
      </c>
      <c r="D8" s="3016"/>
      <c r="E8" s="2830" t="e">
        <f t="shared" ca="1" si="0"/>
        <v>#REF!</v>
      </c>
      <c r="F8" s="3016"/>
      <c r="G8" s="3016"/>
      <c r="H8" s="3016"/>
      <c r="I8" s="3016"/>
      <c r="J8" s="3016"/>
      <c r="K8" s="3016"/>
      <c r="L8" s="3016"/>
      <c r="M8" s="3016"/>
      <c r="N8" s="3016"/>
      <c r="O8" s="3016"/>
      <c r="P8" s="3016"/>
    </row>
    <row r="9" spans="1:16" ht="15.6">
      <c r="A9" s="2827"/>
      <c r="B9" s="2820" t="e">
        <f t="shared" ca="1" si="1"/>
        <v>#REF!</v>
      </c>
      <c r="C9" s="2353" t="s">
        <v>2807</v>
      </c>
      <c r="D9" s="3016"/>
      <c r="E9" s="2830" t="e">
        <f t="shared" ca="1" si="0"/>
        <v>#REF!</v>
      </c>
      <c r="F9" s="3016"/>
      <c r="G9" s="3016"/>
      <c r="H9" s="3016"/>
      <c r="I9" s="3016"/>
      <c r="J9" s="3016"/>
      <c r="K9" s="3016"/>
      <c r="L9" s="3016"/>
      <c r="M9" s="3016"/>
      <c r="N9" s="3016"/>
      <c r="O9" s="3016"/>
      <c r="P9" s="3016"/>
    </row>
    <row r="10" spans="1:16" ht="15.6">
      <c r="A10" s="2827"/>
      <c r="B10" s="2820" t="e">
        <f t="shared" ca="1" si="1"/>
        <v>#REF!</v>
      </c>
      <c r="C10" s="2353" t="s">
        <v>2807</v>
      </c>
      <c r="D10" s="3016"/>
      <c r="E10" s="2830" t="e">
        <f t="shared" ca="1" si="0"/>
        <v>#REF!</v>
      </c>
      <c r="F10" s="3016"/>
      <c r="G10" s="3016"/>
      <c r="H10" s="3016"/>
      <c r="I10" s="3016"/>
      <c r="J10" s="3016"/>
      <c r="K10" s="3016"/>
      <c r="L10" s="3016"/>
      <c r="M10" s="3016"/>
      <c r="N10" s="3016"/>
      <c r="O10" s="3016"/>
      <c r="P10" s="3016"/>
    </row>
    <row r="11" spans="1:16" ht="15.6">
      <c r="A11" s="2827"/>
      <c r="B11" s="2820" t="e">
        <f t="shared" ca="1" si="1"/>
        <v>#REF!</v>
      </c>
      <c r="C11" s="2353" t="s">
        <v>2807</v>
      </c>
      <c r="D11" s="3016"/>
      <c r="E11" s="2830" t="e">
        <f t="shared" ca="1" si="0"/>
        <v>#REF!</v>
      </c>
      <c r="F11" s="3016"/>
      <c r="G11" s="3016"/>
      <c r="H11" s="3016"/>
      <c r="I11" s="3016"/>
      <c r="J11" s="3016"/>
      <c r="K11" s="3016"/>
      <c r="L11" s="3016"/>
      <c r="M11" s="3016"/>
      <c r="N11" s="3016"/>
      <c r="O11" s="3016"/>
      <c r="P11" s="3016"/>
    </row>
    <row r="12" spans="1:16" ht="15.6">
      <c r="A12" s="2827"/>
      <c r="B12" s="2820" t="e">
        <f t="shared" ca="1" si="1"/>
        <v>#REF!</v>
      </c>
      <c r="C12" s="2353" t="s">
        <v>2807</v>
      </c>
      <c r="D12" s="3016"/>
      <c r="E12" s="2830" t="e">
        <f t="shared" ca="1" si="0"/>
        <v>#REF!</v>
      </c>
      <c r="F12" s="3016"/>
      <c r="G12" s="3016"/>
      <c r="H12" s="3016"/>
      <c r="I12" s="3016"/>
      <c r="J12" s="3016"/>
      <c r="K12" s="3016"/>
      <c r="L12" s="3016"/>
      <c r="M12" s="3016"/>
      <c r="N12" s="3016"/>
      <c r="O12" s="3016"/>
      <c r="P12" s="3016"/>
    </row>
    <row r="13" spans="1:16" ht="15.6">
      <c r="A13" s="2827"/>
      <c r="B13" s="2820" t="e">
        <f t="shared" ca="1" si="1"/>
        <v>#REF!</v>
      </c>
      <c r="C13" s="2353" t="s">
        <v>2807</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3.2"/>
  <cols>
    <col min="1" max="1" width="9" style="2402"/>
    <col min="2" max="6" width="9" style="2402" customWidth="1"/>
    <col min="7" max="7" width="9" style="2440"/>
    <col min="8" max="8" width="9" style="2402"/>
    <col min="9" max="12" width="9" style="2402" customWidth="1"/>
    <col min="13" max="13" width="2.21875" style="2402" customWidth="1"/>
    <col min="14" max="14" width="9" style="2440" customWidth="1"/>
    <col min="15" max="17" width="9" style="2402" customWidth="1"/>
    <col min="18" max="18" width="2.33203125" style="2402" customWidth="1"/>
    <col min="19" max="19" width="7.109375" style="2440" customWidth="1"/>
    <col min="20" max="22" width="7.109375" style="2402" customWidth="1"/>
    <col min="23" max="23" width="24.21875" style="2402" customWidth="1"/>
    <col min="24" max="25" width="9" style="2402"/>
    <col min="26" max="27" width="11.6640625" style="2402" customWidth="1"/>
    <col min="28" max="28" width="9" style="2402"/>
    <col min="29" max="29" width="2" style="2402" customWidth="1"/>
    <col min="30" max="16384" width="9" style="2402"/>
  </cols>
  <sheetData>
    <row r="1" spans="1:34" s="2381"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82" customFormat="1" ht="1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4">
      <c r="A3" s="2386" t="s">
        <v>2847</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4">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2848</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3054</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3053</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3051</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3050</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2864</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2862</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2861</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8" thickBot="1">
      <c r="A13" s="2415" t="s">
        <v>2860</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2858</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8" thickBot="1">
      <c r="A15" s="2415" t="s">
        <v>2856</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2859</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15">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 customHeight="1">
      <c r="A17" s="2415" t="s">
        <v>2854</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15"/>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 customHeight="1">
      <c r="A18" s="2415" t="s">
        <v>2853</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15"/>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2846</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24"/>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2844</v>
      </c>
      <c r="B20" s="2430">
        <v>439</v>
      </c>
      <c r="C20" s="2430">
        <v>327</v>
      </c>
      <c r="D20" s="2430">
        <f>C20</f>
        <v>327</v>
      </c>
      <c r="E20" s="2430">
        <v>627</v>
      </c>
      <c r="F20" s="2431">
        <v>283</v>
      </c>
      <c r="G20" s="3420">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 customHeight="1">
      <c r="A21" s="2415" t="s">
        <v>2845</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15"/>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15"/>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24"/>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20">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15"/>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15"/>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8"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16"/>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8" thickBot="1">
      <c r="A28" s="2415" t="s">
        <v>151</v>
      </c>
      <c r="B28" s="2430">
        <v>333</v>
      </c>
      <c r="C28" s="2430">
        <v>277</v>
      </c>
      <c r="D28" s="2430">
        <f t="shared" si="191"/>
        <v>277</v>
      </c>
      <c r="E28" s="2430">
        <v>459</v>
      </c>
      <c r="F28" s="2431">
        <v>249</v>
      </c>
      <c r="G28" s="3414">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15"/>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15"/>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16"/>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8" thickBot="1">
      <c r="A32" s="2415" t="s">
        <v>147</v>
      </c>
      <c r="B32" s="2444">
        <v>318</v>
      </c>
      <c r="C32" s="2444">
        <v>268</v>
      </c>
      <c r="D32" s="2444">
        <f t="shared" si="191"/>
        <v>268</v>
      </c>
      <c r="E32" s="2444">
        <v>437</v>
      </c>
      <c r="F32" s="2445">
        <v>237</v>
      </c>
      <c r="G32" s="3414">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15"/>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8"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15"/>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8"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16"/>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8" thickBot="1">
      <c r="A36" s="2415" t="s">
        <v>1130</v>
      </c>
      <c r="B36" s="2430">
        <v>299</v>
      </c>
      <c r="C36" s="2430">
        <v>252</v>
      </c>
      <c r="D36" s="2430">
        <f t="shared" si="191"/>
        <v>252</v>
      </c>
      <c r="E36" s="2430">
        <v>409</v>
      </c>
      <c r="F36" s="2431">
        <v>227</v>
      </c>
      <c r="G36" s="3421">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22"/>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22"/>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23"/>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8" thickBot="1">
      <c r="A40" s="2415" t="s">
        <v>1134</v>
      </c>
      <c r="B40" s="2465">
        <v>278</v>
      </c>
      <c r="C40" s="2465">
        <v>234</v>
      </c>
      <c r="D40" s="2465">
        <f t="shared" si="191"/>
        <v>234</v>
      </c>
      <c r="E40" s="2465">
        <v>379</v>
      </c>
      <c r="F40" s="2466">
        <v>220</v>
      </c>
      <c r="G40" s="3414">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15"/>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15"/>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8" thickBot="1">
      <c r="A43" s="2415" t="s">
        <v>1137</v>
      </c>
      <c r="B43" s="2416">
        <f>B42/(1+N42)</f>
        <v>275.19025476197027</v>
      </c>
      <c r="C43" s="2467">
        <v>232</v>
      </c>
      <c r="D43" s="2467">
        <f t="shared" si="191"/>
        <v>232</v>
      </c>
      <c r="E43" s="2416">
        <f t="shared" si="202"/>
        <v>375.65990977608692</v>
      </c>
      <c r="F43" s="2416">
        <f t="shared" si="202"/>
        <v>214.12518283971252</v>
      </c>
      <c r="G43" s="3416"/>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8" thickBot="1">
      <c r="A44" s="2415" t="s">
        <v>1138</v>
      </c>
      <c r="B44" s="2430">
        <v>275</v>
      </c>
      <c r="C44" s="2430">
        <v>232</v>
      </c>
      <c r="D44" s="2430">
        <f t="shared" si="191"/>
        <v>232</v>
      </c>
      <c r="E44" s="2430">
        <v>376</v>
      </c>
      <c r="F44" s="2431">
        <v>213</v>
      </c>
      <c r="G44" s="3414">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15">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15">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8"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16">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8" thickBot="1">
      <c r="A48" s="2415" t="s">
        <v>1142</v>
      </c>
      <c r="B48" s="2430">
        <v>269</v>
      </c>
      <c r="C48" s="2430">
        <v>221</v>
      </c>
      <c r="D48" s="2430">
        <f t="shared" si="191"/>
        <v>221</v>
      </c>
      <c r="E48" s="2430">
        <v>373</v>
      </c>
      <c r="F48" s="2431">
        <v>196</v>
      </c>
      <c r="G48" s="3414">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15">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15">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8"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16">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8" thickBot="1">
      <c r="A52" s="2415" t="s">
        <v>1146</v>
      </c>
      <c r="B52" s="2430">
        <v>220</v>
      </c>
      <c r="C52" s="2430">
        <v>187</v>
      </c>
      <c r="D52" s="2430">
        <f t="shared" si="191"/>
        <v>187</v>
      </c>
      <c r="E52" s="2430">
        <v>301</v>
      </c>
      <c r="F52" s="2431">
        <v>168</v>
      </c>
      <c r="G52" s="3414">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15">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15">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16">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8" thickBot="1">
      <c r="A56" s="2415" t="s">
        <v>1150</v>
      </c>
      <c r="B56" s="2465">
        <v>214</v>
      </c>
      <c r="C56" s="2465">
        <v>188</v>
      </c>
      <c r="D56" s="2465">
        <f t="shared" si="191"/>
        <v>188</v>
      </c>
      <c r="E56" s="2465">
        <v>289</v>
      </c>
      <c r="F56" s="2466">
        <v>166</v>
      </c>
      <c r="G56" s="3414">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15">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15">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8"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16">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8" thickBot="1">
      <c r="A60" s="2415" t="s">
        <v>1154</v>
      </c>
      <c r="B60" s="2430">
        <v>188</v>
      </c>
      <c r="C60" s="2430">
        <v>165</v>
      </c>
      <c r="D60" s="2430">
        <f t="shared" si="191"/>
        <v>165</v>
      </c>
      <c r="E60" s="2430">
        <v>254</v>
      </c>
      <c r="F60" s="2431">
        <v>148</v>
      </c>
      <c r="G60" s="3414">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15">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15">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16">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8" thickBot="1">
      <c r="A64" s="2415" t="s">
        <v>1158</v>
      </c>
      <c r="B64" s="2444">
        <v>159</v>
      </c>
      <c r="C64" s="2444">
        <v>141</v>
      </c>
      <c r="D64" s="2444">
        <f t="shared" si="191"/>
        <v>141</v>
      </c>
      <c r="E64" s="2444">
        <v>195</v>
      </c>
      <c r="F64" s="2445">
        <v>122</v>
      </c>
      <c r="G64" s="3414">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15">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15">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16">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8" thickBot="1">
      <c r="A68" s="2415" t="s">
        <v>1162</v>
      </c>
      <c r="B68" s="2444">
        <v>138</v>
      </c>
      <c r="C68" s="2444">
        <v>131</v>
      </c>
      <c r="D68" s="2444">
        <f t="shared" si="191"/>
        <v>131</v>
      </c>
      <c r="E68" s="2444">
        <v>155</v>
      </c>
      <c r="F68" s="2445">
        <v>114</v>
      </c>
      <c r="G68" s="3414">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15">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15">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16">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8" thickBot="1">
      <c r="A72" s="2415" t="s">
        <v>1166</v>
      </c>
      <c r="B72" s="2465">
        <v>121</v>
      </c>
      <c r="C72" s="2465">
        <v>122</v>
      </c>
      <c r="D72" s="2465">
        <f t="shared" si="191"/>
        <v>122</v>
      </c>
      <c r="E72" s="2465">
        <v>124</v>
      </c>
      <c r="F72" s="2466">
        <v>107</v>
      </c>
      <c r="G72" s="3414">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15">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15">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8"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16">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8" thickBot="1">
      <c r="A76" s="2415" t="s">
        <v>1170</v>
      </c>
      <c r="B76" s="2485">
        <v>111</v>
      </c>
      <c r="C76" s="2485">
        <v>114</v>
      </c>
      <c r="D76" s="2485">
        <f t="shared" si="191"/>
        <v>114</v>
      </c>
      <c r="E76" s="2485">
        <v>108</v>
      </c>
      <c r="F76" s="2486">
        <v>104</v>
      </c>
      <c r="G76" s="3414">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15">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15">
        <v>2003</v>
      </c>
      <c r="H78" s="2428">
        <v>2</v>
      </c>
      <c r="I78" s="2487"/>
      <c r="J78" s="2487"/>
      <c r="K78" s="2487"/>
      <c r="L78" s="2487"/>
      <c r="X78" s="2479"/>
      <c r="Y78" s="2479"/>
      <c r="Z78" s="2479"/>
    </row>
    <row r="79" spans="1:26" ht="13.8" thickBot="1">
      <c r="A79" s="2415" t="s">
        <v>1173</v>
      </c>
      <c r="B79" s="2489">
        <f t="shared" si="227"/>
        <v>107.25</v>
      </c>
      <c r="C79" s="2489">
        <f t="shared" si="227"/>
        <v>108.75</v>
      </c>
      <c r="D79" s="2489">
        <f t="shared" si="191"/>
        <v>108.75</v>
      </c>
      <c r="E79" s="2489">
        <f t="shared" si="228"/>
        <v>105.75</v>
      </c>
      <c r="F79" s="2489">
        <f t="shared" si="228"/>
        <v>102.5</v>
      </c>
      <c r="G79" s="3416">
        <v>2003</v>
      </c>
      <c r="H79" s="2490">
        <v>1</v>
      </c>
      <c r="I79" s="2487"/>
      <c r="J79" s="2487"/>
      <c r="K79" s="2487"/>
      <c r="L79" s="2487"/>
      <c r="S79" s="2418"/>
      <c r="T79" s="2403"/>
      <c r="U79" s="2403"/>
      <c r="X79" s="2479"/>
      <c r="Y79" s="2479"/>
      <c r="Z79" s="2479"/>
    </row>
    <row r="80" spans="1:26" ht="13.8" thickBot="1">
      <c r="A80" s="2415" t="s">
        <v>1174</v>
      </c>
      <c r="B80" s="2491">
        <v>106</v>
      </c>
      <c r="C80" s="2491">
        <v>107</v>
      </c>
      <c r="D80" s="2491">
        <f t="shared" si="191"/>
        <v>107</v>
      </c>
      <c r="E80" s="2491">
        <v>105</v>
      </c>
      <c r="F80" s="2492">
        <v>102</v>
      </c>
      <c r="G80" s="3414">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15">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15">
        <v>2002</v>
      </c>
      <c r="H82" s="2428">
        <v>2</v>
      </c>
      <c r="I82" s="2487"/>
      <c r="J82" s="2487"/>
      <c r="K82" s="2487"/>
      <c r="L82" s="2487"/>
      <c r="X82" s="2479"/>
      <c r="Y82" s="2479"/>
      <c r="Z82" s="2479"/>
    </row>
    <row r="83" spans="1:26" s="2452" customFormat="1" ht="13.8" thickBot="1">
      <c r="A83" s="2448" t="s">
        <v>1177</v>
      </c>
      <c r="B83" s="2455">
        <f t="shared" si="229"/>
        <v>103</v>
      </c>
      <c r="C83" s="2455">
        <f t="shared" si="229"/>
        <v>104</v>
      </c>
      <c r="D83" s="2455">
        <f t="shared" si="191"/>
        <v>104</v>
      </c>
      <c r="E83" s="2455">
        <f t="shared" si="230"/>
        <v>103.5</v>
      </c>
      <c r="F83" s="2455">
        <f t="shared" si="230"/>
        <v>100.5</v>
      </c>
      <c r="G83" s="3416">
        <v>2002</v>
      </c>
      <c r="H83" s="2493">
        <v>1</v>
      </c>
      <c r="I83" s="2494"/>
      <c r="J83" s="2494"/>
      <c r="K83" s="2494"/>
      <c r="L83" s="2494"/>
      <c r="N83" s="2495"/>
      <c r="S83" s="2495"/>
      <c r="X83" s="2496"/>
      <c r="Y83" s="2496"/>
      <c r="Z83" s="2496"/>
    </row>
    <row r="84" spans="1:26" ht="13.8"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8"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8"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2816</v>
      </c>
      <c r="C1" s="3428" t="s">
        <v>2817</v>
      </c>
      <c r="D1" s="3429"/>
      <c r="E1" s="3429"/>
      <c r="F1" s="3429"/>
      <c r="G1" s="3429"/>
      <c r="H1" s="3429"/>
      <c r="I1" s="3429"/>
      <c r="J1" s="3429"/>
      <c r="K1" s="3429"/>
      <c r="L1" s="3429"/>
      <c r="M1" s="3429"/>
      <c r="N1" s="3429"/>
      <c r="O1" s="3429"/>
      <c r="P1" s="3429"/>
      <c r="Q1" s="3429"/>
      <c r="R1" s="3429"/>
      <c r="S1" s="3430"/>
      <c r="T1" s="1108" t="s">
        <v>2818</v>
      </c>
    </row>
    <row r="2" spans="1:45" s="663" customFormat="1">
      <c r="A2" s="1109"/>
      <c r="B2" s="659" t="s">
        <v>2819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2820</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2821</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2822</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2823</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2824</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2825</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2826</v>
      </c>
      <c r="B17" s="2357" t="s">
        <v>2827</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8"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2828</v>
      </c>
      <c r="E19" s="1517"/>
      <c r="F19" s="1517"/>
      <c r="G19" s="1517"/>
      <c r="H19" s="1184"/>
      <c r="I19" s="164"/>
      <c r="J19" s="164"/>
      <c r="K19" s="164"/>
      <c r="L19" s="164"/>
      <c r="M19" s="164"/>
      <c r="N19" s="164"/>
      <c r="O19" s="164"/>
      <c r="P19" s="164"/>
      <c r="Q19" s="164"/>
      <c r="R19" s="727"/>
      <c r="S19" s="134"/>
    </row>
    <row r="20" spans="1:45" ht="16.2" thickBot="1">
      <c r="A20" s="671" t="s">
        <v>2829</v>
      </c>
      <c r="B20" s="300" t="e">
        <f ca="1">IF(D20="——",S22,S22-F20)</f>
        <v>#REF!</v>
      </c>
      <c r="C20" s="164"/>
      <c r="D20" s="2359"/>
      <c r="E20" s="1518"/>
      <c r="F20" s="1108" t="e">
        <f ca="1">SUMIF(INDIRECT("'"&amp;H20&amp;"'"&amp;"!A:A"),"承租人权益价值",INDIRECT("'"&amp;H20&amp;"'"&amp;"!c:c"))</f>
        <v>#REF!</v>
      </c>
      <c r="G20" s="1108" t="s">
        <v>2830</v>
      </c>
      <c r="H20" s="2360"/>
      <c r="I20" s="164"/>
      <c r="J20" s="164"/>
      <c r="K20" s="164"/>
      <c r="L20" s="164"/>
      <c r="M20" s="164"/>
      <c r="N20" s="164"/>
      <c r="O20" s="164"/>
      <c r="P20" s="164"/>
      <c r="Q20" s="164"/>
      <c r="R20" s="727"/>
      <c r="S20" s="134"/>
    </row>
    <row r="21" spans="1:45" ht="15.6">
      <c r="A21" s="671" t="s">
        <v>2831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2832</v>
      </c>
      <c r="B22" s="24">
        <f>SUM(B24:B10000)</f>
        <v>100</v>
      </c>
      <c r="C22" s="3425" t="s">
        <v>33</v>
      </c>
      <c r="D22" s="3426"/>
      <c r="E22" s="3426"/>
      <c r="F22" s="3426"/>
      <c r="G22" s="3426"/>
      <c r="H22" s="3426"/>
      <c r="I22" s="3426"/>
      <c r="J22" s="3426"/>
      <c r="K22" s="3426"/>
      <c r="L22" s="3426"/>
      <c r="M22" s="3426"/>
      <c r="N22" s="3426"/>
      <c r="O22" s="3426"/>
      <c r="P22" s="3426"/>
      <c r="Q22" s="3427"/>
      <c r="R22" s="672">
        <f>ROUND(S22*10000/B22,0)</f>
        <v>10000</v>
      </c>
      <c r="S22" s="24">
        <f>SUM(S24:S10000)</f>
        <v>100</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3" t="s">
        <v>2836</v>
      </c>
      <c r="S23" s="11" t="s">
        <v>2837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2838</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87534</v>
      </c>
      <c r="C2" s="2" t="s">
        <v>133</v>
      </c>
      <c r="D2" s="205"/>
      <c r="E2" s="205"/>
      <c r="F2" s="205"/>
      <c r="G2" s="205"/>
    </row>
    <row r="3" spans="1:7" s="206" customFormat="1" ht="18" customHeight="1" thickBot="1">
      <c r="A3" s="209" t="s">
        <v>85</v>
      </c>
      <c r="B3" s="210">
        <f ca="1">ROUND(B2*10000/'数据-汇总表'!E3,0)</f>
        <v>4763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3676</v>
      </c>
      <c r="D10" s="948">
        <f>'数据-汇总表'!E6</f>
        <v>183777.08000000002</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3676</v>
      </c>
      <c r="D19" s="952">
        <f>'数据-汇总表'!E3</f>
        <v>183777.08000000002</v>
      </c>
      <c r="E19" s="217">
        <f>'数据-取费表'!B31</f>
        <v>200</v>
      </c>
      <c r="F19" s="237"/>
      <c r="G19" s="1" t="s">
        <v>1042</v>
      </c>
    </row>
    <row r="20" spans="1:7" s="220" customFormat="1" ht="13.5" customHeight="1">
      <c r="A20" s="879" t="s">
        <v>1025</v>
      </c>
      <c r="B20" s="216" t="s">
        <v>104</v>
      </c>
      <c r="C20" s="238">
        <f>ROUND((C5+C19)*F20,0)</f>
        <v>486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1507</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1266</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226</v>
      </c>
      <c r="D24" s="244"/>
      <c r="E24" s="244"/>
      <c r="F24" s="245"/>
      <c r="G24" s="246" t="s">
        <v>109</v>
      </c>
    </row>
    <row r="25" spans="1:7" s="220" customFormat="1" ht="24">
      <c r="A25" s="882" t="s">
        <v>793</v>
      </c>
      <c r="B25" s="221" t="s">
        <v>1026</v>
      </c>
      <c r="C25" s="1259">
        <f ca="1">ROUND(IF('数据-取费表'!B22&lt;=1,C20*F22*'数据-取费表'!B23/2,C20*(POWER((1+F22),'数据-取费表'!B23/2)-1)),0)</f>
        <v>15</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6.4">
      <c r="A27" s="879" t="s">
        <v>787</v>
      </c>
      <c r="B27" s="250" t="s">
        <v>112</v>
      </c>
      <c r="C27" s="251">
        <f>C28</f>
        <v>2081</v>
      </c>
      <c r="D27" s="241">
        <f>C29</f>
        <v>1.6999999999999999E-3</v>
      </c>
      <c r="E27" s="242" t="s">
        <v>126</v>
      </c>
      <c r="F27" s="252">
        <f>'数据-取费表'!Q16</f>
        <v>0.12</v>
      </c>
      <c r="G27" s="253" t="s">
        <v>1037</v>
      </c>
    </row>
    <row r="28" spans="1:7" s="220" customFormat="1" ht="13.5" customHeight="1">
      <c r="A28" s="882" t="s">
        <v>794</v>
      </c>
      <c r="B28" s="254" t="s">
        <v>1030</v>
      </c>
      <c r="C28" s="255">
        <f>ROUND((C5+C19+C20)*F27*'数据-取费表'!B21/'数据-取费表'!B20,0)</f>
        <v>2081</v>
      </c>
      <c r="D28" s="241"/>
      <c r="E28" s="242"/>
      <c r="F28" s="252"/>
      <c r="G28" s="253"/>
    </row>
    <row r="29" spans="1:7" s="220" customFormat="1" ht="13.5" customHeight="1">
      <c r="A29" s="882" t="s">
        <v>792</v>
      </c>
      <c r="B29" s="254" t="s">
        <v>1031</v>
      </c>
      <c r="C29" s="244">
        <f>ROUND(C21*F27*'数据-取费表'!B21/'数据-取费表'!B20,4)</f>
        <v>1.6999999999999999E-3</v>
      </c>
      <c r="D29" s="241"/>
      <c r="E29" s="242"/>
      <c r="F29" s="252"/>
      <c r="G29" s="253"/>
    </row>
    <row r="30" spans="1:7" s="220" customFormat="1" ht="13.5" customHeight="1">
      <c r="A30" s="879"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30649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44830</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40614</v>
      </c>
      <c r="D34" s="223"/>
      <c r="E34" s="226"/>
      <c r="F34" s="263">
        <f>IF('数据-取费表'!B24=0,1,'数据-取费表'!N16)</f>
        <v>0.65</v>
      </c>
      <c r="G34" s="225" t="s">
        <v>116</v>
      </c>
    </row>
    <row r="35" spans="1:7" ht="13.5" customHeight="1">
      <c r="A35" s="882" t="s">
        <v>796</v>
      </c>
      <c r="B35" s="221" t="s">
        <v>60</v>
      </c>
      <c r="C35" s="226">
        <f>ROUND(C34*F35,0)</f>
        <v>1218</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2389</v>
      </c>
      <c r="D37" s="223">
        <f>'数据-汇总表'!E3</f>
        <v>183777.08000000002</v>
      </c>
      <c r="E37" s="255">
        <f>'数据-取费表'!B35</f>
        <v>200</v>
      </c>
      <c r="F37" s="265"/>
      <c r="G37" s="267" t="s">
        <v>119</v>
      </c>
    </row>
    <row r="38" spans="1:7" ht="13.5" customHeight="1">
      <c r="A38" s="882" t="s">
        <v>799</v>
      </c>
      <c r="B38" s="221" t="s">
        <v>63</v>
      </c>
      <c r="C38" s="226">
        <f>ROUND(C34*F38,0)</f>
        <v>609</v>
      </c>
      <c r="D38" s="226"/>
      <c r="E38" s="226"/>
      <c r="F38" s="265">
        <f>'数据-取费表'!B36</f>
        <v>1.4999999999999999E-2</v>
      </c>
      <c r="G38" s="225" t="s">
        <v>117</v>
      </c>
    </row>
    <row r="39" spans="1:7" s="220" customFormat="1" ht="13.5" customHeight="1">
      <c r="A39" s="879" t="s">
        <v>783</v>
      </c>
      <c r="B39" s="216" t="s">
        <v>104</v>
      </c>
      <c r="C39" s="238">
        <f>ROUND(C33*F20,0)</f>
        <v>897</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1383</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1356</v>
      </c>
      <c r="D42" s="244"/>
      <c r="E42" s="244"/>
      <c r="F42" s="245"/>
      <c r="G42" s="3327" t="s">
        <v>121</v>
      </c>
    </row>
    <row r="43" spans="1:7" ht="13.5" customHeight="1">
      <c r="A43" s="882" t="s">
        <v>792</v>
      </c>
      <c r="B43" s="221" t="s">
        <v>1032</v>
      </c>
      <c r="C43" s="244">
        <f ca="1">ROUND(IF('数据-取费表'!B22&lt;=1,C39*F22*'数据-取费表'!B21/2,C39*(POWER((1+F22),'数据-取费表'!B21/2)-1)),0)</f>
        <v>27</v>
      </c>
      <c r="D43" s="244"/>
      <c r="E43" s="244"/>
      <c r="F43" s="245"/>
      <c r="G43" s="3328"/>
    </row>
    <row r="44" spans="1:7" ht="13.5" customHeight="1">
      <c r="A44" s="882" t="s">
        <v>793</v>
      </c>
      <c r="B44" s="221" t="s">
        <v>1034</v>
      </c>
      <c r="C44" s="244">
        <f ca="1">ROUND(IF('数据-取费表'!B22&lt;=1,C40*F22*'数据-取费表'!B21/2,C40*(POWER((1+F22),'数据-取费表'!B21/2)-1)),4)</f>
        <v>5.9999999999999995E-4</v>
      </c>
      <c r="D44" s="244"/>
      <c r="E44" s="244"/>
      <c r="F44" s="245"/>
      <c r="G44" s="3329"/>
    </row>
    <row r="45" spans="1:7" s="220" customFormat="1" ht="13.5" customHeight="1">
      <c r="A45" s="879" t="s">
        <v>786</v>
      </c>
      <c r="B45" s="250" t="s">
        <v>112</v>
      </c>
      <c r="C45" s="251">
        <f>C46</f>
        <v>5487</v>
      </c>
      <c r="D45" s="241">
        <f>C47</f>
        <v>2.3999999999999998E-3</v>
      </c>
      <c r="E45" s="242" t="s">
        <v>129</v>
      </c>
      <c r="F45" s="252"/>
      <c r="G45" s="253" t="s">
        <v>1040</v>
      </c>
    </row>
    <row r="46" spans="1:7" s="220" customFormat="1" ht="13.5" customHeight="1">
      <c r="A46" s="882" t="s">
        <v>794</v>
      </c>
      <c r="B46" s="254" t="s">
        <v>1033</v>
      </c>
      <c r="C46" s="255">
        <f>ROUND((C33+C39)*F27,0)</f>
        <v>5487</v>
      </c>
      <c r="D46" s="269"/>
      <c r="E46" s="242"/>
      <c r="F46" s="252"/>
      <c r="G46" s="253"/>
    </row>
    <row r="47" spans="1:7" s="220" customFormat="1" ht="13.5" customHeight="1">
      <c r="A47" s="882" t="s">
        <v>792</v>
      </c>
      <c r="B47" s="254" t="s">
        <v>1035</v>
      </c>
      <c r="C47" s="244">
        <f>ROUND(C40*F27,4)</f>
        <v>2.3999999999999998E-3</v>
      </c>
      <c r="D47" s="269"/>
      <c r="E47" s="242"/>
      <c r="F47" s="252"/>
      <c r="G47" s="253"/>
    </row>
    <row r="48" spans="1:7" s="220" customFormat="1" ht="13.5" customHeight="1">
      <c r="A48" s="879" t="s">
        <v>787</v>
      </c>
      <c r="B48" s="216" t="s">
        <v>122</v>
      </c>
      <c r="C48" s="268">
        <f>F30</f>
        <v>5.5000000000000007E-2</v>
      </c>
      <c r="D48" s="242" t="s">
        <v>130</v>
      </c>
      <c r="E48" s="238"/>
      <c r="F48" s="243"/>
      <c r="G48" s="240" t="s">
        <v>123</v>
      </c>
    </row>
    <row r="49" spans="1:7" ht="16.5" customHeight="1">
      <c r="A49" s="879" t="s">
        <v>788</v>
      </c>
      <c r="B49" s="216" t="s">
        <v>131</v>
      </c>
      <c r="C49" s="238">
        <f ca="1">ROUND((C33+C39+C41+C45)/(1-C40-D41-D45-C48/(1+'数据-取费表'!B42)),0)</f>
        <v>56885</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56885</v>
      </c>
      <c r="D51" s="238"/>
      <c r="E51" s="238"/>
      <c r="F51" s="270"/>
      <c r="G51" s="240" t="s">
        <v>64</v>
      </c>
    </row>
    <row r="52" spans="1:7" s="214" customFormat="1" ht="16.8" thickBot="1">
      <c r="A52" s="271" t="s">
        <v>65</v>
      </c>
      <c r="B52" s="272"/>
      <c r="C52" s="273">
        <f ca="1">C31+C51</f>
        <v>87534</v>
      </c>
      <c r="D52" s="272"/>
      <c r="E52" s="272"/>
      <c r="F52" s="272"/>
      <c r="G52" s="274"/>
    </row>
    <row r="55" spans="1:7" ht="15">
      <c r="B55" s="276" t="s">
        <v>66</v>
      </c>
      <c r="C55" s="277"/>
    </row>
    <row r="56" spans="1:7">
      <c r="B56" s="279" t="s">
        <v>67</v>
      </c>
      <c r="C56" s="280">
        <f ca="1">ROUND(C51/C52,3)</f>
        <v>0.65</v>
      </c>
    </row>
    <row r="57" spans="1:7">
      <c r="B57" s="279" t="s">
        <v>68</v>
      </c>
      <c r="C57" s="281">
        <f ca="1">1-C56</f>
        <v>0.35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8" customWidth="1"/>
    <col min="2" max="5" width="10.21875" style="746" customWidth="1"/>
    <col min="6" max="6" width="9" style="746"/>
    <col min="7" max="8" width="9" style="761"/>
    <col min="9" max="16384" width="9" style="746"/>
  </cols>
  <sheetData>
    <row r="1" spans="1:19">
      <c r="A1" s="3431" t="s">
        <v>156</v>
      </c>
      <c r="B1" s="3431"/>
      <c r="C1" s="3431"/>
      <c r="D1" s="3431"/>
      <c r="E1" s="3431"/>
      <c r="F1" s="3431"/>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5" thickBot="1">
      <c r="A2" s="3432" t="s">
        <v>169</v>
      </c>
      <c r="B2" s="3432"/>
      <c r="C2" s="3432"/>
      <c r="D2" s="3432"/>
      <c r="E2" s="3432"/>
      <c r="F2" s="3432"/>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3"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4"/>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8" customWidth="1"/>
    <col min="2" max="2" width="10.21875" style="746" customWidth="1"/>
  </cols>
  <sheetData>
    <row r="1" spans="1:6">
      <c r="A1" s="3431" t="s">
        <v>839</v>
      </c>
      <c r="B1" s="3431"/>
    </row>
    <row r="2" spans="1:6" ht="15" thickBot="1">
      <c r="A2" s="966"/>
      <c r="B2" s="966"/>
    </row>
    <row r="3" spans="1:6" ht="15" thickBot="1">
      <c r="A3" s="966"/>
      <c r="B3" s="966"/>
      <c r="C3" s="969" t="s">
        <v>842</v>
      </c>
      <c r="D3" s="969" t="s">
        <v>843</v>
      </c>
      <c r="E3" s="969" t="s">
        <v>844</v>
      </c>
      <c r="F3" s="969" t="s">
        <v>845</v>
      </c>
    </row>
    <row r="4" spans="1:6" ht="15" thickBot="1">
      <c r="A4" s="967" t="s">
        <v>840</v>
      </c>
      <c r="B4" s="968" t="s">
        <v>841</v>
      </c>
      <c r="C4" s="969"/>
      <c r="D4" s="969"/>
      <c r="E4" s="969"/>
      <c r="F4" s="969"/>
    </row>
    <row r="5" spans="1:6" ht="15" thickBot="1">
      <c r="A5" s="773" t="s">
        <v>846</v>
      </c>
      <c r="B5" s="774" t="s">
        <v>847</v>
      </c>
      <c r="C5" s="970">
        <v>8.8999999999999996E-2</v>
      </c>
      <c r="D5" s="970">
        <v>7.3999999999999996E-2</v>
      </c>
      <c r="E5" s="970">
        <v>7.4999999999999997E-2</v>
      </c>
      <c r="F5" s="971">
        <v>0.1</v>
      </c>
    </row>
    <row r="6" spans="1:6" ht="15" thickBot="1">
      <c r="A6" s="773" t="s">
        <v>212</v>
      </c>
      <c r="B6" s="767" t="s">
        <v>848</v>
      </c>
      <c r="C6" s="972">
        <v>0.1</v>
      </c>
      <c r="D6" s="972">
        <v>9.0999999999999998E-2</v>
      </c>
      <c r="E6" s="972">
        <v>9.0999999999999998E-2</v>
      </c>
      <c r="F6" s="973">
        <v>0.1</v>
      </c>
    </row>
    <row r="7" spans="1:6" ht="15" thickBot="1">
      <c r="A7" s="773" t="s">
        <v>212</v>
      </c>
      <c r="B7" s="777" t="s">
        <v>201</v>
      </c>
      <c r="C7" s="972">
        <v>8.5999999999999993E-2</v>
      </c>
      <c r="D7" s="972">
        <v>9.6000000000000002E-2</v>
      </c>
      <c r="E7" s="972">
        <v>7.5999999999999998E-2</v>
      </c>
      <c r="F7" s="973">
        <v>0.1</v>
      </c>
    </row>
    <row r="8" spans="1:6" ht="15" thickBot="1">
      <c r="A8" s="773" t="s">
        <v>212</v>
      </c>
      <c r="B8" s="767" t="s">
        <v>213</v>
      </c>
      <c r="C8" s="972">
        <v>9.9000000000000005E-2</v>
      </c>
      <c r="D8" s="972">
        <v>9.8000000000000004E-2</v>
      </c>
      <c r="E8" s="972">
        <v>9.8000000000000004E-2</v>
      </c>
      <c r="F8" s="973">
        <v>0.1</v>
      </c>
    </row>
    <row r="9" spans="1:6" ht="15" thickBot="1">
      <c r="A9" s="783" t="s">
        <v>212</v>
      </c>
      <c r="B9" s="778" t="s">
        <v>225</v>
      </c>
      <c r="C9" s="974">
        <v>0.05</v>
      </c>
      <c r="D9" s="982"/>
      <c r="E9" s="982"/>
      <c r="F9" s="983"/>
    </row>
    <row r="10" spans="1:6" ht="15" thickBot="1">
      <c r="A10" s="773" t="s">
        <v>269</v>
      </c>
      <c r="B10" s="774" t="s">
        <v>849</v>
      </c>
      <c r="C10" s="970">
        <v>8.8999999999999996E-2</v>
      </c>
      <c r="D10" s="970">
        <v>7.2999999999999995E-2</v>
      </c>
      <c r="E10" s="970">
        <v>8.2000000000000003E-2</v>
      </c>
      <c r="F10" s="971">
        <v>0.1</v>
      </c>
    </row>
    <row r="11" spans="1:6" ht="15" thickBot="1">
      <c r="A11" s="773" t="s">
        <v>269</v>
      </c>
      <c r="B11" s="777" t="s">
        <v>188</v>
      </c>
      <c r="C11" s="972">
        <v>8.8999999999999996E-2</v>
      </c>
      <c r="D11" s="972">
        <v>7.2999999999999995E-2</v>
      </c>
      <c r="E11" s="972">
        <v>8.2000000000000003E-2</v>
      </c>
      <c r="F11" s="973">
        <v>0.1</v>
      </c>
    </row>
    <row r="12" spans="1:6" ht="15" thickBot="1">
      <c r="A12" s="773" t="s">
        <v>269</v>
      </c>
      <c r="B12" s="777" t="s">
        <v>138</v>
      </c>
      <c r="C12" s="972">
        <v>6.0999999999999999E-2</v>
      </c>
      <c r="D12" s="972">
        <v>7.0999999999999994E-2</v>
      </c>
      <c r="E12" s="972">
        <v>9.6000000000000002E-2</v>
      </c>
      <c r="F12" s="973">
        <v>0.1</v>
      </c>
    </row>
    <row r="13" spans="1:6" ht="15" thickBot="1">
      <c r="A13" s="773" t="s">
        <v>269</v>
      </c>
      <c r="B13" s="777" t="s">
        <v>214</v>
      </c>
      <c r="C13" s="972">
        <v>6.9000000000000006E-2</v>
      </c>
      <c r="D13" s="972">
        <v>6.5000000000000002E-2</v>
      </c>
      <c r="E13" s="972">
        <v>6.6000000000000003E-2</v>
      </c>
      <c r="F13" s="973">
        <v>0.1</v>
      </c>
    </row>
    <row r="14" spans="1:6" ht="15" thickBot="1">
      <c r="A14" s="773" t="s">
        <v>269</v>
      </c>
      <c r="B14" s="777" t="s">
        <v>226</v>
      </c>
      <c r="C14" s="972">
        <v>0.1</v>
      </c>
      <c r="D14" s="972">
        <v>6.5000000000000002E-2</v>
      </c>
      <c r="E14" s="972">
        <v>7.0000000000000007E-2</v>
      </c>
      <c r="F14" s="973">
        <v>0.1</v>
      </c>
    </row>
    <row r="15" spans="1:6" ht="15" thickBot="1">
      <c r="A15" s="773" t="s">
        <v>269</v>
      </c>
      <c r="B15" s="777" t="s">
        <v>237</v>
      </c>
      <c r="C15" s="972">
        <v>9.8000000000000004E-2</v>
      </c>
      <c r="D15" s="972">
        <v>8.8999999999999996E-2</v>
      </c>
      <c r="E15" s="972">
        <v>8.8999999999999996E-2</v>
      </c>
      <c r="F15" s="973">
        <v>0.1</v>
      </c>
    </row>
    <row r="16" spans="1:6" ht="15" thickBot="1">
      <c r="A16" s="773" t="s">
        <v>269</v>
      </c>
      <c r="B16" s="777" t="s">
        <v>248</v>
      </c>
      <c r="C16" s="972">
        <v>7.0000000000000007E-2</v>
      </c>
      <c r="D16" s="972">
        <v>9.2999999999999999E-2</v>
      </c>
      <c r="E16" s="972">
        <v>9.6000000000000002E-2</v>
      </c>
      <c r="F16" s="973">
        <v>0.1</v>
      </c>
    </row>
    <row r="17" spans="1:6" ht="15" thickBot="1">
      <c r="A17" s="773" t="s">
        <v>269</v>
      </c>
      <c r="B17" s="777" t="s">
        <v>259</v>
      </c>
      <c r="C17" s="972">
        <v>9.5000000000000001E-2</v>
      </c>
      <c r="D17" s="972">
        <v>0.1</v>
      </c>
      <c r="E17" s="972">
        <v>0.1</v>
      </c>
      <c r="F17" s="984"/>
    </row>
    <row r="18" spans="1:6" ht="15" thickBot="1">
      <c r="A18" s="773" t="s">
        <v>269</v>
      </c>
      <c r="B18" s="777" t="s">
        <v>271</v>
      </c>
      <c r="C18" s="972">
        <v>7.3999999999999996E-2</v>
      </c>
      <c r="D18" s="972">
        <v>9.9000000000000005E-2</v>
      </c>
      <c r="E18" s="972">
        <v>0.1</v>
      </c>
      <c r="F18" s="984"/>
    </row>
    <row r="19" spans="1:6" ht="15" thickBot="1">
      <c r="A19" s="773" t="s">
        <v>269</v>
      </c>
      <c r="B19" s="777" t="s">
        <v>281</v>
      </c>
      <c r="C19" s="972">
        <v>9.9000000000000005E-2</v>
      </c>
      <c r="D19" s="972">
        <v>7.5999999999999998E-2</v>
      </c>
      <c r="E19" s="972">
        <v>8.6999999999999994E-2</v>
      </c>
      <c r="F19" s="984"/>
    </row>
    <row r="20" spans="1:6" ht="15" thickBot="1">
      <c r="A20" s="773" t="s">
        <v>269</v>
      </c>
      <c r="B20" s="777" t="s">
        <v>291</v>
      </c>
      <c r="C20" s="972">
        <v>9.8000000000000004E-2</v>
      </c>
      <c r="D20" s="972">
        <v>8.5000000000000006E-2</v>
      </c>
      <c r="E20" s="972">
        <v>8.2000000000000003E-2</v>
      </c>
      <c r="F20" s="984"/>
    </row>
    <row r="21" spans="1:6" ht="15" thickBot="1">
      <c r="A21" s="773" t="s">
        <v>269</v>
      </c>
      <c r="B21" s="777" t="s">
        <v>301</v>
      </c>
      <c r="C21" s="972">
        <v>6.6000000000000003E-2</v>
      </c>
      <c r="D21" s="972">
        <v>6.4000000000000001E-2</v>
      </c>
      <c r="E21" s="972">
        <v>6.5000000000000002E-2</v>
      </c>
      <c r="F21" s="984"/>
    </row>
    <row r="22" spans="1:6" ht="15" thickBot="1">
      <c r="A22" s="773" t="s">
        <v>269</v>
      </c>
      <c r="B22" s="777" t="s">
        <v>850</v>
      </c>
      <c r="C22" s="972">
        <v>0.08</v>
      </c>
      <c r="D22" s="972">
        <v>9.8000000000000004E-2</v>
      </c>
      <c r="E22" s="972">
        <v>9.8000000000000004E-2</v>
      </c>
      <c r="F22" s="984"/>
    </row>
    <row r="23" spans="1:6" ht="15" thickBot="1">
      <c r="A23" s="773" t="s">
        <v>269</v>
      </c>
      <c r="B23" s="777" t="s">
        <v>322</v>
      </c>
      <c r="C23" s="972">
        <v>9.9000000000000005E-2</v>
      </c>
      <c r="D23" s="972">
        <v>9.8000000000000004E-2</v>
      </c>
      <c r="E23" s="972">
        <v>9.0999999999999998E-2</v>
      </c>
      <c r="F23" s="984"/>
    </row>
    <row r="24" spans="1:6" ht="15" thickBot="1">
      <c r="A24" s="773" t="s">
        <v>269</v>
      </c>
      <c r="B24" s="777" t="s">
        <v>333</v>
      </c>
      <c r="C24" s="972">
        <v>8.8999999999999996E-2</v>
      </c>
      <c r="D24" s="972">
        <v>9.7000000000000003E-2</v>
      </c>
      <c r="E24" s="972">
        <v>7.0000000000000007E-2</v>
      </c>
      <c r="F24" s="984"/>
    </row>
    <row r="25" spans="1:6" ht="15" thickBot="1">
      <c r="A25" s="773" t="s">
        <v>269</v>
      </c>
      <c r="B25" s="777" t="s">
        <v>343</v>
      </c>
      <c r="C25" s="972">
        <v>8.8999999999999996E-2</v>
      </c>
      <c r="D25" s="972">
        <v>0.1</v>
      </c>
      <c r="E25" s="972">
        <v>8.1000000000000003E-2</v>
      </c>
      <c r="F25" s="984"/>
    </row>
    <row r="26" spans="1:6" ht="15" thickBot="1">
      <c r="A26" s="773" t="s">
        <v>269</v>
      </c>
      <c r="B26" s="777" t="s">
        <v>353</v>
      </c>
      <c r="C26" s="985"/>
      <c r="D26" s="972">
        <v>9.6000000000000002E-2</v>
      </c>
      <c r="E26" s="972">
        <v>9.2999999999999999E-2</v>
      </c>
      <c r="F26" s="984"/>
    </row>
    <row r="27" spans="1:6" ht="15" thickBot="1">
      <c r="A27" s="773" t="s">
        <v>269</v>
      </c>
      <c r="B27" s="777" t="s">
        <v>363</v>
      </c>
      <c r="C27" s="985"/>
      <c r="D27" s="972">
        <v>7.5999999999999998E-2</v>
      </c>
      <c r="E27" s="972">
        <v>9.1999999999999998E-2</v>
      </c>
      <c r="F27" s="984"/>
    </row>
    <row r="28" spans="1:6" ht="15" thickBot="1">
      <c r="A28" s="783" t="s">
        <v>269</v>
      </c>
      <c r="B28" s="778" t="s">
        <v>373</v>
      </c>
      <c r="C28" s="982"/>
      <c r="D28" s="974">
        <v>7.5999999999999998E-2</v>
      </c>
      <c r="E28" s="974">
        <v>9.1999999999999998E-2</v>
      </c>
      <c r="F28" s="983"/>
    </row>
    <row r="29" spans="1:6" ht="15" thickBot="1">
      <c r="A29" s="773" t="s">
        <v>442</v>
      </c>
      <c r="B29" s="774" t="s">
        <v>851</v>
      </c>
      <c r="C29" s="970">
        <v>6.4000000000000001E-2</v>
      </c>
      <c r="D29" s="970">
        <v>6.5000000000000002E-2</v>
      </c>
      <c r="E29" s="970">
        <v>6.9000000000000006E-2</v>
      </c>
      <c r="F29" s="971">
        <v>0.1</v>
      </c>
    </row>
    <row r="30" spans="1:6" ht="15" thickBot="1">
      <c r="A30" s="773" t="s">
        <v>442</v>
      </c>
      <c r="B30" s="777" t="s">
        <v>189</v>
      </c>
      <c r="C30" s="972">
        <v>6.4000000000000001E-2</v>
      </c>
      <c r="D30" s="972">
        <v>9.9000000000000005E-2</v>
      </c>
      <c r="E30" s="972">
        <v>0.1</v>
      </c>
      <c r="F30" s="973">
        <v>0.1</v>
      </c>
    </row>
    <row r="31" spans="1:6" ht="15" thickBot="1">
      <c r="A31" s="773" t="s">
        <v>442</v>
      </c>
      <c r="B31" s="777" t="s">
        <v>202</v>
      </c>
      <c r="C31" s="972">
        <v>0.1</v>
      </c>
      <c r="D31" s="972">
        <v>9.5000000000000001E-2</v>
      </c>
      <c r="E31" s="972">
        <v>8.8999999999999996E-2</v>
      </c>
      <c r="F31" s="973">
        <v>0.1</v>
      </c>
    </row>
    <row r="32" spans="1:6" ht="15" thickBot="1">
      <c r="A32" s="773" t="s">
        <v>442</v>
      </c>
      <c r="B32" s="777" t="s">
        <v>215</v>
      </c>
      <c r="C32" s="972">
        <v>0.05</v>
      </c>
      <c r="D32" s="972">
        <v>0.05</v>
      </c>
      <c r="E32" s="972">
        <v>8.7999999999999995E-2</v>
      </c>
      <c r="F32" s="973">
        <v>0.1</v>
      </c>
    </row>
    <row r="33" spans="1:6" ht="15" thickBot="1">
      <c r="A33" s="773" t="s">
        <v>442</v>
      </c>
      <c r="B33" s="777" t="s">
        <v>227</v>
      </c>
      <c r="C33" s="972">
        <v>7.4999999999999997E-2</v>
      </c>
      <c r="D33" s="972">
        <v>9.4E-2</v>
      </c>
      <c r="E33" s="972">
        <v>9.7000000000000003E-2</v>
      </c>
      <c r="F33" s="973">
        <v>0.1</v>
      </c>
    </row>
    <row r="34" spans="1:6" ht="15" thickBot="1">
      <c r="A34" s="773" t="s">
        <v>442</v>
      </c>
      <c r="B34" s="777" t="s">
        <v>238</v>
      </c>
      <c r="C34" s="972">
        <v>9.8000000000000004E-2</v>
      </c>
      <c r="D34" s="972">
        <v>8.5999999999999993E-2</v>
      </c>
      <c r="E34" s="972">
        <v>9.7000000000000003E-2</v>
      </c>
      <c r="F34" s="973">
        <v>0.1</v>
      </c>
    </row>
    <row r="35" spans="1:6" ht="15" thickBot="1">
      <c r="A35" s="773" t="s">
        <v>442</v>
      </c>
      <c r="B35" s="777" t="s">
        <v>249</v>
      </c>
      <c r="C35" s="972">
        <v>5.8999999999999997E-2</v>
      </c>
      <c r="D35" s="972">
        <v>6.5000000000000002E-2</v>
      </c>
      <c r="E35" s="972">
        <v>7.0000000000000007E-2</v>
      </c>
      <c r="F35" s="973">
        <v>0.1</v>
      </c>
    </row>
    <row r="36" spans="1:6" ht="15" thickBot="1">
      <c r="A36" s="773" t="s">
        <v>442</v>
      </c>
      <c r="B36" s="777" t="s">
        <v>260</v>
      </c>
      <c r="C36" s="972">
        <v>6.3E-2</v>
      </c>
      <c r="D36" s="972">
        <v>0.1</v>
      </c>
      <c r="E36" s="972">
        <v>0.1</v>
      </c>
      <c r="F36" s="973">
        <v>0.1</v>
      </c>
    </row>
    <row r="37" spans="1:6" ht="15" thickBot="1">
      <c r="A37" s="773" t="s">
        <v>442</v>
      </c>
      <c r="B37" s="777" t="s">
        <v>272</v>
      </c>
      <c r="C37" s="972">
        <v>7.3999999999999996E-2</v>
      </c>
      <c r="D37" s="972">
        <v>0.1</v>
      </c>
      <c r="E37" s="972">
        <v>0.1</v>
      </c>
      <c r="F37" s="973">
        <v>0.1</v>
      </c>
    </row>
    <row r="38" spans="1:6" ht="15" thickBot="1">
      <c r="A38" s="773" t="s">
        <v>442</v>
      </c>
      <c r="B38" s="777" t="s">
        <v>282</v>
      </c>
      <c r="C38" s="972">
        <v>0.1</v>
      </c>
      <c r="D38" s="972">
        <v>9.6000000000000002E-2</v>
      </c>
      <c r="E38" s="972">
        <v>9.6000000000000002E-2</v>
      </c>
      <c r="F38" s="984"/>
    </row>
    <row r="39" spans="1:6" ht="15" thickBot="1">
      <c r="A39" s="773" t="s">
        <v>442</v>
      </c>
      <c r="B39" s="777" t="s">
        <v>292</v>
      </c>
      <c r="C39" s="972">
        <v>0.1</v>
      </c>
      <c r="D39" s="972">
        <v>9.6000000000000002E-2</v>
      </c>
      <c r="E39" s="972">
        <v>9.6000000000000002E-2</v>
      </c>
      <c r="F39" s="984"/>
    </row>
    <row r="40" spans="1:6" ht="15" thickBot="1">
      <c r="A40" s="773" t="s">
        <v>442</v>
      </c>
      <c r="B40" s="777" t="s">
        <v>302</v>
      </c>
      <c r="C40" s="972">
        <v>9.6000000000000002E-2</v>
      </c>
      <c r="D40" s="972">
        <v>0.1</v>
      </c>
      <c r="E40" s="972">
        <v>9.9000000000000005E-2</v>
      </c>
      <c r="F40" s="984"/>
    </row>
    <row r="41" spans="1:6" ht="15" thickBot="1">
      <c r="A41" s="773" t="s">
        <v>442</v>
      </c>
      <c r="B41" s="777" t="s">
        <v>312</v>
      </c>
      <c r="C41" s="972">
        <v>9.6000000000000002E-2</v>
      </c>
      <c r="D41" s="972">
        <v>9.8000000000000004E-2</v>
      </c>
      <c r="E41" s="972">
        <v>9.8000000000000004E-2</v>
      </c>
      <c r="F41" s="984"/>
    </row>
    <row r="42" spans="1:6" ht="15" thickBot="1">
      <c r="A42" s="773" t="s">
        <v>442</v>
      </c>
      <c r="B42" s="777" t="s">
        <v>323</v>
      </c>
      <c r="C42" s="972">
        <v>0.1</v>
      </c>
      <c r="D42" s="972">
        <v>8.7999999999999995E-2</v>
      </c>
      <c r="E42" s="972">
        <v>0.1</v>
      </c>
      <c r="F42" s="984"/>
    </row>
    <row r="43" spans="1:6" ht="15" thickBot="1">
      <c r="A43" s="773" t="s">
        <v>442</v>
      </c>
      <c r="B43" s="777" t="s">
        <v>334</v>
      </c>
      <c r="C43" s="972">
        <v>9.8000000000000004E-2</v>
      </c>
      <c r="D43" s="972">
        <v>9.7000000000000003E-2</v>
      </c>
      <c r="E43" s="972">
        <v>9.6000000000000002E-2</v>
      </c>
      <c r="F43" s="984"/>
    </row>
    <row r="44" spans="1:6" ht="15" thickBot="1">
      <c r="A44" s="773" t="s">
        <v>442</v>
      </c>
      <c r="B44" s="777" t="s">
        <v>344</v>
      </c>
      <c r="C44" s="972">
        <v>8.5999999999999993E-2</v>
      </c>
      <c r="D44" s="972">
        <v>7.9000000000000001E-2</v>
      </c>
      <c r="E44" s="972">
        <v>7.0999999999999994E-2</v>
      </c>
      <c r="F44" s="984"/>
    </row>
    <row r="45" spans="1:6" ht="15" thickBot="1">
      <c r="A45" s="773" t="s">
        <v>442</v>
      </c>
      <c r="B45" s="777" t="s">
        <v>354</v>
      </c>
      <c r="C45" s="972">
        <v>9.8000000000000004E-2</v>
      </c>
      <c r="D45" s="972">
        <v>9.6000000000000002E-2</v>
      </c>
      <c r="E45" s="972">
        <v>9.6000000000000002E-2</v>
      </c>
      <c r="F45" s="984"/>
    </row>
    <row r="46" spans="1:6" ht="15" thickBot="1">
      <c r="A46" s="773" t="s">
        <v>442</v>
      </c>
      <c r="B46" s="777" t="s">
        <v>364</v>
      </c>
      <c r="C46" s="972">
        <v>8.5999999999999993E-2</v>
      </c>
      <c r="D46" s="972">
        <v>9.8000000000000004E-2</v>
      </c>
      <c r="E46" s="972">
        <v>8.7999999999999995E-2</v>
      </c>
      <c r="F46" s="984"/>
    </row>
    <row r="47" spans="1:6" ht="15" thickBot="1">
      <c r="A47" s="773" t="s">
        <v>442</v>
      </c>
      <c r="B47" s="777" t="s">
        <v>374</v>
      </c>
      <c r="C47" s="972">
        <v>9.6000000000000002E-2</v>
      </c>
      <c r="D47" s="985"/>
      <c r="E47" s="972">
        <v>6.9000000000000006E-2</v>
      </c>
      <c r="F47" s="984"/>
    </row>
    <row r="48" spans="1:6" ht="15" thickBot="1">
      <c r="A48" s="783" t="s">
        <v>442</v>
      </c>
      <c r="B48" s="778" t="s">
        <v>383</v>
      </c>
      <c r="C48" s="974">
        <v>9.8000000000000004E-2</v>
      </c>
      <c r="D48" s="982"/>
      <c r="E48" s="974">
        <v>9.5000000000000001E-2</v>
      </c>
      <c r="F48" s="983"/>
    </row>
    <row r="49" spans="1:6" ht="15" thickBot="1">
      <c r="A49" s="773" t="s">
        <v>137</v>
      </c>
      <c r="B49" s="774" t="s">
        <v>852</v>
      </c>
      <c r="C49" s="970">
        <v>9.7000000000000003E-2</v>
      </c>
      <c r="D49" s="970">
        <v>9.5000000000000001E-2</v>
      </c>
      <c r="E49" s="970">
        <v>9.7000000000000003E-2</v>
      </c>
      <c r="F49" s="971">
        <v>0.1</v>
      </c>
    </row>
    <row r="50" spans="1:6" ht="15" thickBot="1">
      <c r="A50" s="773" t="s">
        <v>137</v>
      </c>
      <c r="B50" s="767" t="s">
        <v>190</v>
      </c>
      <c r="C50" s="972">
        <v>7.4999999999999997E-2</v>
      </c>
      <c r="D50" s="972">
        <v>9.5000000000000001E-2</v>
      </c>
      <c r="E50" s="972">
        <v>0.1</v>
      </c>
      <c r="F50" s="973">
        <v>0.1</v>
      </c>
    </row>
    <row r="51" spans="1:6" ht="15" thickBot="1">
      <c r="A51" s="773" t="s">
        <v>137</v>
      </c>
      <c r="B51" s="767" t="s">
        <v>203</v>
      </c>
      <c r="C51" s="972">
        <v>9.8000000000000004E-2</v>
      </c>
      <c r="D51" s="972">
        <v>8.8999999999999996E-2</v>
      </c>
      <c r="E51" s="972">
        <v>0.1</v>
      </c>
      <c r="F51" s="973">
        <v>0.1</v>
      </c>
    </row>
    <row r="52" spans="1:6" ht="15" thickBot="1">
      <c r="A52" s="773" t="s">
        <v>137</v>
      </c>
      <c r="B52" s="767" t="s">
        <v>216</v>
      </c>
      <c r="C52" s="972">
        <v>9.8000000000000004E-2</v>
      </c>
      <c r="D52" s="972">
        <v>9.7000000000000003E-2</v>
      </c>
      <c r="E52" s="972">
        <v>8.1000000000000003E-2</v>
      </c>
      <c r="F52" s="973">
        <v>0.1</v>
      </c>
    </row>
    <row r="53" spans="1:6" ht="15" thickBot="1">
      <c r="A53" s="773" t="s">
        <v>137</v>
      </c>
      <c r="B53" s="767" t="s">
        <v>228</v>
      </c>
      <c r="C53" s="972">
        <v>9.7000000000000003E-2</v>
      </c>
      <c r="D53" s="972">
        <v>7.5999999999999998E-2</v>
      </c>
      <c r="E53" s="972">
        <v>7.0999999999999994E-2</v>
      </c>
      <c r="F53" s="973">
        <v>0.1</v>
      </c>
    </row>
    <row r="54" spans="1:6" ht="15" thickBot="1">
      <c r="A54" s="773" t="s">
        <v>137</v>
      </c>
      <c r="B54" s="767" t="s">
        <v>239</v>
      </c>
      <c r="C54" s="972">
        <v>7.5999999999999998E-2</v>
      </c>
      <c r="D54" s="972">
        <v>0.1</v>
      </c>
      <c r="E54" s="972">
        <v>9.9000000000000005E-2</v>
      </c>
      <c r="F54" s="973">
        <v>0.1</v>
      </c>
    </row>
    <row r="55" spans="1:6" ht="15" thickBot="1">
      <c r="A55" s="773" t="s">
        <v>137</v>
      </c>
      <c r="B55" s="767" t="s">
        <v>250</v>
      </c>
      <c r="C55" s="972">
        <v>0.1</v>
      </c>
      <c r="D55" s="972">
        <v>0.1</v>
      </c>
      <c r="E55" s="972">
        <v>9.6000000000000002E-2</v>
      </c>
      <c r="F55" s="973">
        <v>0.1</v>
      </c>
    </row>
    <row r="56" spans="1:6" ht="15" thickBot="1">
      <c r="A56" s="773" t="s">
        <v>137</v>
      </c>
      <c r="B56" s="767" t="s">
        <v>261</v>
      </c>
      <c r="C56" s="972">
        <v>0.1</v>
      </c>
      <c r="D56" s="972">
        <v>9.6000000000000002E-2</v>
      </c>
      <c r="E56" s="972">
        <v>5.1999999999999998E-2</v>
      </c>
      <c r="F56" s="973">
        <v>0.1</v>
      </c>
    </row>
    <row r="57" spans="1:6" ht="15" thickBot="1">
      <c r="A57" s="773" t="s">
        <v>137</v>
      </c>
      <c r="B57" s="767" t="s">
        <v>273</v>
      </c>
      <c r="C57" s="972">
        <v>9.7000000000000003E-2</v>
      </c>
      <c r="D57" s="972">
        <v>9.6000000000000002E-2</v>
      </c>
      <c r="E57" s="972">
        <v>9.6000000000000002E-2</v>
      </c>
      <c r="F57" s="973">
        <v>0.1</v>
      </c>
    </row>
    <row r="58" spans="1:6" ht="15" thickBot="1">
      <c r="A58" s="773" t="s">
        <v>137</v>
      </c>
      <c r="B58" s="767" t="s">
        <v>283</v>
      </c>
      <c r="C58" s="972">
        <v>9.6000000000000002E-2</v>
      </c>
      <c r="D58" s="972">
        <v>9.9000000000000005E-2</v>
      </c>
      <c r="E58" s="972">
        <v>9.6000000000000002E-2</v>
      </c>
      <c r="F58" s="973">
        <v>0.1</v>
      </c>
    </row>
    <row r="59" spans="1:6" ht="15" thickBot="1">
      <c r="A59" s="773" t="s">
        <v>137</v>
      </c>
      <c r="B59" s="767" t="s">
        <v>293</v>
      </c>
      <c r="C59" s="972">
        <v>7.1999999999999995E-2</v>
      </c>
      <c r="D59" s="972">
        <v>9.6000000000000002E-2</v>
      </c>
      <c r="E59" s="972">
        <v>7.0999999999999994E-2</v>
      </c>
      <c r="F59" s="973">
        <v>0.1</v>
      </c>
    </row>
    <row r="60" spans="1:6" ht="15" thickBot="1">
      <c r="A60" s="773" t="s">
        <v>137</v>
      </c>
      <c r="B60" s="767" t="s">
        <v>303</v>
      </c>
      <c r="C60" s="972">
        <v>9.6000000000000002E-2</v>
      </c>
      <c r="D60" s="972">
        <v>8.8999999999999996E-2</v>
      </c>
      <c r="E60" s="972">
        <v>9.6000000000000002E-2</v>
      </c>
      <c r="F60" s="973">
        <v>0.1</v>
      </c>
    </row>
    <row r="61" spans="1:6" ht="15" thickBot="1">
      <c r="A61" s="773" t="s">
        <v>137</v>
      </c>
      <c r="B61" s="767" t="s">
        <v>313</v>
      </c>
      <c r="C61" s="972">
        <v>8.8999999999999996E-2</v>
      </c>
      <c r="D61" s="972">
        <v>9.8000000000000004E-2</v>
      </c>
      <c r="E61" s="972">
        <v>8.7999999999999995E-2</v>
      </c>
      <c r="F61" s="984"/>
    </row>
    <row r="62" spans="1:6" ht="15" thickBot="1">
      <c r="A62" s="773" t="s">
        <v>137</v>
      </c>
      <c r="B62" s="767" t="s">
        <v>324</v>
      </c>
      <c r="C62" s="972">
        <v>9.8000000000000004E-2</v>
      </c>
      <c r="D62" s="972">
        <v>9.2999999999999999E-2</v>
      </c>
      <c r="E62" s="972">
        <v>9.7000000000000003E-2</v>
      </c>
      <c r="F62" s="984"/>
    </row>
    <row r="63" spans="1:6" ht="15" thickBot="1">
      <c r="A63" s="773" t="s">
        <v>137</v>
      </c>
      <c r="B63" s="767" t="s">
        <v>335</v>
      </c>
      <c r="C63" s="972">
        <v>9.6000000000000002E-2</v>
      </c>
      <c r="D63" s="972">
        <v>9.8000000000000004E-2</v>
      </c>
      <c r="E63" s="972">
        <v>0.09</v>
      </c>
      <c r="F63" s="984"/>
    </row>
    <row r="64" spans="1:6" ht="15" thickBot="1">
      <c r="A64" s="773" t="s">
        <v>137</v>
      </c>
      <c r="B64" s="767" t="s">
        <v>345</v>
      </c>
      <c r="C64" s="972">
        <v>9.9000000000000005E-2</v>
      </c>
      <c r="D64" s="972">
        <v>9.7000000000000003E-2</v>
      </c>
      <c r="E64" s="972">
        <v>9.9000000000000005E-2</v>
      </c>
      <c r="F64" s="984"/>
    </row>
    <row r="65" spans="1:6" ht="15" thickBot="1">
      <c r="A65" s="773" t="s">
        <v>137</v>
      </c>
      <c r="B65" s="767" t="s">
        <v>355</v>
      </c>
      <c r="C65" s="972">
        <v>9.8000000000000004E-2</v>
      </c>
      <c r="D65" s="972">
        <v>9.6000000000000002E-2</v>
      </c>
      <c r="E65" s="972">
        <v>9.6000000000000002E-2</v>
      </c>
      <c r="F65" s="984"/>
    </row>
    <row r="66" spans="1:6" ht="15" thickBot="1">
      <c r="A66" s="773" t="s">
        <v>137</v>
      </c>
      <c r="B66" s="767" t="s">
        <v>365</v>
      </c>
      <c r="C66" s="972">
        <v>9.6000000000000002E-2</v>
      </c>
      <c r="D66" s="972">
        <v>9.1999999999999998E-2</v>
      </c>
      <c r="E66" s="972">
        <v>9.6000000000000002E-2</v>
      </c>
      <c r="F66" s="984"/>
    </row>
    <row r="67" spans="1:6" ht="15" thickBot="1">
      <c r="A67" s="773" t="s">
        <v>137</v>
      </c>
      <c r="B67" s="767" t="s">
        <v>375</v>
      </c>
      <c r="C67" s="972">
        <v>9.4E-2</v>
      </c>
      <c r="D67" s="972">
        <v>0.1</v>
      </c>
      <c r="E67" s="972">
        <v>8.7999999999999995E-2</v>
      </c>
      <c r="F67" s="984"/>
    </row>
    <row r="68" spans="1:6" ht="15" thickBot="1">
      <c r="A68" s="773" t="s">
        <v>137</v>
      </c>
      <c r="B68" s="767" t="s">
        <v>384</v>
      </c>
      <c r="C68" s="972">
        <v>0.1</v>
      </c>
      <c r="D68" s="972">
        <v>8.7999999999999995E-2</v>
      </c>
      <c r="E68" s="972">
        <v>9.7000000000000003E-2</v>
      </c>
      <c r="F68" s="984"/>
    </row>
    <row r="69" spans="1:6" ht="15" thickBot="1">
      <c r="A69" s="773" t="s">
        <v>137</v>
      </c>
      <c r="B69" s="767" t="s">
        <v>393</v>
      </c>
      <c r="C69" s="972">
        <v>6.4000000000000001E-2</v>
      </c>
      <c r="D69" s="972">
        <v>0.1</v>
      </c>
      <c r="E69" s="972">
        <v>0.1</v>
      </c>
      <c r="F69" s="984"/>
    </row>
    <row r="70" spans="1:6" ht="15" thickBot="1">
      <c r="A70" s="773" t="s">
        <v>137</v>
      </c>
      <c r="B70" s="767" t="s">
        <v>401</v>
      </c>
      <c r="C70" s="972">
        <v>9.0999999999999998E-2</v>
      </c>
      <c r="D70" s="985"/>
      <c r="E70" s="985"/>
      <c r="F70" s="984"/>
    </row>
    <row r="71" spans="1:6" ht="15" thickBot="1">
      <c r="A71" s="773" t="s">
        <v>137</v>
      </c>
      <c r="B71" s="767" t="s">
        <v>408</v>
      </c>
      <c r="C71" s="972">
        <v>0.1</v>
      </c>
      <c r="D71" s="985"/>
      <c r="E71" s="985"/>
      <c r="F71" s="984"/>
    </row>
    <row r="72" spans="1:6" ht="24.6" thickBot="1">
      <c r="A72" s="773" t="s">
        <v>137</v>
      </c>
      <c r="B72" s="767" t="s">
        <v>853</v>
      </c>
      <c r="C72" s="985"/>
      <c r="D72" s="985"/>
      <c r="E72" s="985"/>
      <c r="F72" s="973">
        <v>0.05</v>
      </c>
    </row>
    <row r="73" spans="1:6" ht="24.6" thickBot="1">
      <c r="A73" s="773" t="s">
        <v>137</v>
      </c>
      <c r="B73" s="767" t="s">
        <v>854</v>
      </c>
      <c r="C73" s="985"/>
      <c r="D73" s="985"/>
      <c r="E73" s="985"/>
      <c r="F73" s="973">
        <v>0.05</v>
      </c>
    </row>
    <row r="74" spans="1:6" ht="24.6" thickBot="1">
      <c r="A74" s="773" t="s">
        <v>137</v>
      </c>
      <c r="B74" s="767" t="s">
        <v>855</v>
      </c>
      <c r="C74" s="985"/>
      <c r="D74" s="985"/>
      <c r="E74" s="985"/>
      <c r="F74" s="973">
        <v>0.05</v>
      </c>
    </row>
    <row r="75" spans="1:6" ht="24.6" thickBot="1">
      <c r="A75" s="783" t="s">
        <v>137</v>
      </c>
      <c r="B75" s="779" t="s">
        <v>856</v>
      </c>
      <c r="C75" s="982"/>
      <c r="D75" s="982"/>
      <c r="E75" s="982"/>
      <c r="F75" s="975">
        <v>0.05</v>
      </c>
    </row>
    <row r="76" spans="1:6" ht="15" thickBot="1">
      <c r="A76" s="773" t="s">
        <v>523</v>
      </c>
      <c r="B76" s="774" t="s">
        <v>857</v>
      </c>
      <c r="C76" s="970">
        <v>0.1</v>
      </c>
      <c r="D76" s="970">
        <v>0.1</v>
      </c>
      <c r="E76" s="970">
        <v>0.1</v>
      </c>
      <c r="F76" s="971">
        <v>0.1</v>
      </c>
    </row>
    <row r="77" spans="1:6" ht="15" thickBot="1">
      <c r="A77" s="773" t="s">
        <v>523</v>
      </c>
      <c r="B77" s="767" t="s">
        <v>191</v>
      </c>
      <c r="C77" s="972">
        <v>8.7999999999999995E-2</v>
      </c>
      <c r="D77" s="972">
        <v>8.6999999999999994E-2</v>
      </c>
      <c r="E77" s="972">
        <v>7.9000000000000001E-2</v>
      </c>
      <c r="F77" s="973">
        <v>0.1</v>
      </c>
    </row>
    <row r="78" spans="1:6" ht="15" thickBot="1">
      <c r="A78" s="773" t="s">
        <v>523</v>
      </c>
      <c r="B78" s="767" t="s">
        <v>204</v>
      </c>
      <c r="C78" s="972">
        <v>8.6999999999999994E-2</v>
      </c>
      <c r="D78" s="972">
        <v>8.4000000000000005E-2</v>
      </c>
      <c r="E78" s="972">
        <v>9.6000000000000002E-2</v>
      </c>
      <c r="F78" s="973">
        <v>0.1</v>
      </c>
    </row>
    <row r="79" spans="1:6" ht="15" thickBot="1">
      <c r="A79" s="773" t="s">
        <v>523</v>
      </c>
      <c r="B79" s="767" t="s">
        <v>217</v>
      </c>
      <c r="C79" s="972">
        <v>9.8000000000000004E-2</v>
      </c>
      <c r="D79" s="972">
        <v>9.8000000000000004E-2</v>
      </c>
      <c r="E79" s="972">
        <v>9.0999999999999998E-2</v>
      </c>
      <c r="F79" s="973">
        <v>0.1</v>
      </c>
    </row>
    <row r="80" spans="1:6" ht="15" thickBot="1">
      <c r="A80" s="773" t="s">
        <v>523</v>
      </c>
      <c r="B80" s="767" t="s">
        <v>229</v>
      </c>
      <c r="C80" s="972">
        <v>9.6000000000000002E-2</v>
      </c>
      <c r="D80" s="972">
        <v>9.6000000000000002E-2</v>
      </c>
      <c r="E80" s="972">
        <v>0.1</v>
      </c>
      <c r="F80" s="973">
        <v>0.1</v>
      </c>
    </row>
    <row r="81" spans="1:6" ht="15" thickBot="1">
      <c r="A81" s="773" t="s">
        <v>523</v>
      </c>
      <c r="B81" s="767" t="s">
        <v>240</v>
      </c>
      <c r="C81" s="972">
        <v>9.9000000000000005E-2</v>
      </c>
      <c r="D81" s="972">
        <v>9.9000000000000005E-2</v>
      </c>
      <c r="E81" s="972">
        <v>9.8000000000000004E-2</v>
      </c>
      <c r="F81" s="973">
        <v>0.1</v>
      </c>
    </row>
    <row r="82" spans="1:6" ht="15" thickBot="1">
      <c r="A82" s="773" t="s">
        <v>523</v>
      </c>
      <c r="B82" s="767" t="s">
        <v>251</v>
      </c>
      <c r="C82" s="972">
        <v>9.9000000000000005E-2</v>
      </c>
      <c r="D82" s="972">
        <v>9.9000000000000005E-2</v>
      </c>
      <c r="E82" s="972">
        <v>9.7000000000000003E-2</v>
      </c>
      <c r="F82" s="973">
        <v>0.1</v>
      </c>
    </row>
    <row r="83" spans="1:6" ht="15" thickBot="1">
      <c r="A83" s="773" t="s">
        <v>523</v>
      </c>
      <c r="B83" s="767" t="s">
        <v>262</v>
      </c>
      <c r="C83" s="972">
        <v>9.8000000000000004E-2</v>
      </c>
      <c r="D83" s="972">
        <v>9.8000000000000004E-2</v>
      </c>
      <c r="E83" s="972">
        <v>9.8000000000000004E-2</v>
      </c>
      <c r="F83" s="973">
        <v>0.1</v>
      </c>
    </row>
    <row r="84" spans="1:6" ht="15" thickBot="1">
      <c r="A84" s="773" t="s">
        <v>523</v>
      </c>
      <c r="B84" s="767" t="s">
        <v>274</v>
      </c>
      <c r="C84" s="972">
        <v>9.9000000000000005E-2</v>
      </c>
      <c r="D84" s="972">
        <v>9.9000000000000005E-2</v>
      </c>
      <c r="E84" s="972">
        <v>9.9000000000000005E-2</v>
      </c>
      <c r="F84" s="973">
        <v>0.1</v>
      </c>
    </row>
    <row r="85" spans="1:6" ht="15" thickBot="1">
      <c r="A85" s="773" t="s">
        <v>523</v>
      </c>
      <c r="B85" s="767" t="s">
        <v>284</v>
      </c>
      <c r="C85" s="972">
        <v>9.9000000000000005E-2</v>
      </c>
      <c r="D85" s="972">
        <v>9.9000000000000005E-2</v>
      </c>
      <c r="E85" s="972">
        <v>9.9000000000000005E-2</v>
      </c>
      <c r="F85" s="973">
        <v>0.1</v>
      </c>
    </row>
    <row r="86" spans="1:6" ht="15" thickBot="1">
      <c r="A86" s="773" t="s">
        <v>523</v>
      </c>
      <c r="B86" s="767" t="s">
        <v>294</v>
      </c>
      <c r="C86" s="972">
        <v>0.1</v>
      </c>
      <c r="D86" s="972">
        <v>0.1</v>
      </c>
      <c r="E86" s="972">
        <v>7.6999999999999999E-2</v>
      </c>
      <c r="F86" s="973">
        <v>0.1</v>
      </c>
    </row>
    <row r="87" spans="1:6" ht="15" thickBot="1">
      <c r="A87" s="773" t="s">
        <v>523</v>
      </c>
      <c r="B87" s="767" t="s">
        <v>304</v>
      </c>
      <c r="C87" s="972">
        <v>0.1</v>
      </c>
      <c r="D87" s="972">
        <v>0.1</v>
      </c>
      <c r="E87" s="972">
        <v>9.8000000000000004E-2</v>
      </c>
      <c r="F87" s="984"/>
    </row>
    <row r="88" spans="1:6" ht="15" thickBot="1">
      <c r="A88" s="773" t="s">
        <v>523</v>
      </c>
      <c r="B88" s="767" t="s">
        <v>314</v>
      </c>
      <c r="C88" s="972">
        <v>9.1999999999999998E-2</v>
      </c>
      <c r="D88" s="972">
        <v>8.5000000000000006E-2</v>
      </c>
      <c r="E88" s="972">
        <v>9.6000000000000002E-2</v>
      </c>
      <c r="F88" s="984"/>
    </row>
    <row r="89" spans="1:6" ht="15" thickBot="1">
      <c r="A89" s="773" t="s">
        <v>523</v>
      </c>
      <c r="B89" s="767" t="s">
        <v>325</v>
      </c>
      <c r="C89" s="972">
        <v>0.1</v>
      </c>
      <c r="D89" s="972">
        <v>0.1</v>
      </c>
      <c r="E89" s="972">
        <v>9.7000000000000003E-2</v>
      </c>
      <c r="F89" s="984"/>
    </row>
    <row r="90" spans="1:6" ht="15" thickBot="1">
      <c r="A90" s="773" t="s">
        <v>523</v>
      </c>
      <c r="B90" s="767" t="s">
        <v>336</v>
      </c>
      <c r="C90" s="972">
        <v>9.8000000000000004E-2</v>
      </c>
      <c r="D90" s="972">
        <v>9.8000000000000004E-2</v>
      </c>
      <c r="E90" s="972">
        <v>8.7999999999999995E-2</v>
      </c>
      <c r="F90" s="984"/>
    </row>
    <row r="91" spans="1:6" ht="15" thickBot="1">
      <c r="A91" s="773" t="s">
        <v>523</v>
      </c>
      <c r="B91" s="767" t="s">
        <v>346</v>
      </c>
      <c r="C91" s="972">
        <v>9.9000000000000005E-2</v>
      </c>
      <c r="D91" s="972">
        <v>9.9000000000000005E-2</v>
      </c>
      <c r="E91" s="972">
        <v>9.0999999999999998E-2</v>
      </c>
      <c r="F91" s="984"/>
    </row>
    <row r="92" spans="1:6" ht="15" thickBot="1">
      <c r="A92" s="773" t="s">
        <v>523</v>
      </c>
      <c r="B92" s="767" t="s">
        <v>356</v>
      </c>
      <c r="C92" s="972">
        <v>9.6000000000000002E-2</v>
      </c>
      <c r="D92" s="972">
        <v>9.6000000000000002E-2</v>
      </c>
      <c r="E92" s="972">
        <v>7.2999999999999995E-2</v>
      </c>
      <c r="F92" s="984"/>
    </row>
    <row r="93" spans="1:6" ht="15" thickBot="1">
      <c r="A93" s="773" t="s">
        <v>523</v>
      </c>
      <c r="B93" s="767" t="s">
        <v>366</v>
      </c>
      <c r="C93" s="972">
        <v>9.6000000000000002E-2</v>
      </c>
      <c r="D93" s="972">
        <v>9.6000000000000002E-2</v>
      </c>
      <c r="E93" s="972">
        <v>9.9000000000000005E-2</v>
      </c>
      <c r="F93" s="984"/>
    </row>
    <row r="94" spans="1:6" ht="15" thickBot="1">
      <c r="A94" s="773" t="s">
        <v>523</v>
      </c>
      <c r="B94" s="767" t="s">
        <v>376</v>
      </c>
      <c r="C94" s="972">
        <v>7.5999999999999998E-2</v>
      </c>
      <c r="D94" s="972">
        <v>7.3999999999999996E-2</v>
      </c>
      <c r="E94" s="972">
        <v>9.7000000000000003E-2</v>
      </c>
      <c r="F94" s="984"/>
    </row>
    <row r="95" spans="1:6" ht="15" thickBot="1">
      <c r="A95" s="773" t="s">
        <v>523</v>
      </c>
      <c r="B95" s="767" t="s">
        <v>385</v>
      </c>
      <c r="C95" s="972">
        <v>9.9000000000000005E-2</v>
      </c>
      <c r="D95" s="972">
        <v>9.4E-2</v>
      </c>
      <c r="E95" s="972">
        <v>9.6000000000000002E-2</v>
      </c>
      <c r="F95" s="984"/>
    </row>
    <row r="96" spans="1:6" ht="15" thickBot="1">
      <c r="A96" s="773" t="s">
        <v>523</v>
      </c>
      <c r="B96" s="767" t="s">
        <v>394</v>
      </c>
      <c r="C96" s="972">
        <v>9.9000000000000005E-2</v>
      </c>
      <c r="D96" s="972">
        <v>9.9000000000000005E-2</v>
      </c>
      <c r="E96" s="972">
        <v>9.9000000000000005E-2</v>
      </c>
      <c r="F96" s="984"/>
    </row>
    <row r="97" spans="1:6" ht="15" thickBot="1">
      <c r="A97" s="773" t="s">
        <v>523</v>
      </c>
      <c r="B97" s="767" t="s">
        <v>402</v>
      </c>
      <c r="C97" s="972">
        <v>9.8000000000000004E-2</v>
      </c>
      <c r="D97" s="972">
        <v>9.8000000000000004E-2</v>
      </c>
      <c r="E97" s="972">
        <v>9.7000000000000003E-2</v>
      </c>
      <c r="F97" s="984"/>
    </row>
    <row r="98" spans="1:6" ht="15" thickBot="1">
      <c r="A98" s="773" t="s">
        <v>523</v>
      </c>
      <c r="B98" s="767" t="s">
        <v>409</v>
      </c>
      <c r="C98" s="972">
        <v>0.1</v>
      </c>
      <c r="D98" s="972">
        <v>0.1</v>
      </c>
      <c r="E98" s="972">
        <v>9.7000000000000003E-2</v>
      </c>
      <c r="F98" s="984"/>
    </row>
    <row r="99" spans="1:6" ht="15" thickBot="1">
      <c r="A99" s="773" t="s">
        <v>523</v>
      </c>
      <c r="B99" s="767" t="s">
        <v>416</v>
      </c>
      <c r="C99" s="972">
        <v>0.1</v>
      </c>
      <c r="D99" s="972">
        <v>0.1</v>
      </c>
      <c r="E99" s="985"/>
      <c r="F99" s="984"/>
    </row>
    <row r="100" spans="1:6" ht="15" thickBot="1">
      <c r="A100" s="773" t="s">
        <v>523</v>
      </c>
      <c r="B100" s="767" t="s">
        <v>423</v>
      </c>
      <c r="C100" s="972">
        <v>0.09</v>
      </c>
      <c r="D100" s="972">
        <v>8.8999999999999996E-2</v>
      </c>
      <c r="E100" s="985"/>
      <c r="F100" s="984"/>
    </row>
    <row r="101" spans="1:6" ht="15" thickBot="1">
      <c r="A101" s="773" t="s">
        <v>523</v>
      </c>
      <c r="B101" s="767" t="s">
        <v>430</v>
      </c>
      <c r="C101" s="972">
        <v>9.8000000000000004E-2</v>
      </c>
      <c r="D101" s="972">
        <v>9.7000000000000003E-2</v>
      </c>
      <c r="E101" s="985"/>
      <c r="F101" s="984"/>
    </row>
    <row r="102" spans="1:6" ht="24.6" thickBot="1">
      <c r="A102" s="773" t="s">
        <v>523</v>
      </c>
      <c r="B102" s="767" t="s">
        <v>858</v>
      </c>
      <c r="C102" s="985"/>
      <c r="D102" s="985"/>
      <c r="E102" s="985"/>
      <c r="F102" s="973">
        <v>0.05</v>
      </c>
    </row>
    <row r="103" spans="1:6" ht="24.6" thickBot="1">
      <c r="A103" s="773" t="s">
        <v>523</v>
      </c>
      <c r="B103" s="767" t="s">
        <v>859</v>
      </c>
      <c r="C103" s="985"/>
      <c r="D103" s="985"/>
      <c r="E103" s="985"/>
      <c r="F103" s="973">
        <v>0.05</v>
      </c>
    </row>
    <row r="104" spans="1:6" ht="15" thickBot="1">
      <c r="A104" s="773" t="s">
        <v>523</v>
      </c>
      <c r="B104" s="767" t="s">
        <v>860</v>
      </c>
      <c r="C104" s="985"/>
      <c r="D104" s="985"/>
      <c r="E104" s="985"/>
      <c r="F104" s="973">
        <v>0.05</v>
      </c>
    </row>
    <row r="105" spans="1:6" ht="24.6" thickBot="1">
      <c r="A105" s="773" t="s">
        <v>523</v>
      </c>
      <c r="B105" s="767" t="s">
        <v>861</v>
      </c>
      <c r="C105" s="985"/>
      <c r="D105" s="985"/>
      <c r="E105" s="985"/>
      <c r="F105" s="973">
        <v>0.05</v>
      </c>
    </row>
    <row r="106" spans="1:6" ht="24.6" thickBot="1">
      <c r="A106" s="773" t="s">
        <v>523</v>
      </c>
      <c r="B106" s="767" t="s">
        <v>862</v>
      </c>
      <c r="C106" s="985"/>
      <c r="D106" s="985"/>
      <c r="E106" s="985"/>
      <c r="F106" s="973">
        <v>0.05</v>
      </c>
    </row>
    <row r="107" spans="1:6" ht="24.6" thickBot="1">
      <c r="A107" s="773" t="s">
        <v>523</v>
      </c>
      <c r="B107" s="767" t="s">
        <v>863</v>
      </c>
      <c r="C107" s="985"/>
      <c r="D107" s="985"/>
      <c r="E107" s="985"/>
      <c r="F107" s="973">
        <v>0.05</v>
      </c>
    </row>
    <row r="108" spans="1:6" ht="24.6" thickBot="1">
      <c r="A108" s="773" t="s">
        <v>523</v>
      </c>
      <c r="B108" s="767" t="s">
        <v>864</v>
      </c>
      <c r="C108" s="985"/>
      <c r="D108" s="985"/>
      <c r="E108" s="985"/>
      <c r="F108" s="973">
        <v>0.05</v>
      </c>
    </row>
    <row r="109" spans="1:6" ht="24.6" thickBot="1">
      <c r="A109" s="783" t="s">
        <v>523</v>
      </c>
      <c r="B109" s="779" t="s">
        <v>865</v>
      </c>
      <c r="C109" s="982"/>
      <c r="D109" s="982"/>
      <c r="E109" s="982"/>
      <c r="F109" s="975">
        <v>0.05</v>
      </c>
    </row>
    <row r="110" spans="1:6" ht="15" thickBot="1">
      <c r="A110" s="773" t="s">
        <v>56</v>
      </c>
      <c r="B110" s="774" t="s">
        <v>866</v>
      </c>
      <c r="C110" s="970">
        <v>0.129</v>
      </c>
      <c r="D110" s="970">
        <v>0.129</v>
      </c>
      <c r="E110" s="970">
        <v>0.126</v>
      </c>
      <c r="F110" s="971">
        <v>0.13</v>
      </c>
    </row>
    <row r="111" spans="1:6" ht="15" thickBot="1">
      <c r="A111" s="773" t="s">
        <v>56</v>
      </c>
      <c r="B111" s="767" t="s">
        <v>192</v>
      </c>
      <c r="C111" s="972">
        <v>0.11</v>
      </c>
      <c r="D111" s="972">
        <v>0.11</v>
      </c>
      <c r="E111" s="972">
        <v>9.9000000000000005E-2</v>
      </c>
      <c r="F111" s="973">
        <v>0.128</v>
      </c>
    </row>
    <row r="112" spans="1:6" ht="15" thickBot="1">
      <c r="A112" s="773" t="s">
        <v>56</v>
      </c>
      <c r="B112" s="767" t="s">
        <v>205</v>
      </c>
      <c r="C112" s="972">
        <v>0.125</v>
      </c>
      <c r="D112" s="972">
        <v>0.125</v>
      </c>
      <c r="E112" s="972">
        <v>0.12</v>
      </c>
      <c r="F112" s="973">
        <v>0.125</v>
      </c>
    </row>
    <row r="113" spans="1:6" ht="15" thickBot="1">
      <c r="A113" s="773" t="s">
        <v>56</v>
      </c>
      <c r="B113" s="767" t="s">
        <v>218</v>
      </c>
      <c r="C113" s="972">
        <v>0.13</v>
      </c>
      <c r="D113" s="972">
        <v>0.13</v>
      </c>
      <c r="E113" s="972">
        <v>0.13</v>
      </c>
      <c r="F113" s="973">
        <v>0.13</v>
      </c>
    </row>
    <row r="114" spans="1:6" ht="15" thickBot="1">
      <c r="A114" s="773" t="s">
        <v>56</v>
      </c>
      <c r="B114" s="767" t="s">
        <v>230</v>
      </c>
      <c r="C114" s="972">
        <v>0.123</v>
      </c>
      <c r="D114" s="972">
        <v>0.123</v>
      </c>
      <c r="E114" s="972">
        <v>0.12</v>
      </c>
      <c r="F114" s="973">
        <v>0.13</v>
      </c>
    </row>
    <row r="115" spans="1:6" ht="15" thickBot="1">
      <c r="A115" s="773" t="s">
        <v>56</v>
      </c>
      <c r="B115" s="767" t="s">
        <v>241</v>
      </c>
      <c r="C115" s="972">
        <v>0.125</v>
      </c>
      <c r="D115" s="972">
        <v>0.125</v>
      </c>
      <c r="E115" s="972">
        <v>0.11700000000000001</v>
      </c>
      <c r="F115" s="973">
        <v>0.13</v>
      </c>
    </row>
    <row r="116" spans="1:6" ht="15" thickBot="1">
      <c r="A116" s="773" t="s">
        <v>56</v>
      </c>
      <c r="B116" s="767" t="s">
        <v>252</v>
      </c>
      <c r="C116" s="972">
        <v>0.11700000000000001</v>
      </c>
      <c r="D116" s="972">
        <v>0.11700000000000001</v>
      </c>
      <c r="E116" s="972">
        <v>8.7999999999999995E-2</v>
      </c>
      <c r="F116" s="973">
        <v>0.13</v>
      </c>
    </row>
    <row r="117" spans="1:6" ht="15" thickBot="1">
      <c r="A117" s="773" t="s">
        <v>56</v>
      </c>
      <c r="B117" s="767" t="s">
        <v>263</v>
      </c>
      <c r="C117" s="972">
        <v>0.13</v>
      </c>
      <c r="D117" s="972">
        <v>0.13</v>
      </c>
      <c r="E117" s="972">
        <v>0.129</v>
      </c>
      <c r="F117" s="973">
        <v>0.13</v>
      </c>
    </row>
    <row r="118" spans="1:6" ht="15" thickBot="1">
      <c r="A118" s="773" t="s">
        <v>56</v>
      </c>
      <c r="B118" s="767" t="s">
        <v>275</v>
      </c>
      <c r="C118" s="972">
        <v>0.123</v>
      </c>
      <c r="D118" s="972">
        <v>0.123</v>
      </c>
      <c r="E118" s="972">
        <v>0.11600000000000001</v>
      </c>
      <c r="F118" s="973">
        <v>0.13</v>
      </c>
    </row>
    <row r="119" spans="1:6" ht="15" thickBot="1">
      <c r="A119" s="773" t="s">
        <v>56</v>
      </c>
      <c r="B119" s="767" t="s">
        <v>285</v>
      </c>
      <c r="C119" s="972">
        <v>0.127</v>
      </c>
      <c r="D119" s="972">
        <v>0.127</v>
      </c>
      <c r="E119" s="972">
        <v>0.124</v>
      </c>
      <c r="F119" s="973">
        <v>0.13</v>
      </c>
    </row>
    <row r="120" spans="1:6" ht="15" thickBot="1">
      <c r="A120" s="773" t="s">
        <v>56</v>
      </c>
      <c r="B120" s="767" t="s">
        <v>295</v>
      </c>
      <c r="C120" s="972">
        <v>0.125</v>
      </c>
      <c r="D120" s="972">
        <v>0.125</v>
      </c>
      <c r="E120" s="972">
        <v>0.122</v>
      </c>
      <c r="F120" s="973">
        <v>0.13</v>
      </c>
    </row>
    <row r="121" spans="1:6" ht="15" thickBot="1">
      <c r="A121" s="773" t="s">
        <v>56</v>
      </c>
      <c r="B121" s="767" t="s">
        <v>305</v>
      </c>
      <c r="C121" s="972">
        <v>0.13</v>
      </c>
      <c r="D121" s="972">
        <v>0.13</v>
      </c>
      <c r="E121" s="972">
        <v>0.13</v>
      </c>
      <c r="F121" s="973">
        <v>0.13</v>
      </c>
    </row>
    <row r="122" spans="1:6" ht="15" thickBot="1">
      <c r="A122" s="773" t="s">
        <v>56</v>
      </c>
      <c r="B122" s="767" t="s">
        <v>315</v>
      </c>
      <c r="C122" s="972">
        <v>0.13</v>
      </c>
      <c r="D122" s="972">
        <v>0.13</v>
      </c>
      <c r="E122" s="972">
        <v>0.125</v>
      </c>
      <c r="F122" s="973">
        <v>0.13</v>
      </c>
    </row>
    <row r="123" spans="1:6" ht="15" thickBot="1">
      <c r="A123" s="773" t="s">
        <v>56</v>
      </c>
      <c r="B123" s="767" t="s">
        <v>326</v>
      </c>
      <c r="C123" s="972">
        <v>0.129</v>
      </c>
      <c r="D123" s="972">
        <v>0.129</v>
      </c>
      <c r="E123" s="972">
        <v>0.123</v>
      </c>
      <c r="F123" s="973">
        <v>0.13</v>
      </c>
    </row>
    <row r="124" spans="1:6" ht="15" thickBot="1">
      <c r="A124" s="773" t="s">
        <v>56</v>
      </c>
      <c r="B124" s="767" t="s">
        <v>337</v>
      </c>
      <c r="C124" s="972">
        <v>0.10199999999999999</v>
      </c>
      <c r="D124" s="972">
        <v>0.10100000000000001</v>
      </c>
      <c r="E124" s="972">
        <v>0.08</v>
      </c>
      <c r="F124" s="984"/>
    </row>
    <row r="125" spans="1:6" ht="15" thickBot="1">
      <c r="A125" s="773" t="s">
        <v>56</v>
      </c>
      <c r="B125" s="767" t="s">
        <v>347</v>
      </c>
      <c r="C125" s="972">
        <v>0.13</v>
      </c>
      <c r="D125" s="972">
        <v>0.13</v>
      </c>
      <c r="E125" s="972">
        <v>0.129</v>
      </c>
      <c r="F125" s="984"/>
    </row>
    <row r="126" spans="1:6" ht="15" thickBot="1">
      <c r="A126" s="773" t="s">
        <v>56</v>
      </c>
      <c r="B126" s="767" t="s">
        <v>357</v>
      </c>
      <c r="C126" s="972">
        <v>0.13</v>
      </c>
      <c r="D126" s="972">
        <v>0.13</v>
      </c>
      <c r="E126" s="972">
        <v>0.126</v>
      </c>
      <c r="F126" s="984"/>
    </row>
    <row r="127" spans="1:6" ht="15" thickBot="1">
      <c r="A127" s="773" t="s">
        <v>56</v>
      </c>
      <c r="B127" s="767" t="s">
        <v>367</v>
      </c>
      <c r="C127" s="972">
        <v>0.125</v>
      </c>
      <c r="D127" s="972">
        <v>0.125</v>
      </c>
      <c r="E127" s="972">
        <v>0.121</v>
      </c>
      <c r="F127" s="984"/>
    </row>
    <row r="128" spans="1:6" ht="15" thickBot="1">
      <c r="A128" s="773" t="s">
        <v>56</v>
      </c>
      <c r="B128" s="767" t="s">
        <v>377</v>
      </c>
      <c r="C128" s="972">
        <v>0.12</v>
      </c>
      <c r="D128" s="972">
        <v>0.12</v>
      </c>
      <c r="E128" s="972">
        <v>0.105</v>
      </c>
      <c r="F128" s="984"/>
    </row>
    <row r="129" spans="1:6" ht="15" thickBot="1">
      <c r="A129" s="773" t="s">
        <v>56</v>
      </c>
      <c r="B129" s="767" t="s">
        <v>386</v>
      </c>
      <c r="C129" s="972">
        <v>0.13</v>
      </c>
      <c r="D129" s="972">
        <v>0.13</v>
      </c>
      <c r="E129" s="972">
        <v>0.126</v>
      </c>
      <c r="F129" s="984"/>
    </row>
    <row r="130" spans="1:6" ht="15" thickBot="1">
      <c r="A130" s="773" t="s">
        <v>56</v>
      </c>
      <c r="B130" s="767" t="s">
        <v>395</v>
      </c>
      <c r="C130" s="972">
        <v>0.125</v>
      </c>
      <c r="D130" s="972">
        <v>0.125</v>
      </c>
      <c r="E130" s="972">
        <v>0.122</v>
      </c>
      <c r="F130" s="984"/>
    </row>
    <row r="131" spans="1:6" ht="15" thickBot="1">
      <c r="A131" s="773" t="s">
        <v>56</v>
      </c>
      <c r="B131" s="767" t="s">
        <v>403</v>
      </c>
      <c r="C131" s="972">
        <v>0.127</v>
      </c>
      <c r="D131" s="972">
        <v>0.126</v>
      </c>
      <c r="E131" s="972">
        <v>0.123</v>
      </c>
      <c r="F131" s="984"/>
    </row>
    <row r="132" spans="1:6" ht="15" thickBot="1">
      <c r="A132" s="773" t="s">
        <v>56</v>
      </c>
      <c r="B132" s="767" t="s">
        <v>410</v>
      </c>
      <c r="C132" s="972">
        <v>9.0999999999999998E-2</v>
      </c>
      <c r="D132" s="972">
        <v>0.121</v>
      </c>
      <c r="E132" s="972">
        <v>9.9000000000000005E-2</v>
      </c>
      <c r="F132" s="984"/>
    </row>
    <row r="133" spans="1:6" ht="15" thickBot="1">
      <c r="A133" s="773" t="s">
        <v>56</v>
      </c>
      <c r="B133" s="767" t="s">
        <v>417</v>
      </c>
      <c r="C133" s="972">
        <v>0.13</v>
      </c>
      <c r="D133" s="972">
        <v>0.13</v>
      </c>
      <c r="E133" s="972">
        <v>0.129</v>
      </c>
      <c r="F133" s="984"/>
    </row>
    <row r="134" spans="1:6" ht="15" thickBot="1">
      <c r="A134" s="773" t="s">
        <v>56</v>
      </c>
      <c r="B134" s="767" t="s">
        <v>867</v>
      </c>
      <c r="C134" s="972">
        <v>6.8000000000000005E-2</v>
      </c>
      <c r="D134" s="972">
        <v>6.5000000000000002E-2</v>
      </c>
      <c r="E134" s="972">
        <v>6.5000000000000002E-2</v>
      </c>
      <c r="F134" s="973">
        <v>0.13</v>
      </c>
    </row>
    <row r="135" spans="1:6" ht="15" thickBot="1">
      <c r="A135" s="773" t="s">
        <v>56</v>
      </c>
      <c r="B135" s="767" t="s">
        <v>431</v>
      </c>
      <c r="C135" s="972">
        <v>0.123</v>
      </c>
      <c r="D135" s="972">
        <v>0.123</v>
      </c>
      <c r="E135" s="972">
        <v>0.11</v>
      </c>
      <c r="F135" s="984"/>
    </row>
    <row r="136" spans="1:6" ht="15" thickBot="1">
      <c r="A136" s="773" t="s">
        <v>56</v>
      </c>
      <c r="B136" s="767" t="s">
        <v>438</v>
      </c>
      <c r="C136" s="972">
        <v>0.13</v>
      </c>
      <c r="D136" s="972">
        <v>0.13</v>
      </c>
      <c r="E136" s="972">
        <v>0.125</v>
      </c>
      <c r="F136" s="984"/>
    </row>
    <row r="137" spans="1:6" ht="15" thickBot="1">
      <c r="A137" s="773" t="s">
        <v>56</v>
      </c>
      <c r="B137" s="767" t="s">
        <v>445</v>
      </c>
      <c r="C137" s="972">
        <v>0.121</v>
      </c>
      <c r="D137" s="972">
        <v>0.122</v>
      </c>
      <c r="E137" s="972">
        <v>0.115</v>
      </c>
      <c r="F137" s="984"/>
    </row>
    <row r="138" spans="1:6" ht="15" thickBot="1">
      <c r="A138" s="773" t="s">
        <v>56</v>
      </c>
      <c r="B138" s="767" t="s">
        <v>868</v>
      </c>
      <c r="C138" s="972">
        <v>0.105</v>
      </c>
      <c r="D138" s="972">
        <v>0.125</v>
      </c>
      <c r="E138" s="972">
        <v>0.112</v>
      </c>
      <c r="F138" s="984"/>
    </row>
    <row r="139" spans="1:6" ht="15" thickBot="1">
      <c r="A139" s="773" t="s">
        <v>56</v>
      </c>
      <c r="B139" s="767" t="s">
        <v>869</v>
      </c>
      <c r="C139" s="972">
        <v>0.127</v>
      </c>
      <c r="D139" s="972">
        <v>0.127</v>
      </c>
      <c r="E139" s="972">
        <v>0.122</v>
      </c>
      <c r="F139" s="973">
        <v>0.13</v>
      </c>
    </row>
    <row r="140" spans="1:6" ht="15" thickBot="1">
      <c r="A140" s="773" t="s">
        <v>56</v>
      </c>
      <c r="B140" s="767" t="s">
        <v>870</v>
      </c>
      <c r="C140" s="972">
        <v>0.125</v>
      </c>
      <c r="D140" s="972">
        <v>0.125</v>
      </c>
      <c r="E140" s="972">
        <v>0.11899999999999999</v>
      </c>
      <c r="F140" s="973">
        <v>0.13</v>
      </c>
    </row>
    <row r="141" spans="1:6" ht="15" thickBot="1">
      <c r="A141" s="773" t="s">
        <v>56</v>
      </c>
      <c r="B141" s="767" t="s">
        <v>464</v>
      </c>
      <c r="C141" s="972">
        <v>0.125</v>
      </c>
      <c r="D141" s="972">
        <v>0.125</v>
      </c>
      <c r="E141" s="972">
        <v>0.11700000000000001</v>
      </c>
      <c r="F141" s="984"/>
    </row>
    <row r="142" spans="1:6" ht="15" thickBot="1">
      <c r="A142" s="773" t="s">
        <v>56</v>
      </c>
      <c r="B142" s="767" t="s">
        <v>469</v>
      </c>
      <c r="C142" s="972">
        <v>0.125</v>
      </c>
      <c r="D142" s="972">
        <v>0.125</v>
      </c>
      <c r="E142" s="972">
        <v>0.115</v>
      </c>
      <c r="F142" s="984"/>
    </row>
    <row r="143" spans="1:6" ht="15" thickBot="1">
      <c r="A143" s="773" t="s">
        <v>56</v>
      </c>
      <c r="B143" s="767" t="s">
        <v>474</v>
      </c>
      <c r="C143" s="972">
        <v>0.121</v>
      </c>
      <c r="D143" s="972">
        <v>0.121</v>
      </c>
      <c r="E143" s="972">
        <v>0.108</v>
      </c>
      <c r="F143" s="984"/>
    </row>
    <row r="144" spans="1:6" ht="15" thickBot="1">
      <c r="A144" s="773" t="s">
        <v>56</v>
      </c>
      <c r="B144" s="976" t="s">
        <v>871</v>
      </c>
      <c r="C144" s="977">
        <v>0.126</v>
      </c>
      <c r="D144" s="977">
        <v>0.126</v>
      </c>
      <c r="E144" s="977">
        <v>0.121</v>
      </c>
      <c r="F144" s="984"/>
    </row>
    <row r="145" spans="1:6" ht="15" thickBot="1">
      <c r="A145" s="783" t="s">
        <v>56</v>
      </c>
      <c r="B145" s="978" t="s">
        <v>872</v>
      </c>
      <c r="C145" s="986"/>
      <c r="D145" s="986"/>
      <c r="E145" s="986"/>
      <c r="F145" s="979">
        <v>0.05</v>
      </c>
    </row>
    <row r="146" spans="1:6" ht="24.6" thickBot="1">
      <c r="A146" s="980" t="s">
        <v>56</v>
      </c>
      <c r="B146" s="777" t="s">
        <v>873</v>
      </c>
      <c r="C146" s="985"/>
      <c r="D146" s="985"/>
      <c r="E146" s="985"/>
      <c r="F146" s="981">
        <v>0.05</v>
      </c>
    </row>
    <row r="147" spans="1:6" ht="24.6" thickBot="1">
      <c r="A147" s="773" t="s">
        <v>56</v>
      </c>
      <c r="B147" s="767" t="s">
        <v>874</v>
      </c>
      <c r="C147" s="985"/>
      <c r="D147" s="985"/>
      <c r="E147" s="985"/>
      <c r="F147" s="973">
        <v>0.05</v>
      </c>
    </row>
    <row r="148" spans="1:6" ht="24.6" thickBot="1">
      <c r="A148" s="773" t="s">
        <v>56</v>
      </c>
      <c r="B148" s="767" t="s">
        <v>875</v>
      </c>
      <c r="C148" s="985"/>
      <c r="D148" s="985"/>
      <c r="E148" s="985"/>
      <c r="F148" s="973">
        <v>0.05</v>
      </c>
    </row>
    <row r="149" spans="1:6" ht="24.6" thickBot="1">
      <c r="A149" s="773" t="s">
        <v>56</v>
      </c>
      <c r="B149" s="767" t="s">
        <v>876</v>
      </c>
      <c r="C149" s="985"/>
      <c r="D149" s="985"/>
      <c r="E149" s="985"/>
      <c r="F149" s="973">
        <v>0.05</v>
      </c>
    </row>
    <row r="150" spans="1:6" ht="24.6" thickBot="1">
      <c r="A150" s="773" t="s">
        <v>56</v>
      </c>
      <c r="B150" s="767" t="s">
        <v>877</v>
      </c>
      <c r="C150" s="985"/>
      <c r="D150" s="985"/>
      <c r="E150" s="985"/>
      <c r="F150" s="973">
        <v>0.05</v>
      </c>
    </row>
    <row r="151" spans="1:6" ht="24.6" thickBot="1">
      <c r="A151" s="773" t="s">
        <v>56</v>
      </c>
      <c r="B151" s="767" t="s">
        <v>878</v>
      </c>
      <c r="C151" s="985"/>
      <c r="D151" s="985"/>
      <c r="E151" s="985"/>
      <c r="F151" s="973">
        <v>0.05</v>
      </c>
    </row>
    <row r="152" spans="1:6" ht="24.6" thickBot="1">
      <c r="A152" s="773" t="s">
        <v>56</v>
      </c>
      <c r="B152" s="767" t="s">
        <v>507</v>
      </c>
      <c r="C152" s="985"/>
      <c r="D152" s="985"/>
      <c r="E152" s="985"/>
      <c r="F152" s="973">
        <v>0.05</v>
      </c>
    </row>
    <row r="153" spans="1:6" ht="15" thickBot="1">
      <c r="A153" s="773" t="s">
        <v>56</v>
      </c>
      <c r="B153" s="767" t="s">
        <v>879</v>
      </c>
      <c r="C153" s="985"/>
      <c r="D153" s="985"/>
      <c r="E153" s="985"/>
      <c r="F153" s="973">
        <v>0.05</v>
      </c>
    </row>
    <row r="154" spans="1:6" ht="15" thickBot="1">
      <c r="A154" s="773" t="s">
        <v>56</v>
      </c>
      <c r="B154" s="767" t="s">
        <v>880</v>
      </c>
      <c r="C154" s="985"/>
      <c r="D154" s="985"/>
      <c r="E154" s="985"/>
      <c r="F154" s="973">
        <v>0.05</v>
      </c>
    </row>
    <row r="155" spans="1:6" ht="24.6" thickBot="1">
      <c r="A155" s="773" t="s">
        <v>56</v>
      </c>
      <c r="B155" s="767" t="s">
        <v>881</v>
      </c>
      <c r="C155" s="985"/>
      <c r="D155" s="985"/>
      <c r="E155" s="985"/>
      <c r="F155" s="973">
        <v>0.05</v>
      </c>
    </row>
    <row r="156" spans="1:6" ht="24.6" thickBot="1">
      <c r="A156" s="773" t="s">
        <v>56</v>
      </c>
      <c r="B156" s="767" t="s">
        <v>882</v>
      </c>
      <c r="C156" s="985"/>
      <c r="D156" s="985"/>
      <c r="E156" s="985"/>
      <c r="F156" s="973">
        <v>0.05</v>
      </c>
    </row>
    <row r="157" spans="1:6" ht="24.6" thickBot="1">
      <c r="A157" s="783" t="s">
        <v>56</v>
      </c>
      <c r="B157" s="779" t="s">
        <v>883</v>
      </c>
      <c r="C157" s="982"/>
      <c r="D157" s="982"/>
      <c r="E157" s="982"/>
      <c r="F157" s="975">
        <v>0.05</v>
      </c>
    </row>
    <row r="158" spans="1:6" ht="15" thickBot="1">
      <c r="A158" s="773" t="s">
        <v>526</v>
      </c>
      <c r="B158" s="774" t="s">
        <v>884</v>
      </c>
      <c r="C158" s="970">
        <v>0.13</v>
      </c>
      <c r="D158" s="970">
        <v>0.13</v>
      </c>
      <c r="E158" s="970">
        <v>0.13</v>
      </c>
      <c r="F158" s="971">
        <v>0.13</v>
      </c>
    </row>
    <row r="159" spans="1:6" ht="15" thickBot="1">
      <c r="A159" s="773" t="s">
        <v>526</v>
      </c>
      <c r="B159" s="767" t="s">
        <v>193</v>
      </c>
      <c r="C159" s="972">
        <v>0.13</v>
      </c>
      <c r="D159" s="972">
        <v>0.13</v>
      </c>
      <c r="E159" s="972">
        <v>0.13</v>
      </c>
      <c r="F159" s="973">
        <v>0.13</v>
      </c>
    </row>
    <row r="160" spans="1:6" ht="15" thickBot="1">
      <c r="A160" s="773" t="s">
        <v>526</v>
      </c>
      <c r="B160" s="767" t="s">
        <v>206</v>
      </c>
      <c r="C160" s="972">
        <v>0.13</v>
      </c>
      <c r="D160" s="972">
        <v>0.13</v>
      </c>
      <c r="E160" s="972">
        <v>0.129</v>
      </c>
      <c r="F160" s="973">
        <v>0.13</v>
      </c>
    </row>
    <row r="161" spans="1:6" ht="15" thickBot="1">
      <c r="A161" s="773" t="s">
        <v>526</v>
      </c>
      <c r="B161" s="767" t="s">
        <v>219</v>
      </c>
      <c r="C161" s="972">
        <v>0.128</v>
      </c>
      <c r="D161" s="972">
        <v>0.128</v>
      </c>
      <c r="E161" s="972">
        <v>0.125</v>
      </c>
      <c r="F161" s="973">
        <v>0.13</v>
      </c>
    </row>
    <row r="162" spans="1:6" ht="15" thickBot="1">
      <c r="A162" s="773" t="s">
        <v>526</v>
      </c>
      <c r="B162" s="767" t="s">
        <v>231</v>
      </c>
      <c r="C162" s="972">
        <v>0.122</v>
      </c>
      <c r="D162" s="972">
        <v>0.122</v>
      </c>
      <c r="E162" s="972">
        <v>0.126</v>
      </c>
      <c r="F162" s="973">
        <v>0.122</v>
      </c>
    </row>
    <row r="163" spans="1:6" ht="15" thickBot="1">
      <c r="A163" s="773" t="s">
        <v>526</v>
      </c>
      <c r="B163" s="767" t="s">
        <v>242</v>
      </c>
      <c r="C163" s="972">
        <v>0.13</v>
      </c>
      <c r="D163" s="972">
        <v>0.13</v>
      </c>
      <c r="E163" s="972">
        <v>0.125</v>
      </c>
      <c r="F163" s="973">
        <v>0.13</v>
      </c>
    </row>
    <row r="164" spans="1:6" ht="15" thickBot="1">
      <c r="A164" s="773" t="s">
        <v>526</v>
      </c>
      <c r="B164" s="767" t="s">
        <v>253</v>
      </c>
      <c r="C164" s="972">
        <v>0.13</v>
      </c>
      <c r="D164" s="972">
        <v>0.13</v>
      </c>
      <c r="E164" s="972">
        <v>0.13</v>
      </c>
      <c r="F164" s="973">
        <v>0.13</v>
      </c>
    </row>
    <row r="165" spans="1:6" ht="15" thickBot="1">
      <c r="A165" s="773" t="s">
        <v>526</v>
      </c>
      <c r="B165" s="767" t="s">
        <v>264</v>
      </c>
      <c r="C165" s="972">
        <v>0.13</v>
      </c>
      <c r="D165" s="972">
        <v>0.13</v>
      </c>
      <c r="E165" s="972">
        <v>0.124</v>
      </c>
      <c r="F165" s="973">
        <v>0.13</v>
      </c>
    </row>
    <row r="166" spans="1:6" ht="15" thickBot="1">
      <c r="A166" s="773" t="s">
        <v>526</v>
      </c>
      <c r="B166" s="767" t="s">
        <v>276</v>
      </c>
      <c r="C166" s="972">
        <v>0.13</v>
      </c>
      <c r="D166" s="972">
        <v>0.13</v>
      </c>
      <c r="E166" s="972">
        <v>0.13</v>
      </c>
      <c r="F166" s="973">
        <v>0.13</v>
      </c>
    </row>
    <row r="167" spans="1:6" ht="15" thickBot="1">
      <c r="A167" s="773" t="s">
        <v>526</v>
      </c>
      <c r="B167" s="767" t="s">
        <v>286</v>
      </c>
      <c r="C167" s="972">
        <v>0.125</v>
      </c>
      <c r="D167" s="972">
        <v>0.125</v>
      </c>
      <c r="E167" s="972">
        <v>0.121</v>
      </c>
      <c r="F167" s="984"/>
    </row>
    <row r="168" spans="1:6" ht="15" thickBot="1">
      <c r="A168" s="773" t="s">
        <v>526</v>
      </c>
      <c r="B168" s="767" t="s">
        <v>296</v>
      </c>
      <c r="C168" s="972">
        <v>0.13</v>
      </c>
      <c r="D168" s="972">
        <v>0.13</v>
      </c>
      <c r="E168" s="972">
        <v>0.126</v>
      </c>
      <c r="F168" s="984"/>
    </row>
    <row r="169" spans="1:6" ht="15" thickBot="1">
      <c r="A169" s="773" t="s">
        <v>526</v>
      </c>
      <c r="B169" s="767" t="s">
        <v>306</v>
      </c>
      <c r="C169" s="972">
        <v>0.128</v>
      </c>
      <c r="D169" s="972">
        <v>0.129</v>
      </c>
      <c r="E169" s="972">
        <v>0.13</v>
      </c>
      <c r="F169" s="984"/>
    </row>
    <row r="170" spans="1:6" ht="15" thickBot="1">
      <c r="A170" s="773" t="s">
        <v>526</v>
      </c>
      <c r="B170" s="767" t="s">
        <v>316</v>
      </c>
      <c r="C170" s="972">
        <v>0.14099999999999999</v>
      </c>
      <c r="D170" s="972">
        <v>0.13</v>
      </c>
      <c r="E170" s="972">
        <v>0.125</v>
      </c>
      <c r="F170" s="984"/>
    </row>
    <row r="171" spans="1:6" ht="15" thickBot="1">
      <c r="A171" s="773" t="s">
        <v>526</v>
      </c>
      <c r="B171" s="767" t="s">
        <v>885</v>
      </c>
      <c r="C171" s="972">
        <v>0.127</v>
      </c>
      <c r="D171" s="972">
        <v>0.126</v>
      </c>
      <c r="E171" s="972">
        <v>0.126</v>
      </c>
      <c r="F171" s="973">
        <v>0.11799999999999999</v>
      </c>
    </row>
    <row r="172" spans="1:6" ht="15" thickBot="1">
      <c r="A172" s="773" t="s">
        <v>526</v>
      </c>
      <c r="B172" s="767" t="s">
        <v>886</v>
      </c>
      <c r="C172" s="972">
        <v>0.13</v>
      </c>
      <c r="D172" s="972">
        <v>0.13</v>
      </c>
      <c r="E172" s="972">
        <v>0.13</v>
      </c>
      <c r="F172" s="984"/>
    </row>
    <row r="173" spans="1:6" ht="15" thickBot="1">
      <c r="A173" s="773" t="s">
        <v>526</v>
      </c>
      <c r="B173" s="767" t="s">
        <v>348</v>
      </c>
      <c r="C173" s="972">
        <v>0.13</v>
      </c>
      <c r="D173" s="972">
        <v>0.13</v>
      </c>
      <c r="E173" s="972">
        <v>0.13</v>
      </c>
      <c r="F173" s="984"/>
    </row>
    <row r="174" spans="1:6" ht="15" thickBot="1">
      <c r="A174" s="773" t="s">
        <v>526</v>
      </c>
      <c r="B174" s="767" t="s">
        <v>887</v>
      </c>
      <c r="C174" s="972">
        <v>0.13</v>
      </c>
      <c r="D174" s="972">
        <v>0.13</v>
      </c>
      <c r="E174" s="972">
        <v>0.13</v>
      </c>
      <c r="F174" s="973">
        <v>0.13</v>
      </c>
    </row>
    <row r="175" spans="1:6" ht="15" thickBot="1">
      <c r="A175" s="773" t="s">
        <v>526</v>
      </c>
      <c r="B175" s="767" t="s">
        <v>888</v>
      </c>
      <c r="C175" s="972">
        <v>0.13</v>
      </c>
      <c r="D175" s="972">
        <v>0.13</v>
      </c>
      <c r="E175" s="972">
        <v>0.13</v>
      </c>
      <c r="F175" s="973">
        <v>0.13</v>
      </c>
    </row>
    <row r="176" spans="1:6" ht="15" thickBot="1">
      <c r="A176" s="773" t="s">
        <v>526</v>
      </c>
      <c r="B176" s="767" t="s">
        <v>378</v>
      </c>
      <c r="C176" s="972">
        <v>0.13</v>
      </c>
      <c r="D176" s="972">
        <v>0.13</v>
      </c>
      <c r="E176" s="972">
        <v>0.13</v>
      </c>
      <c r="F176" s="973">
        <v>0.13</v>
      </c>
    </row>
    <row r="177" spans="1:6" ht="15" thickBot="1">
      <c r="A177" s="773" t="s">
        <v>526</v>
      </c>
      <c r="B177" s="767" t="s">
        <v>889</v>
      </c>
      <c r="C177" s="972">
        <v>0.13</v>
      </c>
      <c r="D177" s="972">
        <v>0.13</v>
      </c>
      <c r="E177" s="972">
        <v>0.13</v>
      </c>
      <c r="F177" s="973">
        <v>0.13</v>
      </c>
    </row>
    <row r="178" spans="1:6" ht="15" thickBot="1">
      <c r="A178" s="773" t="s">
        <v>526</v>
      </c>
      <c r="B178" s="767" t="s">
        <v>396</v>
      </c>
      <c r="C178" s="972">
        <v>0.13</v>
      </c>
      <c r="D178" s="972">
        <v>0.13</v>
      </c>
      <c r="E178" s="972">
        <v>0.13</v>
      </c>
      <c r="F178" s="973">
        <v>0.127</v>
      </c>
    </row>
    <row r="179" spans="1:6" ht="15" thickBot="1">
      <c r="A179" s="773" t="s">
        <v>526</v>
      </c>
      <c r="B179" s="767" t="s">
        <v>404</v>
      </c>
      <c r="C179" s="972">
        <v>0.13</v>
      </c>
      <c r="D179" s="972">
        <v>0.13</v>
      </c>
      <c r="E179" s="972">
        <v>0.13</v>
      </c>
      <c r="F179" s="984"/>
    </row>
    <row r="180" spans="1:6" ht="15" thickBot="1">
      <c r="A180" s="773" t="s">
        <v>526</v>
      </c>
      <c r="B180" s="767" t="s">
        <v>890</v>
      </c>
      <c r="C180" s="972">
        <v>0.13</v>
      </c>
      <c r="D180" s="972">
        <v>0.13</v>
      </c>
      <c r="E180" s="972">
        <v>0.125</v>
      </c>
      <c r="F180" s="973">
        <v>0.13</v>
      </c>
    </row>
    <row r="181" spans="1:6" ht="15" thickBot="1">
      <c r="A181" s="773" t="s">
        <v>526</v>
      </c>
      <c r="B181" s="767" t="s">
        <v>418</v>
      </c>
      <c r="C181" s="972">
        <v>0.122</v>
      </c>
      <c r="D181" s="972">
        <v>0.123</v>
      </c>
      <c r="E181" s="972">
        <v>0.126</v>
      </c>
      <c r="F181" s="973">
        <v>0.121</v>
      </c>
    </row>
    <row r="182" spans="1:6" ht="15" thickBot="1">
      <c r="A182" s="773" t="s">
        <v>526</v>
      </c>
      <c r="B182" s="767" t="s">
        <v>425</v>
      </c>
      <c r="C182" s="972">
        <v>0.125</v>
      </c>
      <c r="D182" s="972">
        <v>0.125</v>
      </c>
      <c r="E182" s="972">
        <v>0.11700000000000001</v>
      </c>
      <c r="F182" s="973">
        <v>0.13</v>
      </c>
    </row>
    <row r="183" spans="1:6" ht="15" thickBot="1">
      <c r="A183" s="773" t="s">
        <v>526</v>
      </c>
      <c r="B183" s="767" t="s">
        <v>432</v>
      </c>
      <c r="C183" s="972">
        <v>0.127</v>
      </c>
      <c r="D183" s="972">
        <v>0.127</v>
      </c>
      <c r="E183" s="972">
        <v>0.128</v>
      </c>
      <c r="F183" s="984"/>
    </row>
    <row r="184" spans="1:6" ht="15" thickBot="1">
      <c r="A184" s="773" t="s">
        <v>526</v>
      </c>
      <c r="B184" s="767" t="s">
        <v>439</v>
      </c>
      <c r="C184" s="972">
        <v>0.125</v>
      </c>
      <c r="D184" s="972">
        <v>0.125</v>
      </c>
      <c r="E184" s="972">
        <v>0.127</v>
      </c>
      <c r="F184" s="984"/>
    </row>
    <row r="185" spans="1:6" ht="15" thickBot="1">
      <c r="A185" s="773" t="s">
        <v>526</v>
      </c>
      <c r="B185" s="767" t="s">
        <v>891</v>
      </c>
      <c r="C185" s="972">
        <v>0.127</v>
      </c>
      <c r="D185" s="972">
        <v>0.127</v>
      </c>
      <c r="E185" s="972">
        <v>0.128</v>
      </c>
      <c r="F185" s="973">
        <v>0.13</v>
      </c>
    </row>
    <row r="186" spans="1:6" ht="24.6" thickBot="1">
      <c r="A186" s="773" t="s">
        <v>526</v>
      </c>
      <c r="B186" s="767" t="s">
        <v>892</v>
      </c>
      <c r="C186" s="985"/>
      <c r="D186" s="985"/>
      <c r="E186" s="985"/>
      <c r="F186" s="973">
        <v>0.05</v>
      </c>
    </row>
    <row r="187" spans="1:6" ht="15" thickBot="1">
      <c r="A187" s="773" t="s">
        <v>526</v>
      </c>
      <c r="B187" s="767" t="s">
        <v>893</v>
      </c>
      <c r="C187" s="985"/>
      <c r="D187" s="985"/>
      <c r="E187" s="985"/>
      <c r="F187" s="973">
        <v>0.05</v>
      </c>
    </row>
    <row r="188" spans="1:6" ht="24.6" thickBot="1">
      <c r="A188" s="773" t="s">
        <v>526</v>
      </c>
      <c r="B188" s="767" t="s">
        <v>894</v>
      </c>
      <c r="C188" s="985"/>
      <c r="D188" s="985"/>
      <c r="E188" s="985"/>
      <c r="F188" s="973">
        <v>0.05</v>
      </c>
    </row>
    <row r="189" spans="1:6" ht="24.6" thickBot="1">
      <c r="A189" s="773" t="s">
        <v>526</v>
      </c>
      <c r="B189" s="767" t="s">
        <v>895</v>
      </c>
      <c r="C189" s="985"/>
      <c r="D189" s="985"/>
      <c r="E189" s="985"/>
      <c r="F189" s="973">
        <v>0.05</v>
      </c>
    </row>
    <row r="190" spans="1:6" ht="24.6" thickBot="1">
      <c r="A190" s="773" t="s">
        <v>526</v>
      </c>
      <c r="B190" s="767" t="s">
        <v>896</v>
      </c>
      <c r="C190" s="985"/>
      <c r="D190" s="985"/>
      <c r="E190" s="985"/>
      <c r="F190" s="973">
        <v>0.05</v>
      </c>
    </row>
    <row r="191" spans="1:6" ht="24.6" thickBot="1">
      <c r="A191" s="773" t="s">
        <v>526</v>
      </c>
      <c r="B191" s="767" t="s">
        <v>897</v>
      </c>
      <c r="C191" s="985"/>
      <c r="D191" s="985"/>
      <c r="E191" s="985"/>
      <c r="F191" s="973">
        <v>0.05</v>
      </c>
    </row>
    <row r="192" spans="1:6" ht="24.6" thickBot="1">
      <c r="A192" s="773" t="s">
        <v>526</v>
      </c>
      <c r="B192" s="767" t="s">
        <v>898</v>
      </c>
      <c r="C192" s="985"/>
      <c r="D192" s="985"/>
      <c r="E192" s="985"/>
      <c r="F192" s="973">
        <v>0.05</v>
      </c>
    </row>
    <row r="193" spans="1:6" ht="24.6" thickBot="1">
      <c r="A193" s="773" t="s">
        <v>526</v>
      </c>
      <c r="B193" s="767" t="s">
        <v>899</v>
      </c>
      <c r="C193" s="985"/>
      <c r="D193" s="985"/>
      <c r="E193" s="985"/>
      <c r="F193" s="973">
        <v>0.05</v>
      </c>
    </row>
    <row r="194" spans="1:6" ht="24.6" thickBot="1">
      <c r="A194" s="773" t="s">
        <v>526</v>
      </c>
      <c r="B194" s="767" t="s">
        <v>900</v>
      </c>
      <c r="C194" s="985"/>
      <c r="D194" s="985"/>
      <c r="E194" s="985"/>
      <c r="F194" s="973">
        <v>0.05</v>
      </c>
    </row>
    <row r="195" spans="1:6" ht="15" thickBot="1">
      <c r="A195" s="773" t="s">
        <v>526</v>
      </c>
      <c r="B195" s="767" t="s">
        <v>901</v>
      </c>
      <c r="C195" s="985"/>
      <c r="D195" s="985"/>
      <c r="E195" s="985"/>
      <c r="F195" s="973">
        <v>0.05</v>
      </c>
    </row>
    <row r="196" spans="1:6" ht="24.6" thickBot="1">
      <c r="A196" s="773" t="s">
        <v>526</v>
      </c>
      <c r="B196" s="767" t="s">
        <v>902</v>
      </c>
      <c r="C196" s="985"/>
      <c r="D196" s="985"/>
      <c r="E196" s="985"/>
      <c r="F196" s="973">
        <v>0.05</v>
      </c>
    </row>
    <row r="197" spans="1:6" ht="24.6" thickBot="1">
      <c r="A197" s="773" t="s">
        <v>526</v>
      </c>
      <c r="B197" s="767" t="s">
        <v>903</v>
      </c>
      <c r="C197" s="985"/>
      <c r="D197" s="985"/>
      <c r="E197" s="985"/>
      <c r="F197" s="973">
        <v>0.05</v>
      </c>
    </row>
    <row r="198" spans="1:6" ht="24.6" thickBot="1">
      <c r="A198" s="773" t="s">
        <v>526</v>
      </c>
      <c r="B198" s="767" t="s">
        <v>904</v>
      </c>
      <c r="C198" s="985"/>
      <c r="D198" s="985"/>
      <c r="E198" s="985"/>
      <c r="F198" s="973">
        <v>0.05</v>
      </c>
    </row>
    <row r="199" spans="1:6" ht="24.6" thickBot="1">
      <c r="A199" s="773" t="s">
        <v>526</v>
      </c>
      <c r="B199" s="767" t="s">
        <v>905</v>
      </c>
      <c r="C199" s="985"/>
      <c r="D199" s="985"/>
      <c r="E199" s="985"/>
      <c r="F199" s="973">
        <v>0.05</v>
      </c>
    </row>
    <row r="200" spans="1:6" ht="24.6" thickBot="1">
      <c r="A200" s="773" t="s">
        <v>526</v>
      </c>
      <c r="B200" s="767" t="s">
        <v>906</v>
      </c>
      <c r="C200" s="985"/>
      <c r="D200" s="985"/>
      <c r="E200" s="985"/>
      <c r="F200" s="973">
        <v>0.05</v>
      </c>
    </row>
    <row r="201" spans="1:6" ht="24.6" thickBot="1">
      <c r="A201" s="773" t="s">
        <v>526</v>
      </c>
      <c r="B201" s="767" t="s">
        <v>907</v>
      </c>
      <c r="C201" s="985"/>
      <c r="D201" s="985"/>
      <c r="E201" s="985"/>
      <c r="F201" s="973">
        <v>0.05</v>
      </c>
    </row>
    <row r="202" spans="1:6" ht="24.6" thickBot="1">
      <c r="A202" s="773" t="s">
        <v>526</v>
      </c>
      <c r="B202" s="767" t="s">
        <v>908</v>
      </c>
      <c r="C202" s="985"/>
      <c r="D202" s="985"/>
      <c r="E202" s="985"/>
      <c r="F202" s="973">
        <v>0.05</v>
      </c>
    </row>
    <row r="203" spans="1:6" ht="24.6" thickBot="1">
      <c r="A203" s="773" t="s">
        <v>526</v>
      </c>
      <c r="B203" s="767" t="s">
        <v>909</v>
      </c>
      <c r="C203" s="985"/>
      <c r="D203" s="985"/>
      <c r="E203" s="985"/>
      <c r="F203" s="973">
        <v>0.05</v>
      </c>
    </row>
    <row r="204" spans="1:6" ht="15" thickBot="1">
      <c r="A204" s="773" t="s">
        <v>526</v>
      </c>
      <c r="B204" s="767" t="s">
        <v>910</v>
      </c>
      <c r="C204" s="985"/>
      <c r="D204" s="985"/>
      <c r="E204" s="985"/>
      <c r="F204" s="973">
        <v>0.05</v>
      </c>
    </row>
    <row r="205" spans="1:6" ht="15" thickBot="1">
      <c r="A205" s="783" t="s">
        <v>526</v>
      </c>
      <c r="B205" s="779" t="s">
        <v>911</v>
      </c>
      <c r="C205" s="982"/>
      <c r="D205" s="982"/>
      <c r="E205" s="982"/>
      <c r="F205" s="975">
        <v>0.05</v>
      </c>
    </row>
    <row r="206" spans="1:6" ht="15" thickBot="1">
      <c r="A206" s="773" t="s">
        <v>528</v>
      </c>
      <c r="B206" s="774" t="s">
        <v>912</v>
      </c>
      <c r="C206" s="970">
        <v>0.15</v>
      </c>
      <c r="D206" s="970">
        <v>0.15</v>
      </c>
      <c r="E206" s="970">
        <v>0.15</v>
      </c>
      <c r="F206" s="971">
        <v>0.15</v>
      </c>
    </row>
    <row r="207" spans="1:6" ht="15" thickBot="1">
      <c r="A207" s="773" t="s">
        <v>528</v>
      </c>
      <c r="B207" s="767" t="s">
        <v>194</v>
      </c>
      <c r="C207" s="972">
        <v>0.15</v>
      </c>
      <c r="D207" s="972">
        <v>0.15</v>
      </c>
      <c r="E207" s="972">
        <v>0.15</v>
      </c>
      <c r="F207" s="973">
        <v>0.14399999999999999</v>
      </c>
    </row>
    <row r="208" spans="1:6" ht="15" thickBot="1">
      <c r="A208" s="773" t="s">
        <v>528</v>
      </c>
      <c r="B208" s="767" t="s">
        <v>207</v>
      </c>
      <c r="C208" s="972">
        <v>0.15</v>
      </c>
      <c r="D208" s="972">
        <v>0.15</v>
      </c>
      <c r="E208" s="972">
        <v>0.15</v>
      </c>
      <c r="F208" s="973">
        <v>0.15</v>
      </c>
    </row>
    <row r="209" spans="1:6" ht="15" thickBot="1">
      <c r="A209" s="773" t="s">
        <v>528</v>
      </c>
      <c r="B209" s="767" t="s">
        <v>220</v>
      </c>
      <c r="C209" s="972">
        <v>0.13700000000000001</v>
      </c>
      <c r="D209" s="972">
        <v>0.13700000000000001</v>
      </c>
      <c r="E209" s="972">
        <v>0.14000000000000001</v>
      </c>
      <c r="F209" s="973">
        <v>0.11700000000000001</v>
      </c>
    </row>
    <row r="210" spans="1:6" ht="15" thickBot="1">
      <c r="A210" s="773" t="s">
        <v>528</v>
      </c>
      <c r="B210" s="767" t="s">
        <v>913</v>
      </c>
      <c r="C210" s="972">
        <v>0.15</v>
      </c>
      <c r="D210" s="972">
        <v>0.15</v>
      </c>
      <c r="E210" s="972">
        <v>0.15</v>
      </c>
      <c r="F210" s="973">
        <v>0.13800000000000001</v>
      </c>
    </row>
    <row r="211" spans="1:6" ht="15" thickBot="1">
      <c r="A211" s="773" t="s">
        <v>528</v>
      </c>
      <c r="B211" s="767" t="s">
        <v>914</v>
      </c>
      <c r="C211" s="972">
        <v>0.13700000000000001</v>
      </c>
      <c r="D211" s="972">
        <v>0.13500000000000001</v>
      </c>
      <c r="E211" s="972">
        <v>0.13600000000000001</v>
      </c>
      <c r="F211" s="973">
        <v>0.1</v>
      </c>
    </row>
    <row r="212" spans="1:6" ht="15" thickBot="1">
      <c r="A212" s="773" t="s">
        <v>528</v>
      </c>
      <c r="B212" s="767" t="s">
        <v>915</v>
      </c>
      <c r="C212" s="972">
        <v>0.15</v>
      </c>
      <c r="D212" s="972">
        <v>0.15</v>
      </c>
      <c r="E212" s="972">
        <v>0.14799999999999999</v>
      </c>
      <c r="F212" s="973">
        <v>0.13600000000000001</v>
      </c>
    </row>
    <row r="213" spans="1:6" ht="15" thickBot="1">
      <c r="A213" s="773" t="s">
        <v>528</v>
      </c>
      <c r="B213" s="767" t="s">
        <v>265</v>
      </c>
      <c r="C213" s="972">
        <v>0.15</v>
      </c>
      <c r="D213" s="972">
        <v>0.15</v>
      </c>
      <c r="E213" s="972">
        <v>0.15</v>
      </c>
      <c r="F213" s="973">
        <v>0.13800000000000001</v>
      </c>
    </row>
    <row r="214" spans="1:6" ht="15" thickBot="1">
      <c r="A214" s="773" t="s">
        <v>528</v>
      </c>
      <c r="B214" s="767" t="s">
        <v>277</v>
      </c>
      <c r="C214" s="972">
        <v>9.0999999999999998E-2</v>
      </c>
      <c r="D214" s="972">
        <v>0.09</v>
      </c>
      <c r="E214" s="972">
        <v>9.1999999999999998E-2</v>
      </c>
      <c r="F214" s="984"/>
    </row>
    <row r="215" spans="1:6" ht="15" thickBot="1">
      <c r="A215" s="773" t="s">
        <v>528</v>
      </c>
      <c r="B215" s="767" t="s">
        <v>916</v>
      </c>
      <c r="C215" s="972">
        <v>0.15</v>
      </c>
      <c r="D215" s="972">
        <v>0.15</v>
      </c>
      <c r="E215" s="972">
        <v>0.15</v>
      </c>
      <c r="F215" s="973">
        <v>0.15</v>
      </c>
    </row>
    <row r="216" spans="1:6" ht="15" thickBot="1">
      <c r="A216" s="773" t="s">
        <v>528</v>
      </c>
      <c r="B216" s="767" t="s">
        <v>297</v>
      </c>
      <c r="C216" s="972">
        <v>0.14699999999999999</v>
      </c>
      <c r="D216" s="972">
        <v>0.14699999999999999</v>
      </c>
      <c r="E216" s="972">
        <v>0.15</v>
      </c>
      <c r="F216" s="973">
        <v>0.14000000000000001</v>
      </c>
    </row>
    <row r="217" spans="1:6" ht="15" thickBot="1">
      <c r="A217" s="773" t="s">
        <v>528</v>
      </c>
      <c r="B217" s="767" t="s">
        <v>307</v>
      </c>
      <c r="C217" s="972">
        <v>0.15</v>
      </c>
      <c r="D217" s="972">
        <v>0.15</v>
      </c>
      <c r="E217" s="972">
        <v>0.15</v>
      </c>
      <c r="F217" s="973">
        <v>0.15</v>
      </c>
    </row>
    <row r="218" spans="1:6" ht="15" thickBot="1">
      <c r="A218" s="773" t="s">
        <v>528</v>
      </c>
      <c r="B218" s="767" t="s">
        <v>917</v>
      </c>
      <c r="C218" s="972">
        <v>0.15</v>
      </c>
      <c r="D218" s="972">
        <v>0.15</v>
      </c>
      <c r="E218" s="972">
        <v>0.15</v>
      </c>
      <c r="F218" s="973">
        <v>0.15</v>
      </c>
    </row>
    <row r="219" spans="1:6" ht="15" thickBot="1">
      <c r="A219" s="773" t="s">
        <v>528</v>
      </c>
      <c r="B219" s="767" t="s">
        <v>328</v>
      </c>
      <c r="C219" s="972">
        <v>0.15</v>
      </c>
      <c r="D219" s="972">
        <v>0.15</v>
      </c>
      <c r="E219" s="972">
        <v>0.15</v>
      </c>
      <c r="F219" s="973">
        <v>0.14799999999999999</v>
      </c>
    </row>
    <row r="220" spans="1:6" ht="15" thickBot="1">
      <c r="A220" s="773" t="s">
        <v>528</v>
      </c>
      <c r="B220" s="767" t="s">
        <v>918</v>
      </c>
      <c r="C220" s="972">
        <v>0.15</v>
      </c>
      <c r="D220" s="972">
        <v>0.15</v>
      </c>
      <c r="E220" s="972">
        <v>0.15</v>
      </c>
      <c r="F220" s="973">
        <v>0.15</v>
      </c>
    </row>
    <row r="221" spans="1:6" ht="15" thickBot="1">
      <c r="A221" s="773" t="s">
        <v>528</v>
      </c>
      <c r="B221" s="767" t="s">
        <v>349</v>
      </c>
      <c r="C221" s="972"/>
      <c r="D221" s="985"/>
      <c r="E221" s="985"/>
      <c r="F221" s="973">
        <v>0.14799999999999999</v>
      </c>
    </row>
    <row r="222" spans="1:6" ht="15" thickBot="1">
      <c r="A222" s="773" t="s">
        <v>528</v>
      </c>
      <c r="B222" s="767" t="s">
        <v>359</v>
      </c>
      <c r="C222" s="972"/>
      <c r="D222" s="985"/>
      <c r="E222" s="985"/>
      <c r="F222" s="973">
        <v>0.1</v>
      </c>
    </row>
    <row r="223" spans="1:6" ht="15" thickBot="1">
      <c r="A223" s="773" t="s">
        <v>528</v>
      </c>
      <c r="B223" s="767" t="s">
        <v>369</v>
      </c>
      <c r="C223" s="972"/>
      <c r="D223" s="985"/>
      <c r="E223" s="985"/>
      <c r="F223" s="973">
        <v>0.15</v>
      </c>
    </row>
    <row r="224" spans="1:6" ht="15" thickBot="1">
      <c r="A224" s="773" t="s">
        <v>528</v>
      </c>
      <c r="B224" s="767" t="s">
        <v>379</v>
      </c>
      <c r="C224" s="972"/>
      <c r="D224" s="985"/>
      <c r="E224" s="985"/>
      <c r="F224" s="973">
        <v>0.15</v>
      </c>
    </row>
    <row r="225" spans="1:6" ht="15" thickBot="1">
      <c r="A225" s="773" t="s">
        <v>528</v>
      </c>
      <c r="B225" s="767" t="s">
        <v>919</v>
      </c>
      <c r="C225" s="972">
        <v>0.15</v>
      </c>
      <c r="D225" s="972">
        <v>0.15</v>
      </c>
      <c r="E225" s="972">
        <v>0.15</v>
      </c>
      <c r="F225" s="973">
        <v>0.15</v>
      </c>
    </row>
    <row r="226" spans="1:6" ht="15" thickBot="1">
      <c r="A226" s="773" t="s">
        <v>528</v>
      </c>
      <c r="B226" s="767" t="s">
        <v>397</v>
      </c>
      <c r="C226" s="972">
        <v>0.15</v>
      </c>
      <c r="D226" s="972">
        <v>0.15</v>
      </c>
      <c r="E226" s="972">
        <v>0.15</v>
      </c>
      <c r="F226" s="973">
        <v>0.14799999999999999</v>
      </c>
    </row>
    <row r="227" spans="1:6" ht="15" thickBot="1">
      <c r="A227" s="773" t="s">
        <v>528</v>
      </c>
      <c r="B227" s="767" t="s">
        <v>920</v>
      </c>
      <c r="C227" s="972">
        <v>0.15</v>
      </c>
      <c r="D227" s="972">
        <v>0.15</v>
      </c>
      <c r="E227" s="972">
        <v>0.15</v>
      </c>
      <c r="F227" s="973">
        <v>0.15</v>
      </c>
    </row>
    <row r="228" spans="1:6" ht="15" thickBot="1">
      <c r="A228" s="773" t="s">
        <v>528</v>
      </c>
      <c r="B228" s="767" t="s">
        <v>412</v>
      </c>
      <c r="C228" s="972">
        <v>0.15</v>
      </c>
      <c r="D228" s="972">
        <v>0.15</v>
      </c>
      <c r="E228" s="972">
        <v>0.15</v>
      </c>
      <c r="F228" s="973">
        <v>0.15</v>
      </c>
    </row>
    <row r="229" spans="1:6" ht="15" thickBot="1">
      <c r="A229" s="773" t="s">
        <v>528</v>
      </c>
      <c r="B229" s="767" t="s">
        <v>419</v>
      </c>
      <c r="C229" s="972">
        <v>0.15</v>
      </c>
      <c r="D229" s="972">
        <v>0.15</v>
      </c>
      <c r="E229" s="972">
        <v>0.15</v>
      </c>
      <c r="F229" s="984"/>
    </row>
    <row r="230" spans="1:6" ht="15" thickBot="1">
      <c r="A230" s="773" t="s">
        <v>528</v>
      </c>
      <c r="B230" s="767" t="s">
        <v>426</v>
      </c>
      <c r="C230" s="972">
        <v>0.14499999999999999</v>
      </c>
      <c r="D230" s="972">
        <v>0.14499999999999999</v>
      </c>
      <c r="E230" s="972">
        <v>0.14399999999999999</v>
      </c>
      <c r="F230" s="984"/>
    </row>
    <row r="231" spans="1:6" ht="15" thickBot="1">
      <c r="A231" s="773" t="s">
        <v>528</v>
      </c>
      <c r="B231" s="767" t="s">
        <v>921</v>
      </c>
      <c r="C231" s="972">
        <v>0.128</v>
      </c>
      <c r="D231" s="972">
        <v>0.125</v>
      </c>
      <c r="E231" s="972">
        <v>0.13200000000000001</v>
      </c>
      <c r="F231" s="984"/>
    </row>
    <row r="232" spans="1:6" ht="15" thickBot="1">
      <c r="A232" s="773" t="s">
        <v>528</v>
      </c>
      <c r="B232" s="767" t="s">
        <v>922</v>
      </c>
      <c r="C232" s="972">
        <v>0.14499999999999999</v>
      </c>
      <c r="D232" s="972">
        <v>0.14399999999999999</v>
      </c>
      <c r="E232" s="972">
        <v>0.14599999999999999</v>
      </c>
      <c r="F232" s="973">
        <v>0.13800000000000001</v>
      </c>
    </row>
    <row r="233" spans="1:6" ht="15" thickBot="1">
      <c r="A233" s="773" t="s">
        <v>528</v>
      </c>
      <c r="B233" s="767" t="s">
        <v>923</v>
      </c>
      <c r="C233" s="972">
        <v>0.14499999999999999</v>
      </c>
      <c r="D233" s="972">
        <v>0.14299999999999999</v>
      </c>
      <c r="E233" s="972">
        <v>0.14199999999999999</v>
      </c>
      <c r="F233" s="984"/>
    </row>
    <row r="234" spans="1:6" ht="15" thickBot="1">
      <c r="A234" s="773" t="s">
        <v>528</v>
      </c>
      <c r="B234" s="767" t="s">
        <v>924</v>
      </c>
      <c r="C234" s="972">
        <v>0.14000000000000001</v>
      </c>
      <c r="D234" s="972">
        <v>0.14000000000000001</v>
      </c>
      <c r="E234" s="972">
        <v>0.14399999999999999</v>
      </c>
      <c r="F234" s="984"/>
    </row>
    <row r="235" spans="1:6" ht="15" thickBot="1">
      <c r="A235" s="773" t="s">
        <v>528</v>
      </c>
      <c r="B235" s="767" t="s">
        <v>925</v>
      </c>
      <c r="C235" s="972">
        <v>0.14099999999999999</v>
      </c>
      <c r="D235" s="972">
        <v>0.14199999999999999</v>
      </c>
      <c r="E235" s="972">
        <v>0.14499999999999999</v>
      </c>
      <c r="F235" s="973">
        <v>0.15</v>
      </c>
    </row>
    <row r="236" spans="1:6" ht="15" thickBot="1">
      <c r="A236" s="773" t="s">
        <v>528</v>
      </c>
      <c r="B236" s="767" t="s">
        <v>461</v>
      </c>
      <c r="C236" s="985"/>
      <c r="D236" s="985"/>
      <c r="E236" s="985"/>
      <c r="F236" s="973">
        <v>0.14299999999999999</v>
      </c>
    </row>
    <row r="237" spans="1:6" ht="24.6" thickBot="1">
      <c r="A237" s="773" t="s">
        <v>528</v>
      </c>
      <c r="B237" s="767" t="s">
        <v>926</v>
      </c>
      <c r="C237" s="985"/>
      <c r="D237" s="985"/>
      <c r="E237" s="985"/>
      <c r="F237" s="973">
        <v>0.05</v>
      </c>
    </row>
    <row r="238" spans="1:6" ht="24.6" thickBot="1">
      <c r="A238" s="773" t="s">
        <v>528</v>
      </c>
      <c r="B238" s="767" t="s">
        <v>927</v>
      </c>
      <c r="C238" s="985"/>
      <c r="D238" s="985"/>
      <c r="E238" s="985"/>
      <c r="F238" s="973">
        <v>0.05</v>
      </c>
    </row>
    <row r="239" spans="1:6" ht="24.6" thickBot="1">
      <c r="A239" s="773" t="s">
        <v>528</v>
      </c>
      <c r="B239" s="767" t="s">
        <v>928</v>
      </c>
      <c r="C239" s="985"/>
      <c r="D239" s="985"/>
      <c r="E239" s="985"/>
      <c r="F239" s="973">
        <v>0.05</v>
      </c>
    </row>
    <row r="240" spans="1:6" ht="24.6" thickBot="1">
      <c r="A240" s="773" t="s">
        <v>528</v>
      </c>
      <c r="B240" s="767" t="s">
        <v>929</v>
      </c>
      <c r="C240" s="985"/>
      <c r="D240" s="985"/>
      <c r="E240" s="985"/>
      <c r="F240" s="973">
        <v>0.05</v>
      </c>
    </row>
    <row r="241" spans="1:6" ht="24.6" thickBot="1">
      <c r="A241" s="773" t="s">
        <v>528</v>
      </c>
      <c r="B241" s="767" t="s">
        <v>930</v>
      </c>
      <c r="C241" s="985"/>
      <c r="D241" s="985"/>
      <c r="E241" s="985"/>
      <c r="F241" s="973">
        <v>0.05</v>
      </c>
    </row>
    <row r="242" spans="1:6" ht="24.6" thickBot="1">
      <c r="A242" s="773" t="s">
        <v>528</v>
      </c>
      <c r="B242" s="767" t="s">
        <v>931</v>
      </c>
      <c r="C242" s="985"/>
      <c r="D242" s="985"/>
      <c r="E242" s="985"/>
      <c r="F242" s="973">
        <v>0.05</v>
      </c>
    </row>
    <row r="243" spans="1:6" ht="24.6" thickBot="1">
      <c r="A243" s="773" t="s">
        <v>528</v>
      </c>
      <c r="B243" s="767" t="s">
        <v>932</v>
      </c>
      <c r="C243" s="985"/>
      <c r="D243" s="985"/>
      <c r="E243" s="985"/>
      <c r="F243" s="973">
        <v>0.05</v>
      </c>
    </row>
    <row r="244" spans="1:6" ht="24.6" thickBot="1">
      <c r="A244" s="783" t="s">
        <v>528</v>
      </c>
      <c r="B244" s="779" t="s">
        <v>933</v>
      </c>
      <c r="C244" s="982"/>
      <c r="D244" s="982"/>
      <c r="E244" s="982"/>
      <c r="F244" s="975">
        <v>0.05</v>
      </c>
    </row>
    <row r="245" spans="1:6" ht="15" thickBot="1">
      <c r="A245" s="773" t="s">
        <v>530</v>
      </c>
      <c r="B245" s="774" t="s">
        <v>934</v>
      </c>
      <c r="C245" s="970">
        <v>0.15</v>
      </c>
      <c r="D245" s="970">
        <v>0.15</v>
      </c>
      <c r="E245" s="970">
        <v>0.15</v>
      </c>
      <c r="F245" s="971">
        <v>0.14299999999999999</v>
      </c>
    </row>
    <row r="246" spans="1:6" ht="15" thickBot="1">
      <c r="A246" s="773" t="s">
        <v>530</v>
      </c>
      <c r="B246" s="767" t="s">
        <v>195</v>
      </c>
      <c r="C246" s="972">
        <v>0.15</v>
      </c>
      <c r="D246" s="972">
        <v>0.15</v>
      </c>
      <c r="E246" s="972">
        <v>0.15</v>
      </c>
      <c r="F246" s="973">
        <v>0.114</v>
      </c>
    </row>
    <row r="247" spans="1:6" ht="15" thickBot="1">
      <c r="A247" s="773" t="s">
        <v>530</v>
      </c>
      <c r="B247" s="767" t="s">
        <v>935</v>
      </c>
      <c r="C247" s="972">
        <v>0.15</v>
      </c>
      <c r="D247" s="972">
        <v>0.15</v>
      </c>
      <c r="E247" s="972">
        <v>0.15</v>
      </c>
      <c r="F247" s="973">
        <v>0.15</v>
      </c>
    </row>
    <row r="248" spans="1:6" ht="15" thickBot="1">
      <c r="A248" s="773" t="s">
        <v>530</v>
      </c>
      <c r="B248" s="767" t="s">
        <v>936</v>
      </c>
      <c r="C248" s="972">
        <v>0.15</v>
      </c>
      <c r="D248" s="972">
        <v>0.15</v>
      </c>
      <c r="E248" s="972">
        <v>0.15</v>
      </c>
      <c r="F248" s="973">
        <v>0.14000000000000001</v>
      </c>
    </row>
    <row r="249" spans="1:6" ht="15" thickBot="1">
      <c r="A249" s="773" t="s">
        <v>530</v>
      </c>
      <c r="B249" s="767" t="s">
        <v>937</v>
      </c>
      <c r="C249" s="972">
        <v>0.15</v>
      </c>
      <c r="D249" s="972">
        <v>0.14899999999999999</v>
      </c>
      <c r="E249" s="972">
        <v>0.15</v>
      </c>
      <c r="F249" s="973">
        <v>0.1</v>
      </c>
    </row>
    <row r="250" spans="1:6" ht="15" thickBot="1">
      <c r="A250" s="773" t="s">
        <v>530</v>
      </c>
      <c r="B250" s="767" t="s">
        <v>938</v>
      </c>
      <c r="C250" s="972">
        <v>0.15</v>
      </c>
      <c r="D250" s="972">
        <v>0.15</v>
      </c>
      <c r="E250" s="972">
        <v>0.15</v>
      </c>
      <c r="F250" s="973">
        <v>0.14399999999999999</v>
      </c>
    </row>
    <row r="251" spans="1:6" ht="15" thickBot="1">
      <c r="A251" s="773" t="s">
        <v>530</v>
      </c>
      <c r="B251" s="767" t="s">
        <v>255</v>
      </c>
      <c r="C251" s="972">
        <v>0.15</v>
      </c>
      <c r="D251" s="972">
        <v>0.15</v>
      </c>
      <c r="E251" s="972">
        <v>0.15</v>
      </c>
      <c r="F251" s="973">
        <v>0.14299999999999999</v>
      </c>
    </row>
    <row r="252" spans="1:6" ht="15" thickBot="1">
      <c r="A252" s="773" t="s">
        <v>530</v>
      </c>
      <c r="B252" s="767" t="s">
        <v>266</v>
      </c>
      <c r="C252" s="972">
        <v>0.15</v>
      </c>
      <c r="D252" s="972">
        <v>0.15</v>
      </c>
      <c r="E252" s="972">
        <v>0.15</v>
      </c>
      <c r="F252" s="973">
        <v>0.1</v>
      </c>
    </row>
    <row r="253" spans="1:6" ht="15" thickBot="1">
      <c r="A253" s="773" t="s">
        <v>530</v>
      </c>
      <c r="B253" s="767" t="s">
        <v>278</v>
      </c>
      <c r="C253" s="972">
        <v>0.15</v>
      </c>
      <c r="D253" s="972">
        <v>0.15</v>
      </c>
      <c r="E253" s="972">
        <v>0.15</v>
      </c>
      <c r="F253" s="973">
        <v>0.1</v>
      </c>
    </row>
    <row r="254" spans="1:6" ht="15" thickBot="1">
      <c r="A254" s="773" t="s">
        <v>530</v>
      </c>
      <c r="B254" s="767" t="s">
        <v>288</v>
      </c>
      <c r="C254" s="985"/>
      <c r="D254" s="985"/>
      <c r="E254" s="985"/>
      <c r="F254" s="973">
        <v>0.15</v>
      </c>
    </row>
    <row r="255" spans="1:6" ht="15" thickBot="1">
      <c r="A255" s="773" t="s">
        <v>530</v>
      </c>
      <c r="B255" s="767" t="s">
        <v>298</v>
      </c>
      <c r="C255" s="985"/>
      <c r="D255" s="985"/>
      <c r="E255" s="985"/>
      <c r="F255" s="973">
        <v>0.14299999999999999</v>
      </c>
    </row>
    <row r="256" spans="1:6" ht="15" thickBot="1">
      <c r="A256" s="773" t="s">
        <v>530</v>
      </c>
      <c r="B256" s="767" t="s">
        <v>939</v>
      </c>
      <c r="C256" s="972">
        <v>0.14599999999999999</v>
      </c>
      <c r="D256" s="972">
        <v>0.14699999999999999</v>
      </c>
      <c r="E256" s="972">
        <v>0.15</v>
      </c>
      <c r="F256" s="973">
        <v>0.13200000000000001</v>
      </c>
    </row>
    <row r="257" spans="1:6" ht="15" thickBot="1">
      <c r="A257" s="773" t="s">
        <v>530</v>
      </c>
      <c r="B257" s="767" t="s">
        <v>318</v>
      </c>
      <c r="C257" s="972">
        <v>0.15</v>
      </c>
      <c r="D257" s="972">
        <v>0.15</v>
      </c>
      <c r="E257" s="972">
        <v>0.15</v>
      </c>
      <c r="F257" s="973">
        <v>0.13900000000000001</v>
      </c>
    </row>
    <row r="258" spans="1:6" ht="15" thickBot="1">
      <c r="A258" s="773" t="s">
        <v>530</v>
      </c>
      <c r="B258" s="767" t="s">
        <v>329</v>
      </c>
      <c r="C258" s="972">
        <v>0.15</v>
      </c>
      <c r="D258" s="972">
        <v>0.15</v>
      </c>
      <c r="E258" s="972">
        <v>0.15</v>
      </c>
      <c r="F258" s="973">
        <v>0.13</v>
      </c>
    </row>
    <row r="259" spans="1:6" ht="15" thickBot="1">
      <c r="A259" s="773" t="s">
        <v>530</v>
      </c>
      <c r="B259" s="767" t="s">
        <v>940</v>
      </c>
      <c r="C259" s="972">
        <v>0.14799999999999999</v>
      </c>
      <c r="D259" s="972">
        <v>0.14899999999999999</v>
      </c>
      <c r="E259" s="972">
        <v>0.15</v>
      </c>
      <c r="F259" s="973">
        <v>0.13700000000000001</v>
      </c>
    </row>
    <row r="260" spans="1:6" ht="15" thickBot="1">
      <c r="A260" s="773" t="s">
        <v>530</v>
      </c>
      <c r="B260" s="767" t="s">
        <v>350</v>
      </c>
      <c r="C260" s="972">
        <v>0.15</v>
      </c>
      <c r="D260" s="972">
        <v>0.15</v>
      </c>
      <c r="E260" s="972">
        <v>0.15</v>
      </c>
      <c r="F260" s="973">
        <v>0.14199999999999999</v>
      </c>
    </row>
    <row r="261" spans="1:6" ht="15" thickBot="1">
      <c r="A261" s="773" t="s">
        <v>530</v>
      </c>
      <c r="B261" s="767" t="s">
        <v>360</v>
      </c>
      <c r="C261" s="972">
        <v>0.15</v>
      </c>
      <c r="D261" s="972">
        <v>0.15</v>
      </c>
      <c r="E261" s="972">
        <v>0.14899999999999999</v>
      </c>
      <c r="F261" s="973">
        <v>0.14799999999999999</v>
      </c>
    </row>
    <row r="262" spans="1:6" ht="15" thickBot="1">
      <c r="A262" s="773" t="s">
        <v>530</v>
      </c>
      <c r="B262" s="767" t="s">
        <v>370</v>
      </c>
      <c r="C262" s="972">
        <v>0.15</v>
      </c>
      <c r="D262" s="972">
        <v>0.15</v>
      </c>
      <c r="E262" s="972">
        <v>0.15</v>
      </c>
      <c r="F262" s="984"/>
    </row>
    <row r="263" spans="1:6" ht="15" thickBot="1">
      <c r="A263" s="773" t="s">
        <v>530</v>
      </c>
      <c r="B263" s="767" t="s">
        <v>941</v>
      </c>
      <c r="C263" s="972">
        <v>0.14899999999999999</v>
      </c>
      <c r="D263" s="972">
        <v>0.14899999999999999</v>
      </c>
      <c r="E263" s="972">
        <v>0.15</v>
      </c>
      <c r="F263" s="973">
        <v>0.13</v>
      </c>
    </row>
    <row r="264" spans="1:6" ht="15" thickBot="1">
      <c r="A264" s="773" t="s">
        <v>530</v>
      </c>
      <c r="B264" s="767" t="s">
        <v>389</v>
      </c>
      <c r="C264" s="972">
        <v>0.14799999999999999</v>
      </c>
      <c r="D264" s="972">
        <v>0.14699999999999999</v>
      </c>
      <c r="E264" s="972">
        <v>0.15</v>
      </c>
      <c r="F264" s="973">
        <v>7.8E-2</v>
      </c>
    </row>
    <row r="265" spans="1:6" ht="15" thickBot="1">
      <c r="A265" s="773" t="s">
        <v>530</v>
      </c>
      <c r="B265" s="767" t="s">
        <v>398</v>
      </c>
      <c r="C265" s="972">
        <v>0.15</v>
      </c>
      <c r="D265" s="972">
        <v>0.15</v>
      </c>
      <c r="E265" s="972">
        <v>0.15</v>
      </c>
      <c r="F265" s="973">
        <v>7.3999999999999996E-2</v>
      </c>
    </row>
    <row r="266" spans="1:6" ht="15" thickBot="1">
      <c r="A266" s="773" t="s">
        <v>530</v>
      </c>
      <c r="B266" s="767" t="s">
        <v>406</v>
      </c>
      <c r="C266" s="972">
        <v>0.14699999999999999</v>
      </c>
      <c r="D266" s="972">
        <v>0.14699999999999999</v>
      </c>
      <c r="E266" s="972">
        <v>0.15</v>
      </c>
      <c r="F266" s="973">
        <v>0.14299999999999999</v>
      </c>
    </row>
    <row r="267" spans="1:6" ht="15" thickBot="1">
      <c r="A267" s="773" t="s">
        <v>530</v>
      </c>
      <c r="B267" s="767" t="s">
        <v>413</v>
      </c>
      <c r="C267" s="972">
        <v>0.14199999999999999</v>
      </c>
      <c r="D267" s="972">
        <v>0.14299999999999999</v>
      </c>
      <c r="E267" s="972">
        <v>0.15</v>
      </c>
      <c r="F267" s="984"/>
    </row>
    <row r="268" spans="1:6" ht="15" thickBot="1">
      <c r="A268" s="773" t="s">
        <v>530</v>
      </c>
      <c r="B268" s="767" t="s">
        <v>942</v>
      </c>
      <c r="C268" s="972">
        <v>0.15</v>
      </c>
      <c r="D268" s="972">
        <v>0.15</v>
      </c>
      <c r="E268" s="972">
        <v>0.15</v>
      </c>
      <c r="F268" s="973">
        <v>0.13</v>
      </c>
    </row>
    <row r="269" spans="1:6" ht="15" thickBot="1">
      <c r="A269" s="773" t="s">
        <v>530</v>
      </c>
      <c r="B269" s="767" t="s">
        <v>427</v>
      </c>
      <c r="C269" s="972">
        <v>0.15</v>
      </c>
      <c r="D269" s="972">
        <v>0.15</v>
      </c>
      <c r="E269" s="972">
        <v>0.15</v>
      </c>
      <c r="F269" s="973">
        <v>0.14299999999999999</v>
      </c>
    </row>
    <row r="270" spans="1:6" ht="15" thickBot="1">
      <c r="A270" s="773" t="s">
        <v>530</v>
      </c>
      <c r="B270" s="767" t="s">
        <v>434</v>
      </c>
      <c r="C270" s="972">
        <v>0.14499999999999999</v>
      </c>
      <c r="D270" s="972">
        <v>0.14499999999999999</v>
      </c>
      <c r="E270" s="972">
        <v>0.15</v>
      </c>
      <c r="F270" s="973">
        <v>0.14699999999999999</v>
      </c>
    </row>
    <row r="271" spans="1:6" ht="15" thickBot="1">
      <c r="A271" s="773" t="s">
        <v>530</v>
      </c>
      <c r="B271" s="767" t="s">
        <v>441</v>
      </c>
      <c r="C271" s="972">
        <v>0.15</v>
      </c>
      <c r="D271" s="972">
        <v>0.15</v>
      </c>
      <c r="E271" s="972">
        <v>0.15</v>
      </c>
      <c r="F271" s="973">
        <v>0.13800000000000001</v>
      </c>
    </row>
    <row r="272" spans="1:6" ht="15" thickBot="1">
      <c r="A272" s="773" t="s">
        <v>530</v>
      </c>
      <c r="B272" s="767" t="s">
        <v>448</v>
      </c>
      <c r="C272" s="985"/>
      <c r="D272" s="985"/>
      <c r="E272" s="985"/>
      <c r="F272" s="973">
        <v>0.14000000000000001</v>
      </c>
    </row>
    <row r="273" spans="1:6" ht="15" thickBot="1">
      <c r="A273" s="773" t="s">
        <v>530</v>
      </c>
      <c r="B273" s="767" t="s">
        <v>943</v>
      </c>
      <c r="C273" s="972">
        <v>0.14199999999999999</v>
      </c>
      <c r="D273" s="972">
        <v>0.14299999999999999</v>
      </c>
      <c r="E273" s="972">
        <v>0.15</v>
      </c>
      <c r="F273" s="973">
        <v>0.1</v>
      </c>
    </row>
    <row r="274" spans="1:6" ht="15" thickBot="1">
      <c r="A274" s="773" t="s">
        <v>530</v>
      </c>
      <c r="B274" s="767" t="s">
        <v>944</v>
      </c>
      <c r="C274" s="972">
        <v>0.14799999999999999</v>
      </c>
      <c r="D274" s="972">
        <v>0.14799999999999999</v>
      </c>
      <c r="E274" s="972">
        <v>0.15</v>
      </c>
      <c r="F274" s="973">
        <v>6.7000000000000004E-2</v>
      </c>
    </row>
    <row r="275" spans="1:6" ht="15" thickBot="1">
      <c r="A275" s="773" t="s">
        <v>530</v>
      </c>
      <c r="B275" s="767" t="s">
        <v>945</v>
      </c>
      <c r="C275" s="972">
        <v>0.15</v>
      </c>
      <c r="D275" s="972">
        <v>0.15</v>
      </c>
      <c r="E275" s="972">
        <v>0.15</v>
      </c>
      <c r="F275" s="973">
        <v>0.15</v>
      </c>
    </row>
    <row r="276" spans="1:6" ht="15" thickBot="1">
      <c r="A276" s="773" t="s">
        <v>530</v>
      </c>
      <c r="B276" s="767" t="s">
        <v>946</v>
      </c>
      <c r="C276" s="972">
        <v>0.14499999999999999</v>
      </c>
      <c r="D276" s="972">
        <v>0.14299999999999999</v>
      </c>
      <c r="E276" s="972">
        <v>0.15</v>
      </c>
      <c r="F276" s="973">
        <v>5.8999999999999997E-2</v>
      </c>
    </row>
    <row r="277" spans="1:6" ht="15" thickBot="1">
      <c r="A277" s="773" t="s">
        <v>530</v>
      </c>
      <c r="B277" s="767" t="s">
        <v>947</v>
      </c>
      <c r="C277" s="972">
        <v>0.15</v>
      </c>
      <c r="D277" s="972">
        <v>0.15</v>
      </c>
      <c r="E277" s="972">
        <v>0.15</v>
      </c>
      <c r="F277" s="973">
        <v>0.121</v>
      </c>
    </row>
    <row r="278" spans="1:6" ht="15" thickBot="1">
      <c r="A278" s="773" t="s">
        <v>530</v>
      </c>
      <c r="B278" s="767" t="s">
        <v>948</v>
      </c>
      <c r="C278" s="972">
        <v>0.15</v>
      </c>
      <c r="D278" s="972">
        <v>0.15</v>
      </c>
      <c r="E278" s="972">
        <v>0.15</v>
      </c>
      <c r="F278" s="973">
        <v>0.13800000000000001</v>
      </c>
    </row>
    <row r="279" spans="1:6" ht="24.6" thickBot="1">
      <c r="A279" s="773" t="s">
        <v>530</v>
      </c>
      <c r="B279" s="767" t="s">
        <v>949</v>
      </c>
      <c r="C279" s="985"/>
      <c r="D279" s="985"/>
      <c r="E279" s="985"/>
      <c r="F279" s="973">
        <v>0.05</v>
      </c>
    </row>
    <row r="280" spans="1:6" ht="24.6" thickBot="1">
      <c r="A280" s="773" t="s">
        <v>530</v>
      </c>
      <c r="B280" s="767" t="s">
        <v>950</v>
      </c>
      <c r="C280" s="985"/>
      <c r="D280" s="985"/>
      <c r="E280" s="985"/>
      <c r="F280" s="973">
        <v>0.05</v>
      </c>
    </row>
    <row r="281" spans="1:6" ht="24.6" thickBot="1">
      <c r="A281" s="773" t="s">
        <v>530</v>
      </c>
      <c r="B281" s="767" t="s">
        <v>951</v>
      </c>
      <c r="C281" s="985"/>
      <c r="D281" s="985"/>
      <c r="E281" s="985"/>
      <c r="F281" s="973">
        <v>0.05</v>
      </c>
    </row>
    <row r="282" spans="1:6" ht="24.6" thickBot="1">
      <c r="A282" s="773" t="s">
        <v>530</v>
      </c>
      <c r="B282" s="767" t="s">
        <v>952</v>
      </c>
      <c r="C282" s="985"/>
      <c r="D282" s="985"/>
      <c r="E282" s="985"/>
      <c r="F282" s="973">
        <v>0.05</v>
      </c>
    </row>
    <row r="283" spans="1:6" ht="24.6" thickBot="1">
      <c r="A283" s="773" t="s">
        <v>530</v>
      </c>
      <c r="B283" s="767" t="s">
        <v>953</v>
      </c>
      <c r="C283" s="985"/>
      <c r="D283" s="985"/>
      <c r="E283" s="985"/>
      <c r="F283" s="973">
        <v>0.05</v>
      </c>
    </row>
    <row r="284" spans="1:6" ht="24.6" thickBot="1">
      <c r="A284" s="773" t="s">
        <v>530</v>
      </c>
      <c r="B284" s="767" t="s">
        <v>954</v>
      </c>
      <c r="C284" s="985"/>
      <c r="D284" s="985"/>
      <c r="E284" s="985"/>
      <c r="F284" s="973">
        <v>0.05</v>
      </c>
    </row>
    <row r="285" spans="1:6" ht="24.6" thickBot="1">
      <c r="A285" s="773" t="s">
        <v>530</v>
      </c>
      <c r="B285" s="767" t="s">
        <v>955</v>
      </c>
      <c r="C285" s="985"/>
      <c r="D285" s="985"/>
      <c r="E285" s="985"/>
      <c r="F285" s="973">
        <v>0.05</v>
      </c>
    </row>
    <row r="286" spans="1:6" ht="24.6" thickBot="1">
      <c r="A286" s="773" t="s">
        <v>530</v>
      </c>
      <c r="B286" s="767" t="s">
        <v>956</v>
      </c>
      <c r="C286" s="985"/>
      <c r="D286" s="985"/>
      <c r="E286" s="985"/>
      <c r="F286" s="973">
        <v>0.05</v>
      </c>
    </row>
    <row r="287" spans="1:6" ht="24.6" thickBot="1">
      <c r="A287" s="773" t="s">
        <v>530</v>
      </c>
      <c r="B287" s="767" t="s">
        <v>957</v>
      </c>
      <c r="C287" s="985"/>
      <c r="D287" s="985"/>
      <c r="E287" s="985"/>
      <c r="F287" s="973">
        <v>0.05</v>
      </c>
    </row>
    <row r="288" spans="1:6" ht="24.6" thickBot="1">
      <c r="A288" s="773" t="s">
        <v>530</v>
      </c>
      <c r="B288" s="767" t="s">
        <v>958</v>
      </c>
      <c r="C288" s="985"/>
      <c r="D288" s="985"/>
      <c r="E288" s="985"/>
      <c r="F288" s="973">
        <v>0.05</v>
      </c>
    </row>
    <row r="289" spans="1:6" ht="24.6" thickBot="1">
      <c r="A289" s="783" t="s">
        <v>530</v>
      </c>
      <c r="B289" s="779" t="s">
        <v>959</v>
      </c>
      <c r="C289" s="982"/>
      <c r="D289" s="982"/>
      <c r="E289" s="982"/>
      <c r="F289" s="975">
        <v>0.05</v>
      </c>
    </row>
    <row r="290" spans="1:6" ht="15" thickBot="1">
      <c r="A290" s="773" t="s">
        <v>534</v>
      </c>
      <c r="B290" s="774" t="s">
        <v>960</v>
      </c>
      <c r="C290" s="970">
        <v>0.15</v>
      </c>
      <c r="D290" s="970">
        <v>0.15</v>
      </c>
      <c r="E290" s="970">
        <v>0.15</v>
      </c>
      <c r="F290" s="987"/>
    </row>
    <row r="291" spans="1:6" ht="15" thickBot="1">
      <c r="A291" s="773" t="s">
        <v>534</v>
      </c>
      <c r="B291" s="767" t="s">
        <v>196</v>
      </c>
      <c r="C291" s="972">
        <v>0.15</v>
      </c>
      <c r="D291" s="972">
        <v>0.15</v>
      </c>
      <c r="E291" s="972">
        <v>0.15</v>
      </c>
      <c r="F291" s="984"/>
    </row>
    <row r="292" spans="1:6" ht="15" thickBot="1">
      <c r="A292" s="773" t="s">
        <v>534</v>
      </c>
      <c r="B292" s="767" t="s">
        <v>961</v>
      </c>
      <c r="C292" s="972">
        <v>0.15</v>
      </c>
      <c r="D292" s="972">
        <v>0.15</v>
      </c>
      <c r="E292" s="972">
        <v>0.15</v>
      </c>
      <c r="F292" s="973">
        <v>0.14699999999999999</v>
      </c>
    </row>
    <row r="293" spans="1:6" ht="15" thickBot="1">
      <c r="A293" s="773" t="s">
        <v>534</v>
      </c>
      <c r="B293" s="767" t="s">
        <v>962</v>
      </c>
      <c r="C293" s="985"/>
      <c r="D293" s="985"/>
      <c r="E293" s="985"/>
      <c r="F293" s="973">
        <v>0.1</v>
      </c>
    </row>
    <row r="294" spans="1:6" ht="15" thickBot="1">
      <c r="A294" s="773" t="s">
        <v>534</v>
      </c>
      <c r="B294" s="767" t="s">
        <v>963</v>
      </c>
      <c r="C294" s="972">
        <v>0.15</v>
      </c>
      <c r="D294" s="972">
        <v>0.15</v>
      </c>
      <c r="E294" s="972">
        <v>0.15</v>
      </c>
      <c r="F294" s="973">
        <v>0.15</v>
      </c>
    </row>
    <row r="295" spans="1:6" ht="15" thickBot="1">
      <c r="A295" s="773" t="s">
        <v>534</v>
      </c>
      <c r="B295" s="767" t="s">
        <v>234</v>
      </c>
      <c r="C295" s="972">
        <v>0.15</v>
      </c>
      <c r="D295" s="972">
        <v>0.15</v>
      </c>
      <c r="E295" s="972">
        <v>0.15</v>
      </c>
      <c r="F295" s="973">
        <v>0.15</v>
      </c>
    </row>
    <row r="296" spans="1:6" ht="15" thickBot="1">
      <c r="A296" s="773" t="s">
        <v>534</v>
      </c>
      <c r="B296" s="767" t="s">
        <v>964</v>
      </c>
      <c r="C296" s="972">
        <v>0.15</v>
      </c>
      <c r="D296" s="972">
        <v>0.15</v>
      </c>
      <c r="E296" s="972">
        <v>0.15</v>
      </c>
      <c r="F296" s="973">
        <v>0.15</v>
      </c>
    </row>
    <row r="297" spans="1:6" ht="15" thickBot="1">
      <c r="A297" s="773" t="s">
        <v>534</v>
      </c>
      <c r="B297" s="767" t="s">
        <v>965</v>
      </c>
      <c r="C297" s="972">
        <v>0.14799999999999999</v>
      </c>
      <c r="D297" s="972">
        <v>0.14899999999999999</v>
      </c>
      <c r="E297" s="972">
        <v>0.15</v>
      </c>
      <c r="F297" s="973">
        <v>0.13700000000000001</v>
      </c>
    </row>
    <row r="298" spans="1:6" ht="15" thickBot="1">
      <c r="A298" s="773" t="s">
        <v>534</v>
      </c>
      <c r="B298" s="767" t="s">
        <v>267</v>
      </c>
      <c r="C298" s="972">
        <v>0.13400000000000001</v>
      </c>
      <c r="D298" s="972">
        <v>0.13400000000000001</v>
      </c>
      <c r="E298" s="972">
        <v>0.14499999999999999</v>
      </c>
      <c r="F298" s="973">
        <v>0.14799999999999999</v>
      </c>
    </row>
    <row r="299" spans="1:6" ht="15" thickBot="1">
      <c r="A299" s="773" t="s">
        <v>534</v>
      </c>
      <c r="B299" s="767" t="s">
        <v>279</v>
      </c>
      <c r="C299" s="972">
        <v>0.15</v>
      </c>
      <c r="D299" s="972">
        <v>0.15</v>
      </c>
      <c r="E299" s="972">
        <v>0.15</v>
      </c>
      <c r="F299" s="984"/>
    </row>
    <row r="300" spans="1:6" ht="15" thickBot="1">
      <c r="A300" s="773" t="s">
        <v>534</v>
      </c>
      <c r="B300" s="767" t="s">
        <v>966</v>
      </c>
      <c r="C300" s="972">
        <v>0.15</v>
      </c>
      <c r="D300" s="972">
        <v>0.15</v>
      </c>
      <c r="E300" s="972">
        <v>0.15</v>
      </c>
      <c r="F300" s="973">
        <v>0.15</v>
      </c>
    </row>
    <row r="301" spans="1:6" ht="15" thickBot="1">
      <c r="A301" s="773" t="s">
        <v>534</v>
      </c>
      <c r="B301" s="767" t="s">
        <v>299</v>
      </c>
      <c r="C301" s="972">
        <v>0.15</v>
      </c>
      <c r="D301" s="972">
        <v>0.15</v>
      </c>
      <c r="E301" s="972">
        <v>0.15</v>
      </c>
      <c r="F301" s="984"/>
    </row>
    <row r="302" spans="1:6" ht="15" thickBot="1">
      <c r="A302" s="773" t="s">
        <v>534</v>
      </c>
      <c r="B302" s="767" t="s">
        <v>967</v>
      </c>
      <c r="C302" s="972">
        <v>0.15</v>
      </c>
      <c r="D302" s="972">
        <v>0.15</v>
      </c>
      <c r="E302" s="972">
        <v>0.15</v>
      </c>
      <c r="F302" s="973">
        <v>0.15</v>
      </c>
    </row>
    <row r="303" spans="1:6" ht="15" thickBot="1">
      <c r="A303" s="773" t="s">
        <v>534</v>
      </c>
      <c r="B303" s="767" t="s">
        <v>319</v>
      </c>
      <c r="C303" s="972">
        <v>0.15</v>
      </c>
      <c r="D303" s="972">
        <v>0.15</v>
      </c>
      <c r="E303" s="972">
        <v>0.15</v>
      </c>
      <c r="F303" s="973">
        <v>0.15</v>
      </c>
    </row>
    <row r="304" spans="1:6" ht="15" thickBot="1">
      <c r="A304" s="773" t="s">
        <v>534</v>
      </c>
      <c r="B304" s="767" t="s">
        <v>330</v>
      </c>
      <c r="C304" s="972">
        <v>0.15</v>
      </c>
      <c r="D304" s="972">
        <v>0.15</v>
      </c>
      <c r="E304" s="972">
        <v>0.15</v>
      </c>
      <c r="F304" s="984"/>
    </row>
    <row r="305" spans="1:6" ht="15" thickBot="1">
      <c r="A305" s="773" t="s">
        <v>534</v>
      </c>
      <c r="B305" s="767" t="s">
        <v>968</v>
      </c>
      <c r="C305" s="972">
        <v>0.15</v>
      </c>
      <c r="D305" s="972">
        <v>0.15</v>
      </c>
      <c r="E305" s="972">
        <v>0.15</v>
      </c>
      <c r="F305" s="973">
        <v>0.14000000000000001</v>
      </c>
    </row>
    <row r="306" spans="1:6" ht="15" thickBot="1">
      <c r="A306" s="773" t="s">
        <v>534</v>
      </c>
      <c r="B306" s="767" t="s">
        <v>351</v>
      </c>
      <c r="C306" s="972">
        <v>0.15</v>
      </c>
      <c r="D306" s="972">
        <v>0.15</v>
      </c>
      <c r="E306" s="972">
        <v>0.15</v>
      </c>
      <c r="F306" s="984"/>
    </row>
    <row r="307" spans="1:6" ht="15" thickBot="1">
      <c r="A307" s="773" t="s">
        <v>534</v>
      </c>
      <c r="B307" s="767" t="s">
        <v>969</v>
      </c>
      <c r="C307" s="972">
        <v>0.15</v>
      </c>
      <c r="D307" s="972">
        <v>0.15</v>
      </c>
      <c r="E307" s="972">
        <v>0.15</v>
      </c>
      <c r="F307" s="973">
        <v>0.14299999999999999</v>
      </c>
    </row>
    <row r="308" spans="1:6" ht="15" thickBot="1">
      <c r="A308" s="773" t="s">
        <v>534</v>
      </c>
      <c r="B308" s="767" t="s">
        <v>371</v>
      </c>
      <c r="C308" s="972">
        <v>0.15</v>
      </c>
      <c r="D308" s="972">
        <v>0.15</v>
      </c>
      <c r="E308" s="972">
        <v>0.15</v>
      </c>
      <c r="F308" s="973">
        <v>0.15</v>
      </c>
    </row>
    <row r="309" spans="1:6" ht="15" thickBot="1">
      <c r="A309" s="773" t="s">
        <v>534</v>
      </c>
      <c r="B309" s="767" t="s">
        <v>381</v>
      </c>
      <c r="C309" s="972">
        <v>0.15</v>
      </c>
      <c r="D309" s="972">
        <v>0.15</v>
      </c>
      <c r="E309" s="972">
        <v>0.15</v>
      </c>
      <c r="F309" s="984"/>
    </row>
    <row r="310" spans="1:6" ht="15" thickBot="1">
      <c r="A310" s="773" t="s">
        <v>534</v>
      </c>
      <c r="B310" s="767" t="s">
        <v>970</v>
      </c>
      <c r="C310" s="972">
        <v>0.15</v>
      </c>
      <c r="D310" s="972">
        <v>0.15</v>
      </c>
      <c r="E310" s="972">
        <v>0.15</v>
      </c>
      <c r="F310" s="973">
        <v>0.13700000000000001</v>
      </c>
    </row>
    <row r="311" spans="1:6" ht="15" thickBot="1">
      <c r="A311" s="773" t="s">
        <v>534</v>
      </c>
      <c r="B311" s="767" t="s">
        <v>971</v>
      </c>
      <c r="C311" s="972">
        <v>0.15</v>
      </c>
      <c r="D311" s="972">
        <v>0.15</v>
      </c>
      <c r="E311" s="972">
        <v>0.15</v>
      </c>
      <c r="F311" s="973">
        <v>0.15</v>
      </c>
    </row>
    <row r="312" spans="1:6" ht="15" thickBot="1">
      <c r="A312" s="773" t="s">
        <v>534</v>
      </c>
      <c r="B312" s="767" t="s">
        <v>407</v>
      </c>
      <c r="C312" s="972">
        <v>0.15</v>
      </c>
      <c r="D312" s="972">
        <v>0.15</v>
      </c>
      <c r="E312" s="972">
        <v>0.15</v>
      </c>
      <c r="F312" s="973">
        <v>0.1</v>
      </c>
    </row>
    <row r="313" spans="1:6" ht="15" thickBot="1">
      <c r="A313" s="773" t="s">
        <v>534</v>
      </c>
      <c r="B313" s="767" t="s">
        <v>972</v>
      </c>
      <c r="C313" s="972">
        <v>0.15</v>
      </c>
      <c r="D313" s="972">
        <v>0.15</v>
      </c>
      <c r="E313" s="972">
        <v>0.15</v>
      </c>
      <c r="F313" s="973">
        <v>0.15</v>
      </c>
    </row>
    <row r="314" spans="1:6" ht="24.6" thickBot="1">
      <c r="A314" s="773" t="s">
        <v>534</v>
      </c>
      <c r="B314" s="767" t="s">
        <v>973</v>
      </c>
      <c r="C314" s="985"/>
      <c r="D314" s="985"/>
      <c r="E314" s="985"/>
      <c r="F314" s="973">
        <v>0.05</v>
      </c>
    </row>
    <row r="315" spans="1:6" ht="24.6" thickBot="1">
      <c r="A315" s="773" t="s">
        <v>534</v>
      </c>
      <c r="B315" s="767" t="s">
        <v>974</v>
      </c>
      <c r="C315" s="985"/>
      <c r="D315" s="985"/>
      <c r="E315" s="985"/>
      <c r="F315" s="973">
        <v>0.05</v>
      </c>
    </row>
    <row r="316" spans="1:6" ht="24.6" thickBot="1">
      <c r="A316" s="783" t="s">
        <v>534</v>
      </c>
      <c r="B316" s="779" t="s">
        <v>975</v>
      </c>
      <c r="C316" s="982"/>
      <c r="D316" s="982"/>
      <c r="E316" s="982"/>
      <c r="F316" s="975">
        <v>0.05</v>
      </c>
    </row>
    <row r="317" spans="1:6" ht="15" thickBot="1">
      <c r="A317" s="773" t="s">
        <v>976</v>
      </c>
      <c r="B317" s="774" t="s">
        <v>977</v>
      </c>
      <c r="C317" s="970">
        <v>0.15</v>
      </c>
      <c r="D317" s="970">
        <v>0.15</v>
      </c>
      <c r="E317" s="970">
        <v>0.15</v>
      </c>
      <c r="F317" s="971">
        <v>0.15</v>
      </c>
    </row>
    <row r="318" spans="1:6" ht="15" thickBot="1">
      <c r="A318" s="773" t="s">
        <v>976</v>
      </c>
      <c r="B318" s="767" t="s">
        <v>978</v>
      </c>
      <c r="C318" s="972">
        <v>0.107</v>
      </c>
      <c r="D318" s="972">
        <v>0.11</v>
      </c>
      <c r="E318" s="972">
        <v>0.112</v>
      </c>
      <c r="F318" s="984"/>
    </row>
    <row r="319" spans="1:6" ht="15" thickBot="1">
      <c r="A319" s="773" t="s">
        <v>976</v>
      </c>
      <c r="B319" s="767" t="s">
        <v>979</v>
      </c>
      <c r="C319" s="972">
        <v>0.15</v>
      </c>
      <c r="D319" s="972">
        <v>0.15</v>
      </c>
      <c r="E319" s="972">
        <v>0.15</v>
      </c>
      <c r="F319" s="973">
        <v>0.15</v>
      </c>
    </row>
    <row r="320" spans="1:6" ht="15" thickBot="1">
      <c r="A320" s="773" t="s">
        <v>976</v>
      </c>
      <c r="B320" s="767" t="s">
        <v>223</v>
      </c>
      <c r="C320" s="972">
        <v>0.15</v>
      </c>
      <c r="D320" s="972">
        <v>0.15</v>
      </c>
      <c r="E320" s="972">
        <v>0.15</v>
      </c>
      <c r="F320" s="984"/>
    </row>
    <row r="321" spans="1:6" ht="15" thickBot="1">
      <c r="A321" s="773" t="s">
        <v>976</v>
      </c>
      <c r="B321" s="767" t="s">
        <v>980</v>
      </c>
      <c r="C321" s="972">
        <v>0.15</v>
      </c>
      <c r="D321" s="972">
        <v>0.15</v>
      </c>
      <c r="E321" s="972">
        <v>0.15</v>
      </c>
      <c r="F321" s="984"/>
    </row>
    <row r="322" spans="1:6" ht="15" thickBot="1">
      <c r="A322" s="773" t="s">
        <v>976</v>
      </c>
      <c r="B322" s="767" t="s">
        <v>981</v>
      </c>
      <c r="C322" s="972">
        <v>0.15</v>
      </c>
      <c r="D322" s="972">
        <v>0.15</v>
      </c>
      <c r="E322" s="972">
        <v>0.15</v>
      </c>
      <c r="F322" s="973">
        <v>0.15</v>
      </c>
    </row>
    <row r="323" spans="1:6" ht="15" thickBot="1">
      <c r="A323" s="773" t="s">
        <v>976</v>
      </c>
      <c r="B323" s="767" t="s">
        <v>982</v>
      </c>
      <c r="C323" s="972">
        <v>0.15</v>
      </c>
      <c r="D323" s="972">
        <v>0.15</v>
      </c>
      <c r="E323" s="972">
        <v>0.15</v>
      </c>
      <c r="F323" s="984"/>
    </row>
    <row r="324" spans="1:6" ht="15" thickBot="1">
      <c r="A324" s="773" t="s">
        <v>976</v>
      </c>
      <c r="B324" s="767" t="s">
        <v>983</v>
      </c>
      <c r="C324" s="972">
        <v>0.15</v>
      </c>
      <c r="D324" s="972">
        <v>0.15</v>
      </c>
      <c r="E324" s="972">
        <v>0.15</v>
      </c>
      <c r="F324" s="984"/>
    </row>
    <row r="325" spans="1:6" ht="15" thickBot="1">
      <c r="A325" s="773" t="s">
        <v>976</v>
      </c>
      <c r="B325" s="767" t="s">
        <v>984</v>
      </c>
      <c r="C325" s="972">
        <v>0.15</v>
      </c>
      <c r="D325" s="972">
        <v>0.15</v>
      </c>
      <c r="E325" s="972">
        <v>0.15</v>
      </c>
      <c r="F325" s="973">
        <v>0.14699999999999999</v>
      </c>
    </row>
    <row r="326" spans="1:6" ht="15" thickBot="1">
      <c r="A326" s="773" t="s">
        <v>976</v>
      </c>
      <c r="B326" s="767" t="s">
        <v>290</v>
      </c>
      <c r="C326" s="972">
        <v>0.15</v>
      </c>
      <c r="D326" s="972">
        <v>0.15</v>
      </c>
      <c r="E326" s="972">
        <v>0.15</v>
      </c>
      <c r="F326" s="984"/>
    </row>
    <row r="327" spans="1:6" ht="15" thickBot="1">
      <c r="A327" s="773" t="s">
        <v>976</v>
      </c>
      <c r="B327" s="767" t="s">
        <v>985</v>
      </c>
      <c r="C327" s="972">
        <v>0.15</v>
      </c>
      <c r="D327" s="972">
        <v>0.15</v>
      </c>
      <c r="E327" s="972">
        <v>0.15</v>
      </c>
      <c r="F327" s="973">
        <v>0.15</v>
      </c>
    </row>
    <row r="328" spans="1:6" ht="15" thickBot="1">
      <c r="A328" s="773" t="s">
        <v>976</v>
      </c>
      <c r="B328" s="767" t="s">
        <v>310</v>
      </c>
      <c r="C328" s="972">
        <v>0.15</v>
      </c>
      <c r="D328" s="972">
        <v>0.15</v>
      </c>
      <c r="E328" s="972">
        <v>0.15</v>
      </c>
      <c r="F328" s="973">
        <v>0.14099999999999999</v>
      </c>
    </row>
    <row r="329" spans="1:6" ht="15" thickBot="1">
      <c r="A329" s="773" t="s">
        <v>976</v>
      </c>
      <c r="B329" s="767" t="s">
        <v>320</v>
      </c>
      <c r="C329" s="972">
        <v>0.15</v>
      </c>
      <c r="D329" s="972">
        <v>0.15</v>
      </c>
      <c r="E329" s="972">
        <v>0.15</v>
      </c>
      <c r="F329" s="973">
        <v>0.15</v>
      </c>
    </row>
    <row r="330" spans="1:6" ht="15" thickBot="1">
      <c r="A330" s="773" t="s">
        <v>976</v>
      </c>
      <c r="B330" s="767" t="s">
        <v>331</v>
      </c>
      <c r="C330" s="972">
        <v>0.15</v>
      </c>
      <c r="D330" s="972">
        <v>0.15</v>
      </c>
      <c r="E330" s="972">
        <v>0.15</v>
      </c>
      <c r="F330" s="984"/>
    </row>
    <row r="331" spans="1:6" ht="15" thickBot="1">
      <c r="A331" s="773" t="s">
        <v>976</v>
      </c>
      <c r="B331" s="767" t="s">
        <v>986</v>
      </c>
      <c r="C331" s="972">
        <v>0.15</v>
      </c>
      <c r="D331" s="972">
        <v>0.15</v>
      </c>
      <c r="E331" s="972">
        <v>0.15</v>
      </c>
      <c r="F331" s="973">
        <v>0.15</v>
      </c>
    </row>
    <row r="332" spans="1:6" ht="15" thickBot="1">
      <c r="A332" s="773" t="s">
        <v>976</v>
      </c>
      <c r="B332" s="767" t="s">
        <v>352</v>
      </c>
      <c r="C332" s="972">
        <v>0.15</v>
      </c>
      <c r="D332" s="972">
        <v>0.15</v>
      </c>
      <c r="E332" s="972">
        <v>0.15</v>
      </c>
      <c r="F332" s="973">
        <v>0.15</v>
      </c>
    </row>
    <row r="333" spans="1:6" ht="15" thickBot="1">
      <c r="A333" s="773" t="s">
        <v>976</v>
      </c>
      <c r="B333" s="767" t="s">
        <v>987</v>
      </c>
      <c r="C333" s="972">
        <v>0.15</v>
      </c>
      <c r="D333" s="972">
        <v>0.15</v>
      </c>
      <c r="E333" s="972">
        <v>0.15</v>
      </c>
      <c r="F333" s="973">
        <v>0.14099999999999999</v>
      </c>
    </row>
    <row r="334" spans="1:6" ht="15" thickBot="1">
      <c r="A334" s="773" t="s">
        <v>976</v>
      </c>
      <c r="B334" s="767" t="s">
        <v>372</v>
      </c>
      <c r="C334" s="972">
        <v>0.15</v>
      </c>
      <c r="D334" s="972">
        <v>0.15</v>
      </c>
      <c r="E334" s="972">
        <v>0.15</v>
      </c>
      <c r="F334" s="973">
        <v>0.15</v>
      </c>
    </row>
    <row r="335" spans="1:6" ht="15" thickBot="1">
      <c r="A335" s="773" t="s">
        <v>976</v>
      </c>
      <c r="B335" s="767" t="s">
        <v>382</v>
      </c>
      <c r="C335" s="972">
        <v>0.15</v>
      </c>
      <c r="D335" s="972">
        <v>0.15</v>
      </c>
      <c r="E335" s="972">
        <v>0.15</v>
      </c>
      <c r="F335" s="984"/>
    </row>
    <row r="336" spans="1:6" ht="15" thickBot="1">
      <c r="A336" s="773" t="s">
        <v>976</v>
      </c>
      <c r="B336" s="767" t="s">
        <v>988</v>
      </c>
      <c r="C336" s="972">
        <v>0.15</v>
      </c>
      <c r="D336" s="972">
        <v>0.15</v>
      </c>
      <c r="E336" s="972">
        <v>0.15</v>
      </c>
      <c r="F336" s="973">
        <v>0.11799999999999999</v>
      </c>
    </row>
    <row r="337" spans="1:6" ht="15" thickBot="1">
      <c r="A337" s="783" t="s">
        <v>976</v>
      </c>
      <c r="B337" s="779" t="s">
        <v>400</v>
      </c>
      <c r="C337" s="982"/>
      <c r="D337" s="982"/>
      <c r="E337" s="982"/>
      <c r="F337" s="975">
        <v>0.14299999999999999</v>
      </c>
    </row>
    <row r="338" spans="1:6" ht="15" thickBot="1">
      <c r="A338" s="773" t="s">
        <v>989</v>
      </c>
      <c r="B338" s="774" t="s">
        <v>990</v>
      </c>
      <c r="C338" s="970">
        <v>0.15</v>
      </c>
      <c r="D338" s="970">
        <v>0.15</v>
      </c>
      <c r="E338" s="970">
        <v>0.15</v>
      </c>
      <c r="F338" s="987"/>
    </row>
    <row r="339" spans="1:6" ht="15" thickBot="1">
      <c r="A339" s="773" t="s">
        <v>989</v>
      </c>
      <c r="B339" s="767" t="s">
        <v>991</v>
      </c>
      <c r="C339" s="972">
        <v>0.15</v>
      </c>
      <c r="D339" s="972">
        <v>0.15</v>
      </c>
      <c r="E339" s="972">
        <v>0.15</v>
      </c>
      <c r="F339" s="984"/>
    </row>
    <row r="340" spans="1:6" ht="15" thickBot="1">
      <c r="A340" s="773" t="s">
        <v>989</v>
      </c>
      <c r="B340" s="767" t="s">
        <v>992</v>
      </c>
      <c r="C340" s="972">
        <v>0.15</v>
      </c>
      <c r="D340" s="972">
        <v>0.15</v>
      </c>
      <c r="E340" s="972">
        <v>0.15</v>
      </c>
      <c r="F340" s="984"/>
    </row>
    <row r="341" spans="1:6" ht="15" thickBot="1">
      <c r="A341" s="773" t="s">
        <v>989</v>
      </c>
      <c r="B341" s="767" t="s">
        <v>993</v>
      </c>
      <c r="C341" s="972">
        <v>0.15</v>
      </c>
      <c r="D341" s="972">
        <v>0.15</v>
      </c>
      <c r="E341" s="972">
        <v>0.15</v>
      </c>
      <c r="F341" s="973">
        <v>0.15</v>
      </c>
    </row>
    <row r="342" spans="1:6" ht="15" thickBot="1">
      <c r="A342" s="773" t="s">
        <v>989</v>
      </c>
      <c r="B342" s="767" t="s">
        <v>994</v>
      </c>
      <c r="C342" s="972">
        <v>0.15</v>
      </c>
      <c r="D342" s="972">
        <v>0.15</v>
      </c>
      <c r="E342" s="972">
        <v>0.15</v>
      </c>
      <c r="F342" s="973">
        <v>0.15</v>
      </c>
    </row>
    <row r="343" spans="1:6" ht="15" thickBot="1">
      <c r="A343" s="773" t="s">
        <v>989</v>
      </c>
      <c r="B343" s="767" t="s">
        <v>995</v>
      </c>
      <c r="C343" s="972">
        <v>0.15</v>
      </c>
      <c r="D343" s="972">
        <v>0.15</v>
      </c>
      <c r="E343" s="972">
        <v>0.15</v>
      </c>
      <c r="F343" s="973">
        <v>0.15</v>
      </c>
    </row>
    <row r="344" spans="1:6" ht="1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3" customWidth="1"/>
    <col min="2" max="2" width="13.21875" style="1409" customWidth="1"/>
    <col min="3" max="3" width="15.6640625" style="1409" customWidth="1"/>
    <col min="4" max="4" width="9.33203125" style="1409" bestFit="1" customWidth="1"/>
    <col min="5" max="5" width="13.44140625" style="1409" customWidth="1"/>
    <col min="6" max="6" width="9" style="1409"/>
    <col min="7" max="7" width="9.33203125" style="1409" bestFit="1" customWidth="1"/>
    <col min="8" max="8" width="12.21875" style="1409" customWidth="1"/>
    <col min="9" max="9" width="9" style="1409"/>
    <col min="10" max="10" width="9.33203125" style="1409" bestFit="1" customWidth="1"/>
    <col min="11" max="11" width="4" style="1403" customWidth="1"/>
    <col min="12" max="12" width="5.109375" style="1409" customWidth="1"/>
    <col min="13" max="13" width="13.77734375" style="1409" customWidth="1"/>
    <col min="14" max="256" width="9" style="1409"/>
    <col min="257" max="257" width="4.88671875" style="1400" customWidth="1"/>
    <col min="258" max="258" width="13.21875" style="1400" customWidth="1"/>
    <col min="259" max="259" width="15.6640625" style="1400" customWidth="1"/>
    <col min="260" max="260" width="9.33203125" style="1400" bestFit="1" customWidth="1"/>
    <col min="261" max="261" width="13.44140625" style="1400" customWidth="1"/>
    <col min="262" max="262" width="9" style="1400"/>
    <col min="263" max="263" width="9.33203125" style="1400" bestFit="1" customWidth="1"/>
    <col min="264" max="265" width="9" style="1400"/>
    <col min="266" max="266" width="9.33203125" style="1400" bestFit="1" customWidth="1"/>
    <col min="267" max="267" width="4" style="1400" customWidth="1"/>
    <col min="268" max="268" width="5.109375" style="1400" customWidth="1"/>
    <col min="269" max="269" width="13.77734375" style="1400" customWidth="1"/>
    <col min="270" max="512" width="9" style="1400"/>
    <col min="513" max="513" width="4.88671875" style="1400" customWidth="1"/>
    <col min="514" max="514" width="13.21875" style="1400" customWidth="1"/>
    <col min="515" max="515" width="15.6640625" style="1400" customWidth="1"/>
    <col min="516" max="516" width="9.33203125" style="1400" bestFit="1" customWidth="1"/>
    <col min="517" max="517" width="13.44140625" style="1400" customWidth="1"/>
    <col min="518" max="518" width="9" style="1400"/>
    <col min="519" max="519" width="9.33203125" style="1400" bestFit="1" customWidth="1"/>
    <col min="520" max="521" width="9" style="1400"/>
    <col min="522" max="522" width="9.33203125" style="1400" bestFit="1" customWidth="1"/>
    <col min="523" max="523" width="4" style="1400" customWidth="1"/>
    <col min="524" max="524" width="5.109375" style="1400" customWidth="1"/>
    <col min="525" max="525" width="13.77734375" style="1400" customWidth="1"/>
    <col min="526" max="768" width="9" style="1400"/>
    <col min="769" max="769" width="4.88671875" style="1400" customWidth="1"/>
    <col min="770" max="770" width="13.21875" style="1400" customWidth="1"/>
    <col min="771" max="771" width="15.6640625" style="1400" customWidth="1"/>
    <col min="772" max="772" width="9.33203125" style="1400" bestFit="1" customWidth="1"/>
    <col min="773" max="773" width="13.44140625" style="1400" customWidth="1"/>
    <col min="774" max="774" width="9" style="1400"/>
    <col min="775" max="775" width="9.33203125" style="1400" bestFit="1" customWidth="1"/>
    <col min="776" max="777" width="9" style="1400"/>
    <col min="778" max="778" width="9.33203125" style="1400" bestFit="1" customWidth="1"/>
    <col min="779" max="779" width="4" style="1400" customWidth="1"/>
    <col min="780" max="780" width="5.109375" style="1400" customWidth="1"/>
    <col min="781" max="781" width="13.77734375" style="1400" customWidth="1"/>
    <col min="782" max="1024" width="9" style="1400"/>
    <col min="1025" max="1025" width="4.88671875" style="1400" customWidth="1"/>
    <col min="1026" max="1026" width="13.21875" style="1400" customWidth="1"/>
    <col min="1027" max="1027" width="15.6640625" style="1400" customWidth="1"/>
    <col min="1028" max="1028" width="9.33203125" style="1400" bestFit="1" customWidth="1"/>
    <col min="1029" max="1029" width="13.44140625" style="1400" customWidth="1"/>
    <col min="1030" max="1030" width="9" style="1400"/>
    <col min="1031" max="1031" width="9.33203125" style="1400" bestFit="1" customWidth="1"/>
    <col min="1032" max="1033" width="9" style="1400"/>
    <col min="1034" max="1034" width="9.33203125" style="1400" bestFit="1" customWidth="1"/>
    <col min="1035" max="1035" width="4" style="1400" customWidth="1"/>
    <col min="1036" max="1036" width="5.109375" style="1400" customWidth="1"/>
    <col min="1037" max="1037" width="13.77734375" style="1400" customWidth="1"/>
    <col min="1038" max="1280" width="9" style="1400"/>
    <col min="1281" max="1281" width="4.88671875" style="1400" customWidth="1"/>
    <col min="1282" max="1282" width="13.21875" style="1400" customWidth="1"/>
    <col min="1283" max="1283" width="15.6640625" style="1400" customWidth="1"/>
    <col min="1284" max="1284" width="9.33203125" style="1400" bestFit="1" customWidth="1"/>
    <col min="1285" max="1285" width="13.44140625" style="1400" customWidth="1"/>
    <col min="1286" max="1286" width="9" style="1400"/>
    <col min="1287" max="1287" width="9.33203125" style="1400" bestFit="1" customWidth="1"/>
    <col min="1288" max="1289" width="9" style="1400"/>
    <col min="1290" max="1290" width="9.33203125" style="1400" bestFit="1" customWidth="1"/>
    <col min="1291" max="1291" width="4" style="1400" customWidth="1"/>
    <col min="1292" max="1292" width="5.109375" style="1400" customWidth="1"/>
    <col min="1293" max="1293" width="13.77734375" style="1400" customWidth="1"/>
    <col min="1294" max="1536" width="9" style="1400"/>
    <col min="1537" max="1537" width="4.88671875" style="1400" customWidth="1"/>
    <col min="1538" max="1538" width="13.21875" style="1400" customWidth="1"/>
    <col min="1539" max="1539" width="15.6640625" style="1400" customWidth="1"/>
    <col min="1540" max="1540" width="9.33203125" style="1400" bestFit="1" customWidth="1"/>
    <col min="1541" max="1541" width="13.44140625" style="1400" customWidth="1"/>
    <col min="1542" max="1542" width="9" style="1400"/>
    <col min="1543" max="1543" width="9.33203125" style="1400" bestFit="1" customWidth="1"/>
    <col min="1544" max="1545" width="9" style="1400"/>
    <col min="1546" max="1546" width="9.33203125" style="1400" bestFit="1" customWidth="1"/>
    <col min="1547" max="1547" width="4" style="1400" customWidth="1"/>
    <col min="1548" max="1548" width="5.109375" style="1400" customWidth="1"/>
    <col min="1549" max="1549" width="13.77734375" style="1400" customWidth="1"/>
    <col min="1550" max="1792" width="9" style="1400"/>
    <col min="1793" max="1793" width="4.88671875" style="1400" customWidth="1"/>
    <col min="1794" max="1794" width="13.21875" style="1400" customWidth="1"/>
    <col min="1795" max="1795" width="15.6640625" style="1400" customWidth="1"/>
    <col min="1796" max="1796" width="9.33203125" style="1400" bestFit="1" customWidth="1"/>
    <col min="1797" max="1797" width="13.44140625" style="1400" customWidth="1"/>
    <col min="1798" max="1798" width="9" style="1400"/>
    <col min="1799" max="1799" width="9.33203125" style="1400" bestFit="1" customWidth="1"/>
    <col min="1800" max="1801" width="9" style="1400"/>
    <col min="1802" max="1802" width="9.33203125" style="1400" bestFit="1" customWidth="1"/>
    <col min="1803" max="1803" width="4" style="1400" customWidth="1"/>
    <col min="1804" max="1804" width="5.109375" style="1400" customWidth="1"/>
    <col min="1805" max="1805" width="13.77734375" style="1400" customWidth="1"/>
    <col min="1806" max="2048" width="9" style="1400"/>
    <col min="2049" max="2049" width="4.88671875" style="1400" customWidth="1"/>
    <col min="2050" max="2050" width="13.21875" style="1400" customWidth="1"/>
    <col min="2051" max="2051" width="15.6640625" style="1400" customWidth="1"/>
    <col min="2052" max="2052" width="9.33203125" style="1400" bestFit="1" customWidth="1"/>
    <col min="2053" max="2053" width="13.44140625" style="1400" customWidth="1"/>
    <col min="2054" max="2054" width="9" style="1400"/>
    <col min="2055" max="2055" width="9.33203125" style="1400" bestFit="1" customWidth="1"/>
    <col min="2056" max="2057" width="9" style="1400"/>
    <col min="2058" max="2058" width="9.33203125" style="1400" bestFit="1" customWidth="1"/>
    <col min="2059" max="2059" width="4" style="1400" customWidth="1"/>
    <col min="2060" max="2060" width="5.109375" style="1400" customWidth="1"/>
    <col min="2061" max="2061" width="13.77734375" style="1400" customWidth="1"/>
    <col min="2062" max="2304" width="9" style="1400"/>
    <col min="2305" max="2305" width="4.88671875" style="1400" customWidth="1"/>
    <col min="2306" max="2306" width="13.21875" style="1400" customWidth="1"/>
    <col min="2307" max="2307" width="15.6640625" style="1400" customWidth="1"/>
    <col min="2308" max="2308" width="9.33203125" style="1400" bestFit="1" customWidth="1"/>
    <col min="2309" max="2309" width="13.44140625" style="1400" customWidth="1"/>
    <col min="2310" max="2310" width="9" style="1400"/>
    <col min="2311" max="2311" width="9.33203125" style="1400" bestFit="1" customWidth="1"/>
    <col min="2312" max="2313" width="9" style="1400"/>
    <col min="2314" max="2314" width="9.33203125" style="1400" bestFit="1" customWidth="1"/>
    <col min="2315" max="2315" width="4" style="1400" customWidth="1"/>
    <col min="2316" max="2316" width="5.109375" style="1400" customWidth="1"/>
    <col min="2317" max="2317" width="13.77734375" style="1400" customWidth="1"/>
    <col min="2318" max="2560" width="9" style="1400"/>
    <col min="2561" max="2561" width="4.88671875" style="1400" customWidth="1"/>
    <col min="2562" max="2562" width="13.21875" style="1400" customWidth="1"/>
    <col min="2563" max="2563" width="15.6640625" style="1400" customWidth="1"/>
    <col min="2564" max="2564" width="9.33203125" style="1400" bestFit="1" customWidth="1"/>
    <col min="2565" max="2565" width="13.44140625" style="1400" customWidth="1"/>
    <col min="2566" max="2566" width="9" style="1400"/>
    <col min="2567" max="2567" width="9.33203125" style="1400" bestFit="1" customWidth="1"/>
    <col min="2568" max="2569" width="9" style="1400"/>
    <col min="2570" max="2570" width="9.33203125" style="1400" bestFit="1" customWidth="1"/>
    <col min="2571" max="2571" width="4" style="1400" customWidth="1"/>
    <col min="2572" max="2572" width="5.109375" style="1400" customWidth="1"/>
    <col min="2573" max="2573" width="13.77734375" style="1400" customWidth="1"/>
    <col min="2574" max="2816" width="9" style="1400"/>
    <col min="2817" max="2817" width="4.88671875" style="1400" customWidth="1"/>
    <col min="2818" max="2818" width="13.21875" style="1400" customWidth="1"/>
    <col min="2819" max="2819" width="15.6640625" style="1400" customWidth="1"/>
    <col min="2820" max="2820" width="9.33203125" style="1400" bestFit="1" customWidth="1"/>
    <col min="2821" max="2821" width="13.44140625" style="1400" customWidth="1"/>
    <col min="2822" max="2822" width="9" style="1400"/>
    <col min="2823" max="2823" width="9.33203125" style="1400" bestFit="1" customWidth="1"/>
    <col min="2824" max="2825" width="9" style="1400"/>
    <col min="2826" max="2826" width="9.33203125" style="1400" bestFit="1" customWidth="1"/>
    <col min="2827" max="2827" width="4" style="1400" customWidth="1"/>
    <col min="2828" max="2828" width="5.109375" style="1400" customWidth="1"/>
    <col min="2829" max="2829" width="13.77734375" style="1400" customWidth="1"/>
    <col min="2830" max="3072" width="9" style="1400"/>
    <col min="3073" max="3073" width="4.88671875" style="1400" customWidth="1"/>
    <col min="3074" max="3074" width="13.21875" style="1400" customWidth="1"/>
    <col min="3075" max="3075" width="15.6640625" style="1400" customWidth="1"/>
    <col min="3076" max="3076" width="9.33203125" style="1400" bestFit="1" customWidth="1"/>
    <col min="3077" max="3077" width="13.44140625" style="1400" customWidth="1"/>
    <col min="3078" max="3078" width="9" style="1400"/>
    <col min="3079" max="3079" width="9.33203125" style="1400" bestFit="1" customWidth="1"/>
    <col min="3080" max="3081" width="9" style="1400"/>
    <col min="3082" max="3082" width="9.33203125" style="1400" bestFit="1" customWidth="1"/>
    <col min="3083" max="3083" width="4" style="1400" customWidth="1"/>
    <col min="3084" max="3084" width="5.109375" style="1400" customWidth="1"/>
    <col min="3085" max="3085" width="13.77734375" style="1400" customWidth="1"/>
    <col min="3086" max="3328" width="9" style="1400"/>
    <col min="3329" max="3329" width="4.88671875" style="1400" customWidth="1"/>
    <col min="3330" max="3330" width="13.21875" style="1400" customWidth="1"/>
    <col min="3331" max="3331" width="15.6640625" style="1400" customWidth="1"/>
    <col min="3332" max="3332" width="9.33203125" style="1400" bestFit="1" customWidth="1"/>
    <col min="3333" max="3333" width="13.44140625" style="1400" customWidth="1"/>
    <col min="3334" max="3334" width="9" style="1400"/>
    <col min="3335" max="3335" width="9.33203125" style="1400" bestFit="1" customWidth="1"/>
    <col min="3336" max="3337" width="9" style="1400"/>
    <col min="3338" max="3338" width="9.33203125" style="1400" bestFit="1" customWidth="1"/>
    <col min="3339" max="3339" width="4" style="1400" customWidth="1"/>
    <col min="3340" max="3340" width="5.109375" style="1400" customWidth="1"/>
    <col min="3341" max="3341" width="13.77734375" style="1400" customWidth="1"/>
    <col min="3342" max="3584" width="9" style="1400"/>
    <col min="3585" max="3585" width="4.88671875" style="1400" customWidth="1"/>
    <col min="3586" max="3586" width="13.21875" style="1400" customWidth="1"/>
    <col min="3587" max="3587" width="15.6640625" style="1400" customWidth="1"/>
    <col min="3588" max="3588" width="9.33203125" style="1400" bestFit="1" customWidth="1"/>
    <col min="3589" max="3589" width="13.44140625" style="1400" customWidth="1"/>
    <col min="3590" max="3590" width="9" style="1400"/>
    <col min="3591" max="3591" width="9.33203125" style="1400" bestFit="1" customWidth="1"/>
    <col min="3592" max="3593" width="9" style="1400"/>
    <col min="3594" max="3594" width="9.33203125" style="1400" bestFit="1" customWidth="1"/>
    <col min="3595" max="3595" width="4" style="1400" customWidth="1"/>
    <col min="3596" max="3596" width="5.109375" style="1400" customWidth="1"/>
    <col min="3597" max="3597" width="13.77734375" style="1400" customWidth="1"/>
    <col min="3598" max="3840" width="9" style="1400"/>
    <col min="3841" max="3841" width="4.88671875" style="1400" customWidth="1"/>
    <col min="3842" max="3842" width="13.21875" style="1400" customWidth="1"/>
    <col min="3843" max="3843" width="15.6640625" style="1400" customWidth="1"/>
    <col min="3844" max="3844" width="9.33203125" style="1400" bestFit="1" customWidth="1"/>
    <col min="3845" max="3845" width="13.44140625" style="1400" customWidth="1"/>
    <col min="3846" max="3846" width="9" style="1400"/>
    <col min="3847" max="3847" width="9.33203125" style="1400" bestFit="1" customWidth="1"/>
    <col min="3848" max="3849" width="9" style="1400"/>
    <col min="3850" max="3850" width="9.33203125" style="1400" bestFit="1" customWidth="1"/>
    <col min="3851" max="3851" width="4" style="1400" customWidth="1"/>
    <col min="3852" max="3852" width="5.109375" style="1400" customWidth="1"/>
    <col min="3853" max="3853" width="13.77734375" style="1400" customWidth="1"/>
    <col min="3854" max="4096" width="9" style="1400"/>
    <col min="4097" max="4097" width="4.88671875" style="1400" customWidth="1"/>
    <col min="4098" max="4098" width="13.21875" style="1400" customWidth="1"/>
    <col min="4099" max="4099" width="15.6640625" style="1400" customWidth="1"/>
    <col min="4100" max="4100" width="9.33203125" style="1400" bestFit="1" customWidth="1"/>
    <col min="4101" max="4101" width="13.44140625" style="1400" customWidth="1"/>
    <col min="4102" max="4102" width="9" style="1400"/>
    <col min="4103" max="4103" width="9.33203125" style="1400" bestFit="1" customWidth="1"/>
    <col min="4104" max="4105" width="9" style="1400"/>
    <col min="4106" max="4106" width="9.33203125" style="1400" bestFit="1" customWidth="1"/>
    <col min="4107" max="4107" width="4" style="1400" customWidth="1"/>
    <col min="4108" max="4108" width="5.109375" style="1400" customWidth="1"/>
    <col min="4109" max="4109" width="13.77734375" style="1400" customWidth="1"/>
    <col min="4110" max="4352" width="9" style="1400"/>
    <col min="4353" max="4353" width="4.88671875" style="1400" customWidth="1"/>
    <col min="4354" max="4354" width="13.21875" style="1400" customWidth="1"/>
    <col min="4355" max="4355" width="15.6640625" style="1400" customWidth="1"/>
    <col min="4356" max="4356" width="9.33203125" style="1400" bestFit="1" customWidth="1"/>
    <col min="4357" max="4357" width="13.44140625" style="1400" customWidth="1"/>
    <col min="4358" max="4358" width="9" style="1400"/>
    <col min="4359" max="4359" width="9.33203125" style="1400" bestFit="1" customWidth="1"/>
    <col min="4360" max="4361" width="9" style="1400"/>
    <col min="4362" max="4362" width="9.33203125" style="1400" bestFit="1" customWidth="1"/>
    <col min="4363" max="4363" width="4" style="1400" customWidth="1"/>
    <col min="4364" max="4364" width="5.109375" style="1400" customWidth="1"/>
    <col min="4365" max="4365" width="13.77734375" style="1400" customWidth="1"/>
    <col min="4366" max="4608" width="9" style="1400"/>
    <col min="4609" max="4609" width="4.88671875" style="1400" customWidth="1"/>
    <col min="4610" max="4610" width="13.21875" style="1400" customWidth="1"/>
    <col min="4611" max="4611" width="15.6640625" style="1400" customWidth="1"/>
    <col min="4612" max="4612" width="9.33203125" style="1400" bestFit="1" customWidth="1"/>
    <col min="4613" max="4613" width="13.44140625" style="1400" customWidth="1"/>
    <col min="4614" max="4614" width="9" style="1400"/>
    <col min="4615" max="4615" width="9.33203125" style="1400" bestFit="1" customWidth="1"/>
    <col min="4616" max="4617" width="9" style="1400"/>
    <col min="4618" max="4618" width="9.33203125" style="1400" bestFit="1" customWidth="1"/>
    <col min="4619" max="4619" width="4" style="1400" customWidth="1"/>
    <col min="4620" max="4620" width="5.109375" style="1400" customWidth="1"/>
    <col min="4621" max="4621" width="13.77734375" style="1400" customWidth="1"/>
    <col min="4622" max="4864" width="9" style="1400"/>
    <col min="4865" max="4865" width="4.88671875" style="1400" customWidth="1"/>
    <col min="4866" max="4866" width="13.21875" style="1400" customWidth="1"/>
    <col min="4867" max="4867" width="15.6640625" style="1400" customWidth="1"/>
    <col min="4868" max="4868" width="9.33203125" style="1400" bestFit="1" customWidth="1"/>
    <col min="4869" max="4869" width="13.44140625" style="1400" customWidth="1"/>
    <col min="4870" max="4870" width="9" style="1400"/>
    <col min="4871" max="4871" width="9.33203125" style="1400" bestFit="1" customWidth="1"/>
    <col min="4872" max="4873" width="9" style="1400"/>
    <col min="4874" max="4874" width="9.33203125" style="1400" bestFit="1" customWidth="1"/>
    <col min="4875" max="4875" width="4" style="1400" customWidth="1"/>
    <col min="4876" max="4876" width="5.109375" style="1400" customWidth="1"/>
    <col min="4877" max="4877" width="13.77734375" style="1400" customWidth="1"/>
    <col min="4878" max="5120" width="9" style="1400"/>
    <col min="5121" max="5121" width="4.88671875" style="1400" customWidth="1"/>
    <col min="5122" max="5122" width="13.21875" style="1400" customWidth="1"/>
    <col min="5123" max="5123" width="15.6640625" style="1400" customWidth="1"/>
    <col min="5124" max="5124" width="9.33203125" style="1400" bestFit="1" customWidth="1"/>
    <col min="5125" max="5125" width="13.44140625" style="1400" customWidth="1"/>
    <col min="5126" max="5126" width="9" style="1400"/>
    <col min="5127" max="5127" width="9.33203125" style="1400" bestFit="1" customWidth="1"/>
    <col min="5128" max="5129" width="9" style="1400"/>
    <col min="5130" max="5130" width="9.33203125" style="1400" bestFit="1" customWidth="1"/>
    <col min="5131" max="5131" width="4" style="1400" customWidth="1"/>
    <col min="5132" max="5132" width="5.109375" style="1400" customWidth="1"/>
    <col min="5133" max="5133" width="13.77734375" style="1400" customWidth="1"/>
    <col min="5134" max="5376" width="9" style="1400"/>
    <col min="5377" max="5377" width="4.88671875" style="1400" customWidth="1"/>
    <col min="5378" max="5378" width="13.21875" style="1400" customWidth="1"/>
    <col min="5379" max="5379" width="15.6640625" style="1400" customWidth="1"/>
    <col min="5380" max="5380" width="9.33203125" style="1400" bestFit="1" customWidth="1"/>
    <col min="5381" max="5381" width="13.44140625" style="1400" customWidth="1"/>
    <col min="5382" max="5382" width="9" style="1400"/>
    <col min="5383" max="5383" width="9.33203125" style="1400" bestFit="1" customWidth="1"/>
    <col min="5384" max="5385" width="9" style="1400"/>
    <col min="5386" max="5386" width="9.33203125" style="1400" bestFit="1" customWidth="1"/>
    <col min="5387" max="5387" width="4" style="1400" customWidth="1"/>
    <col min="5388" max="5388" width="5.109375" style="1400" customWidth="1"/>
    <col min="5389" max="5389" width="13.77734375" style="1400" customWidth="1"/>
    <col min="5390" max="5632" width="9" style="1400"/>
    <col min="5633" max="5633" width="4.88671875" style="1400" customWidth="1"/>
    <col min="5634" max="5634" width="13.21875" style="1400" customWidth="1"/>
    <col min="5635" max="5635" width="15.6640625" style="1400" customWidth="1"/>
    <col min="5636" max="5636" width="9.33203125" style="1400" bestFit="1" customWidth="1"/>
    <col min="5637" max="5637" width="13.44140625" style="1400" customWidth="1"/>
    <col min="5638" max="5638" width="9" style="1400"/>
    <col min="5639" max="5639" width="9.33203125" style="1400" bestFit="1" customWidth="1"/>
    <col min="5640" max="5641" width="9" style="1400"/>
    <col min="5642" max="5642" width="9.33203125" style="1400" bestFit="1" customWidth="1"/>
    <col min="5643" max="5643" width="4" style="1400" customWidth="1"/>
    <col min="5644" max="5644" width="5.109375" style="1400" customWidth="1"/>
    <col min="5645" max="5645" width="13.77734375" style="1400" customWidth="1"/>
    <col min="5646" max="5888" width="9" style="1400"/>
    <col min="5889" max="5889" width="4.88671875" style="1400" customWidth="1"/>
    <col min="5890" max="5890" width="13.21875" style="1400" customWidth="1"/>
    <col min="5891" max="5891" width="15.6640625" style="1400" customWidth="1"/>
    <col min="5892" max="5892" width="9.33203125" style="1400" bestFit="1" customWidth="1"/>
    <col min="5893" max="5893" width="13.44140625" style="1400" customWidth="1"/>
    <col min="5894" max="5894" width="9" style="1400"/>
    <col min="5895" max="5895" width="9.33203125" style="1400" bestFit="1" customWidth="1"/>
    <col min="5896" max="5897" width="9" style="1400"/>
    <col min="5898" max="5898" width="9.33203125" style="1400" bestFit="1" customWidth="1"/>
    <col min="5899" max="5899" width="4" style="1400" customWidth="1"/>
    <col min="5900" max="5900" width="5.109375" style="1400" customWidth="1"/>
    <col min="5901" max="5901" width="13.77734375" style="1400" customWidth="1"/>
    <col min="5902" max="6144" width="9" style="1400"/>
    <col min="6145" max="6145" width="4.88671875" style="1400" customWidth="1"/>
    <col min="6146" max="6146" width="13.21875" style="1400" customWidth="1"/>
    <col min="6147" max="6147" width="15.6640625" style="1400" customWidth="1"/>
    <col min="6148" max="6148" width="9.33203125" style="1400" bestFit="1" customWidth="1"/>
    <col min="6149" max="6149" width="13.44140625" style="1400" customWidth="1"/>
    <col min="6150" max="6150" width="9" style="1400"/>
    <col min="6151" max="6151" width="9.33203125" style="1400" bestFit="1" customWidth="1"/>
    <col min="6152" max="6153" width="9" style="1400"/>
    <col min="6154" max="6154" width="9.33203125" style="1400" bestFit="1" customWidth="1"/>
    <col min="6155" max="6155" width="4" style="1400" customWidth="1"/>
    <col min="6156" max="6156" width="5.109375" style="1400" customWidth="1"/>
    <col min="6157" max="6157" width="13.77734375" style="1400" customWidth="1"/>
    <col min="6158" max="6400" width="9" style="1400"/>
    <col min="6401" max="6401" width="4.88671875" style="1400" customWidth="1"/>
    <col min="6402" max="6402" width="13.21875" style="1400" customWidth="1"/>
    <col min="6403" max="6403" width="15.6640625" style="1400" customWidth="1"/>
    <col min="6404" max="6404" width="9.33203125" style="1400" bestFit="1" customWidth="1"/>
    <col min="6405" max="6405" width="13.44140625" style="1400" customWidth="1"/>
    <col min="6406" max="6406" width="9" style="1400"/>
    <col min="6407" max="6407" width="9.33203125" style="1400" bestFit="1" customWidth="1"/>
    <col min="6408" max="6409" width="9" style="1400"/>
    <col min="6410" max="6410" width="9.33203125" style="1400" bestFit="1" customWidth="1"/>
    <col min="6411" max="6411" width="4" style="1400" customWidth="1"/>
    <col min="6412" max="6412" width="5.109375" style="1400" customWidth="1"/>
    <col min="6413" max="6413" width="13.77734375" style="1400" customWidth="1"/>
    <col min="6414" max="6656" width="9" style="1400"/>
    <col min="6657" max="6657" width="4.88671875" style="1400" customWidth="1"/>
    <col min="6658" max="6658" width="13.21875" style="1400" customWidth="1"/>
    <col min="6659" max="6659" width="15.6640625" style="1400" customWidth="1"/>
    <col min="6660" max="6660" width="9.33203125" style="1400" bestFit="1" customWidth="1"/>
    <col min="6661" max="6661" width="13.44140625" style="1400" customWidth="1"/>
    <col min="6662" max="6662" width="9" style="1400"/>
    <col min="6663" max="6663" width="9.33203125" style="1400" bestFit="1" customWidth="1"/>
    <col min="6664" max="6665" width="9" style="1400"/>
    <col min="6666" max="6666" width="9.33203125" style="1400" bestFit="1" customWidth="1"/>
    <col min="6667" max="6667" width="4" style="1400" customWidth="1"/>
    <col min="6668" max="6668" width="5.109375" style="1400" customWidth="1"/>
    <col min="6669" max="6669" width="13.77734375" style="1400" customWidth="1"/>
    <col min="6670" max="6912" width="9" style="1400"/>
    <col min="6913" max="6913" width="4.88671875" style="1400" customWidth="1"/>
    <col min="6914" max="6914" width="13.21875" style="1400" customWidth="1"/>
    <col min="6915" max="6915" width="15.6640625" style="1400" customWidth="1"/>
    <col min="6916" max="6916" width="9.33203125" style="1400" bestFit="1" customWidth="1"/>
    <col min="6917" max="6917" width="13.44140625" style="1400" customWidth="1"/>
    <col min="6918" max="6918" width="9" style="1400"/>
    <col min="6919" max="6919" width="9.33203125" style="1400" bestFit="1" customWidth="1"/>
    <col min="6920" max="6921" width="9" style="1400"/>
    <col min="6922" max="6922" width="9.33203125" style="1400" bestFit="1" customWidth="1"/>
    <col min="6923" max="6923" width="4" style="1400" customWidth="1"/>
    <col min="6924" max="6924" width="5.109375" style="1400" customWidth="1"/>
    <col min="6925" max="6925" width="13.77734375" style="1400" customWidth="1"/>
    <col min="6926" max="7168" width="9" style="1400"/>
    <col min="7169" max="7169" width="4.88671875" style="1400" customWidth="1"/>
    <col min="7170" max="7170" width="13.21875" style="1400" customWidth="1"/>
    <col min="7171" max="7171" width="15.6640625" style="1400" customWidth="1"/>
    <col min="7172" max="7172" width="9.33203125" style="1400" bestFit="1" customWidth="1"/>
    <col min="7173" max="7173" width="13.44140625" style="1400" customWidth="1"/>
    <col min="7174" max="7174" width="9" style="1400"/>
    <col min="7175" max="7175" width="9.33203125" style="1400" bestFit="1" customWidth="1"/>
    <col min="7176" max="7177" width="9" style="1400"/>
    <col min="7178" max="7178" width="9.33203125" style="1400" bestFit="1" customWidth="1"/>
    <col min="7179" max="7179" width="4" style="1400" customWidth="1"/>
    <col min="7180" max="7180" width="5.109375" style="1400" customWidth="1"/>
    <col min="7181" max="7181" width="13.77734375" style="1400" customWidth="1"/>
    <col min="7182" max="7424" width="9" style="1400"/>
    <col min="7425" max="7425" width="4.88671875" style="1400" customWidth="1"/>
    <col min="7426" max="7426" width="13.21875" style="1400" customWidth="1"/>
    <col min="7427" max="7427" width="15.6640625" style="1400" customWidth="1"/>
    <col min="7428" max="7428" width="9.33203125" style="1400" bestFit="1" customWidth="1"/>
    <col min="7429" max="7429" width="13.44140625" style="1400" customWidth="1"/>
    <col min="7430" max="7430" width="9" style="1400"/>
    <col min="7431" max="7431" width="9.33203125" style="1400" bestFit="1" customWidth="1"/>
    <col min="7432" max="7433" width="9" style="1400"/>
    <col min="7434" max="7434" width="9.33203125" style="1400" bestFit="1" customWidth="1"/>
    <col min="7435" max="7435" width="4" style="1400" customWidth="1"/>
    <col min="7436" max="7436" width="5.109375" style="1400" customWidth="1"/>
    <col min="7437" max="7437" width="13.77734375" style="1400" customWidth="1"/>
    <col min="7438" max="7680" width="9" style="1400"/>
    <col min="7681" max="7681" width="4.88671875" style="1400" customWidth="1"/>
    <col min="7682" max="7682" width="13.21875" style="1400" customWidth="1"/>
    <col min="7683" max="7683" width="15.6640625" style="1400" customWidth="1"/>
    <col min="7684" max="7684" width="9.33203125" style="1400" bestFit="1" customWidth="1"/>
    <col min="7685" max="7685" width="13.44140625" style="1400" customWidth="1"/>
    <col min="7686" max="7686" width="9" style="1400"/>
    <col min="7687" max="7687" width="9.33203125" style="1400" bestFit="1" customWidth="1"/>
    <col min="7688" max="7689" width="9" style="1400"/>
    <col min="7690" max="7690" width="9.33203125" style="1400" bestFit="1" customWidth="1"/>
    <col min="7691" max="7691" width="4" style="1400" customWidth="1"/>
    <col min="7692" max="7692" width="5.109375" style="1400" customWidth="1"/>
    <col min="7693" max="7693" width="13.77734375" style="1400" customWidth="1"/>
    <col min="7694" max="7936" width="9" style="1400"/>
    <col min="7937" max="7937" width="4.88671875" style="1400" customWidth="1"/>
    <col min="7938" max="7938" width="13.21875" style="1400" customWidth="1"/>
    <col min="7939" max="7939" width="15.6640625" style="1400" customWidth="1"/>
    <col min="7940" max="7940" width="9.33203125" style="1400" bestFit="1" customWidth="1"/>
    <col min="7941" max="7941" width="13.44140625" style="1400" customWidth="1"/>
    <col min="7942" max="7942" width="9" style="1400"/>
    <col min="7943" max="7943" width="9.33203125" style="1400" bestFit="1" customWidth="1"/>
    <col min="7944" max="7945" width="9" style="1400"/>
    <col min="7946" max="7946" width="9.33203125" style="1400" bestFit="1" customWidth="1"/>
    <col min="7947" max="7947" width="4" style="1400" customWidth="1"/>
    <col min="7948" max="7948" width="5.109375" style="1400" customWidth="1"/>
    <col min="7949" max="7949" width="13.77734375" style="1400" customWidth="1"/>
    <col min="7950" max="8192" width="9" style="1400"/>
    <col min="8193" max="8193" width="4.88671875" style="1400" customWidth="1"/>
    <col min="8194" max="8194" width="13.21875" style="1400" customWidth="1"/>
    <col min="8195" max="8195" width="15.6640625" style="1400" customWidth="1"/>
    <col min="8196" max="8196" width="9.33203125" style="1400" bestFit="1" customWidth="1"/>
    <col min="8197" max="8197" width="13.44140625" style="1400" customWidth="1"/>
    <col min="8198" max="8198" width="9" style="1400"/>
    <col min="8199" max="8199" width="9.33203125" style="1400" bestFit="1" customWidth="1"/>
    <col min="8200" max="8201" width="9" style="1400"/>
    <col min="8202" max="8202" width="9.33203125" style="1400" bestFit="1" customWidth="1"/>
    <col min="8203" max="8203" width="4" style="1400" customWidth="1"/>
    <col min="8204" max="8204" width="5.109375" style="1400" customWidth="1"/>
    <col min="8205" max="8205" width="13.77734375" style="1400" customWidth="1"/>
    <col min="8206" max="8448" width="9" style="1400"/>
    <col min="8449" max="8449" width="4.88671875" style="1400" customWidth="1"/>
    <col min="8450" max="8450" width="13.21875" style="1400" customWidth="1"/>
    <col min="8451" max="8451" width="15.6640625" style="1400" customWidth="1"/>
    <col min="8452" max="8452" width="9.33203125" style="1400" bestFit="1" customWidth="1"/>
    <col min="8453" max="8453" width="13.44140625" style="1400" customWidth="1"/>
    <col min="8454" max="8454" width="9" style="1400"/>
    <col min="8455" max="8455" width="9.33203125" style="1400" bestFit="1" customWidth="1"/>
    <col min="8456" max="8457" width="9" style="1400"/>
    <col min="8458" max="8458" width="9.33203125" style="1400" bestFit="1" customWidth="1"/>
    <col min="8459" max="8459" width="4" style="1400" customWidth="1"/>
    <col min="8460" max="8460" width="5.109375" style="1400" customWidth="1"/>
    <col min="8461" max="8461" width="13.77734375" style="1400" customWidth="1"/>
    <col min="8462" max="8704" width="9" style="1400"/>
    <col min="8705" max="8705" width="4.88671875" style="1400" customWidth="1"/>
    <col min="8706" max="8706" width="13.21875" style="1400" customWidth="1"/>
    <col min="8707" max="8707" width="15.6640625" style="1400" customWidth="1"/>
    <col min="8708" max="8708" width="9.33203125" style="1400" bestFit="1" customWidth="1"/>
    <col min="8709" max="8709" width="13.44140625" style="1400" customWidth="1"/>
    <col min="8710" max="8710" width="9" style="1400"/>
    <col min="8711" max="8711" width="9.33203125" style="1400" bestFit="1" customWidth="1"/>
    <col min="8712" max="8713" width="9" style="1400"/>
    <col min="8714" max="8714" width="9.33203125" style="1400" bestFit="1" customWidth="1"/>
    <col min="8715" max="8715" width="4" style="1400" customWidth="1"/>
    <col min="8716" max="8716" width="5.109375" style="1400" customWidth="1"/>
    <col min="8717" max="8717" width="13.77734375" style="1400" customWidth="1"/>
    <col min="8718" max="8960" width="9" style="1400"/>
    <col min="8961" max="8961" width="4.88671875" style="1400" customWidth="1"/>
    <col min="8962" max="8962" width="13.21875" style="1400" customWidth="1"/>
    <col min="8963" max="8963" width="15.6640625" style="1400" customWidth="1"/>
    <col min="8964" max="8964" width="9.33203125" style="1400" bestFit="1" customWidth="1"/>
    <col min="8965" max="8965" width="13.44140625" style="1400" customWidth="1"/>
    <col min="8966" max="8966" width="9" style="1400"/>
    <col min="8967" max="8967" width="9.33203125" style="1400" bestFit="1" customWidth="1"/>
    <col min="8968" max="8969" width="9" style="1400"/>
    <col min="8970" max="8970" width="9.33203125" style="1400" bestFit="1" customWidth="1"/>
    <col min="8971" max="8971" width="4" style="1400" customWidth="1"/>
    <col min="8972" max="8972" width="5.109375" style="1400" customWidth="1"/>
    <col min="8973" max="8973" width="13.77734375" style="1400" customWidth="1"/>
    <col min="8974" max="9216" width="9" style="1400"/>
    <col min="9217" max="9217" width="4.88671875" style="1400" customWidth="1"/>
    <col min="9218" max="9218" width="13.21875" style="1400" customWidth="1"/>
    <col min="9219" max="9219" width="15.6640625" style="1400" customWidth="1"/>
    <col min="9220" max="9220" width="9.33203125" style="1400" bestFit="1" customWidth="1"/>
    <col min="9221" max="9221" width="13.44140625" style="1400" customWidth="1"/>
    <col min="9222" max="9222" width="9" style="1400"/>
    <col min="9223" max="9223" width="9.33203125" style="1400" bestFit="1" customWidth="1"/>
    <col min="9224" max="9225" width="9" style="1400"/>
    <col min="9226" max="9226" width="9.33203125" style="1400" bestFit="1" customWidth="1"/>
    <col min="9227" max="9227" width="4" style="1400" customWidth="1"/>
    <col min="9228" max="9228" width="5.109375" style="1400" customWidth="1"/>
    <col min="9229" max="9229" width="13.77734375" style="1400" customWidth="1"/>
    <col min="9230" max="9472" width="9" style="1400"/>
    <col min="9473" max="9473" width="4.88671875" style="1400" customWidth="1"/>
    <col min="9474" max="9474" width="13.21875" style="1400" customWidth="1"/>
    <col min="9475" max="9475" width="15.6640625" style="1400" customWidth="1"/>
    <col min="9476" max="9476" width="9.33203125" style="1400" bestFit="1" customWidth="1"/>
    <col min="9477" max="9477" width="13.44140625" style="1400" customWidth="1"/>
    <col min="9478" max="9478" width="9" style="1400"/>
    <col min="9479" max="9479" width="9.33203125" style="1400" bestFit="1" customWidth="1"/>
    <col min="9480" max="9481" width="9" style="1400"/>
    <col min="9482" max="9482" width="9.33203125" style="1400" bestFit="1" customWidth="1"/>
    <col min="9483" max="9483" width="4" style="1400" customWidth="1"/>
    <col min="9484" max="9484" width="5.109375" style="1400" customWidth="1"/>
    <col min="9485" max="9485" width="13.77734375" style="1400" customWidth="1"/>
    <col min="9486" max="9728" width="9" style="1400"/>
    <col min="9729" max="9729" width="4.88671875" style="1400" customWidth="1"/>
    <col min="9730" max="9730" width="13.21875" style="1400" customWidth="1"/>
    <col min="9731" max="9731" width="15.6640625" style="1400" customWidth="1"/>
    <col min="9732" max="9732" width="9.33203125" style="1400" bestFit="1" customWidth="1"/>
    <col min="9733" max="9733" width="13.44140625" style="1400" customWidth="1"/>
    <col min="9734" max="9734" width="9" style="1400"/>
    <col min="9735" max="9735" width="9.33203125" style="1400" bestFit="1" customWidth="1"/>
    <col min="9736" max="9737" width="9" style="1400"/>
    <col min="9738" max="9738" width="9.33203125" style="1400" bestFit="1" customWidth="1"/>
    <col min="9739" max="9739" width="4" style="1400" customWidth="1"/>
    <col min="9740" max="9740" width="5.109375" style="1400" customWidth="1"/>
    <col min="9741" max="9741" width="13.77734375" style="1400" customWidth="1"/>
    <col min="9742" max="9984" width="9" style="1400"/>
    <col min="9985" max="9985" width="4.88671875" style="1400" customWidth="1"/>
    <col min="9986" max="9986" width="13.21875" style="1400" customWidth="1"/>
    <col min="9987" max="9987" width="15.6640625" style="1400" customWidth="1"/>
    <col min="9988" max="9988" width="9.33203125" style="1400" bestFit="1" customWidth="1"/>
    <col min="9989" max="9989" width="13.44140625" style="1400" customWidth="1"/>
    <col min="9990" max="9990" width="9" style="1400"/>
    <col min="9991" max="9991" width="9.33203125" style="1400" bestFit="1" customWidth="1"/>
    <col min="9992" max="9993" width="9" style="1400"/>
    <col min="9994" max="9994" width="9.33203125" style="1400" bestFit="1" customWidth="1"/>
    <col min="9995" max="9995" width="4" style="1400" customWidth="1"/>
    <col min="9996" max="9996" width="5.109375" style="1400" customWidth="1"/>
    <col min="9997" max="9997" width="13.77734375" style="1400" customWidth="1"/>
    <col min="9998" max="10240" width="9" style="1400"/>
    <col min="10241" max="10241" width="4.88671875" style="1400" customWidth="1"/>
    <col min="10242" max="10242" width="13.21875" style="1400" customWidth="1"/>
    <col min="10243" max="10243" width="15.6640625" style="1400" customWidth="1"/>
    <col min="10244" max="10244" width="9.33203125" style="1400" bestFit="1" customWidth="1"/>
    <col min="10245" max="10245" width="13.44140625" style="1400" customWidth="1"/>
    <col min="10246" max="10246" width="9" style="1400"/>
    <col min="10247" max="10247" width="9.33203125" style="1400" bestFit="1" customWidth="1"/>
    <col min="10248" max="10249" width="9" style="1400"/>
    <col min="10250" max="10250" width="9.33203125" style="1400" bestFit="1" customWidth="1"/>
    <col min="10251" max="10251" width="4" style="1400" customWidth="1"/>
    <col min="10252" max="10252" width="5.109375" style="1400" customWidth="1"/>
    <col min="10253" max="10253" width="13.77734375" style="1400" customWidth="1"/>
    <col min="10254" max="10496" width="9" style="1400"/>
    <col min="10497" max="10497" width="4.88671875" style="1400" customWidth="1"/>
    <col min="10498" max="10498" width="13.21875" style="1400" customWidth="1"/>
    <col min="10499" max="10499" width="15.6640625" style="1400" customWidth="1"/>
    <col min="10500" max="10500" width="9.33203125" style="1400" bestFit="1" customWidth="1"/>
    <col min="10501" max="10501" width="13.44140625" style="1400" customWidth="1"/>
    <col min="10502" max="10502" width="9" style="1400"/>
    <col min="10503" max="10503" width="9.33203125" style="1400" bestFit="1" customWidth="1"/>
    <col min="10504" max="10505" width="9" style="1400"/>
    <col min="10506" max="10506" width="9.33203125" style="1400" bestFit="1" customWidth="1"/>
    <col min="10507" max="10507" width="4" style="1400" customWidth="1"/>
    <col min="10508" max="10508" width="5.109375" style="1400" customWidth="1"/>
    <col min="10509" max="10509" width="13.77734375" style="1400" customWidth="1"/>
    <col min="10510" max="10752" width="9" style="1400"/>
    <col min="10753" max="10753" width="4.88671875" style="1400" customWidth="1"/>
    <col min="10754" max="10754" width="13.21875" style="1400" customWidth="1"/>
    <col min="10755" max="10755" width="15.6640625" style="1400" customWidth="1"/>
    <col min="10756" max="10756" width="9.33203125" style="1400" bestFit="1" customWidth="1"/>
    <col min="10757" max="10757" width="13.44140625" style="1400" customWidth="1"/>
    <col min="10758" max="10758" width="9" style="1400"/>
    <col min="10759" max="10759" width="9.33203125" style="1400" bestFit="1" customWidth="1"/>
    <col min="10760" max="10761" width="9" style="1400"/>
    <col min="10762" max="10762" width="9.33203125" style="1400" bestFit="1" customWidth="1"/>
    <col min="10763" max="10763" width="4" style="1400" customWidth="1"/>
    <col min="10764" max="10764" width="5.109375" style="1400" customWidth="1"/>
    <col min="10765" max="10765" width="13.77734375" style="1400" customWidth="1"/>
    <col min="10766" max="11008" width="9" style="1400"/>
    <col min="11009" max="11009" width="4.88671875" style="1400" customWidth="1"/>
    <col min="11010" max="11010" width="13.21875" style="1400" customWidth="1"/>
    <col min="11011" max="11011" width="15.6640625" style="1400" customWidth="1"/>
    <col min="11012" max="11012" width="9.33203125" style="1400" bestFit="1" customWidth="1"/>
    <col min="11013" max="11013" width="13.44140625" style="1400" customWidth="1"/>
    <col min="11014" max="11014" width="9" style="1400"/>
    <col min="11015" max="11015" width="9.33203125" style="1400" bestFit="1" customWidth="1"/>
    <col min="11016" max="11017" width="9" style="1400"/>
    <col min="11018" max="11018" width="9.33203125" style="1400" bestFit="1" customWidth="1"/>
    <col min="11019" max="11019" width="4" style="1400" customWidth="1"/>
    <col min="11020" max="11020" width="5.109375" style="1400" customWidth="1"/>
    <col min="11021" max="11021" width="13.77734375" style="1400" customWidth="1"/>
    <col min="11022" max="11264" width="9" style="1400"/>
    <col min="11265" max="11265" width="4.88671875" style="1400" customWidth="1"/>
    <col min="11266" max="11266" width="13.21875" style="1400" customWidth="1"/>
    <col min="11267" max="11267" width="15.6640625" style="1400" customWidth="1"/>
    <col min="11268" max="11268" width="9.33203125" style="1400" bestFit="1" customWidth="1"/>
    <col min="11269" max="11269" width="13.44140625" style="1400" customWidth="1"/>
    <col min="11270" max="11270" width="9" style="1400"/>
    <col min="11271" max="11271" width="9.33203125" style="1400" bestFit="1" customWidth="1"/>
    <col min="11272" max="11273" width="9" style="1400"/>
    <col min="11274" max="11274" width="9.33203125" style="1400" bestFit="1" customWidth="1"/>
    <col min="11275" max="11275" width="4" style="1400" customWidth="1"/>
    <col min="11276" max="11276" width="5.109375" style="1400" customWidth="1"/>
    <col min="11277" max="11277" width="13.77734375" style="1400" customWidth="1"/>
    <col min="11278" max="11520" width="9" style="1400"/>
    <col min="11521" max="11521" width="4.88671875" style="1400" customWidth="1"/>
    <col min="11522" max="11522" width="13.21875" style="1400" customWidth="1"/>
    <col min="11523" max="11523" width="15.6640625" style="1400" customWidth="1"/>
    <col min="11524" max="11524" width="9.33203125" style="1400" bestFit="1" customWidth="1"/>
    <col min="11525" max="11525" width="13.44140625" style="1400" customWidth="1"/>
    <col min="11526" max="11526" width="9" style="1400"/>
    <col min="11527" max="11527" width="9.33203125" style="1400" bestFit="1" customWidth="1"/>
    <col min="11528" max="11529" width="9" style="1400"/>
    <col min="11530" max="11530" width="9.33203125" style="1400" bestFit="1" customWidth="1"/>
    <col min="11531" max="11531" width="4" style="1400" customWidth="1"/>
    <col min="11532" max="11532" width="5.109375" style="1400" customWidth="1"/>
    <col min="11533" max="11533" width="13.77734375" style="1400" customWidth="1"/>
    <col min="11534" max="11776" width="9" style="1400"/>
    <col min="11777" max="11777" width="4.88671875" style="1400" customWidth="1"/>
    <col min="11778" max="11778" width="13.21875" style="1400" customWidth="1"/>
    <col min="11779" max="11779" width="15.6640625" style="1400" customWidth="1"/>
    <col min="11780" max="11780" width="9.33203125" style="1400" bestFit="1" customWidth="1"/>
    <col min="11781" max="11781" width="13.44140625" style="1400" customWidth="1"/>
    <col min="11782" max="11782" width="9" style="1400"/>
    <col min="11783" max="11783" width="9.33203125" style="1400" bestFit="1" customWidth="1"/>
    <col min="11784" max="11785" width="9" style="1400"/>
    <col min="11786" max="11786" width="9.33203125" style="1400" bestFit="1" customWidth="1"/>
    <col min="11787" max="11787" width="4" style="1400" customWidth="1"/>
    <col min="11788" max="11788" width="5.109375" style="1400" customWidth="1"/>
    <col min="11789" max="11789" width="13.77734375" style="1400" customWidth="1"/>
    <col min="11790" max="12032" width="9" style="1400"/>
    <col min="12033" max="12033" width="4.88671875" style="1400" customWidth="1"/>
    <col min="12034" max="12034" width="13.21875" style="1400" customWidth="1"/>
    <col min="12035" max="12035" width="15.6640625" style="1400" customWidth="1"/>
    <col min="12036" max="12036" width="9.33203125" style="1400" bestFit="1" customWidth="1"/>
    <col min="12037" max="12037" width="13.44140625" style="1400" customWidth="1"/>
    <col min="12038" max="12038" width="9" style="1400"/>
    <col min="12039" max="12039" width="9.33203125" style="1400" bestFit="1" customWidth="1"/>
    <col min="12040" max="12041" width="9" style="1400"/>
    <col min="12042" max="12042" width="9.33203125" style="1400" bestFit="1" customWidth="1"/>
    <col min="12043" max="12043" width="4" style="1400" customWidth="1"/>
    <col min="12044" max="12044" width="5.109375" style="1400" customWidth="1"/>
    <col min="12045" max="12045" width="13.77734375" style="1400" customWidth="1"/>
    <col min="12046" max="12288" width="9" style="1400"/>
    <col min="12289" max="12289" width="4.88671875" style="1400" customWidth="1"/>
    <col min="12290" max="12290" width="13.21875" style="1400" customWidth="1"/>
    <col min="12291" max="12291" width="15.6640625" style="1400" customWidth="1"/>
    <col min="12292" max="12292" width="9.33203125" style="1400" bestFit="1" customWidth="1"/>
    <col min="12293" max="12293" width="13.44140625" style="1400" customWidth="1"/>
    <col min="12294" max="12294" width="9" style="1400"/>
    <col min="12295" max="12295" width="9.33203125" style="1400" bestFit="1" customWidth="1"/>
    <col min="12296" max="12297" width="9" style="1400"/>
    <col min="12298" max="12298" width="9.33203125" style="1400" bestFit="1" customWidth="1"/>
    <col min="12299" max="12299" width="4" style="1400" customWidth="1"/>
    <col min="12300" max="12300" width="5.109375" style="1400" customWidth="1"/>
    <col min="12301" max="12301" width="13.77734375" style="1400" customWidth="1"/>
    <col min="12302" max="12544" width="9" style="1400"/>
    <col min="12545" max="12545" width="4.88671875" style="1400" customWidth="1"/>
    <col min="12546" max="12546" width="13.21875" style="1400" customWidth="1"/>
    <col min="12547" max="12547" width="15.6640625" style="1400" customWidth="1"/>
    <col min="12548" max="12548" width="9.33203125" style="1400" bestFit="1" customWidth="1"/>
    <col min="12549" max="12549" width="13.44140625" style="1400" customWidth="1"/>
    <col min="12550" max="12550" width="9" style="1400"/>
    <col min="12551" max="12551" width="9.33203125" style="1400" bestFit="1" customWidth="1"/>
    <col min="12552" max="12553" width="9" style="1400"/>
    <col min="12554" max="12554" width="9.33203125" style="1400" bestFit="1" customWidth="1"/>
    <col min="12555" max="12555" width="4" style="1400" customWidth="1"/>
    <col min="12556" max="12556" width="5.109375" style="1400" customWidth="1"/>
    <col min="12557" max="12557" width="13.77734375" style="1400" customWidth="1"/>
    <col min="12558" max="12800" width="9" style="1400"/>
    <col min="12801" max="12801" width="4.88671875" style="1400" customWidth="1"/>
    <col min="12802" max="12802" width="13.21875" style="1400" customWidth="1"/>
    <col min="12803" max="12803" width="15.6640625" style="1400" customWidth="1"/>
    <col min="12804" max="12804" width="9.33203125" style="1400" bestFit="1" customWidth="1"/>
    <col min="12805" max="12805" width="13.44140625" style="1400" customWidth="1"/>
    <col min="12806" max="12806" width="9" style="1400"/>
    <col min="12807" max="12807" width="9.33203125" style="1400" bestFit="1" customWidth="1"/>
    <col min="12808" max="12809" width="9" style="1400"/>
    <col min="12810" max="12810" width="9.33203125" style="1400" bestFit="1" customWidth="1"/>
    <col min="12811" max="12811" width="4" style="1400" customWidth="1"/>
    <col min="12812" max="12812" width="5.109375" style="1400" customWidth="1"/>
    <col min="12813" max="12813" width="13.77734375" style="1400" customWidth="1"/>
    <col min="12814" max="13056" width="9" style="1400"/>
    <col min="13057" max="13057" width="4.88671875" style="1400" customWidth="1"/>
    <col min="13058" max="13058" width="13.21875" style="1400" customWidth="1"/>
    <col min="13059" max="13059" width="15.6640625" style="1400" customWidth="1"/>
    <col min="13060" max="13060" width="9.33203125" style="1400" bestFit="1" customWidth="1"/>
    <col min="13061" max="13061" width="13.44140625" style="1400" customWidth="1"/>
    <col min="13062" max="13062" width="9" style="1400"/>
    <col min="13063" max="13063" width="9.33203125" style="1400" bestFit="1" customWidth="1"/>
    <col min="13064" max="13065" width="9" style="1400"/>
    <col min="13066" max="13066" width="9.33203125" style="1400" bestFit="1" customWidth="1"/>
    <col min="13067" max="13067" width="4" style="1400" customWidth="1"/>
    <col min="13068" max="13068" width="5.109375" style="1400" customWidth="1"/>
    <col min="13069" max="13069" width="13.77734375" style="1400" customWidth="1"/>
    <col min="13070" max="13312" width="9" style="1400"/>
    <col min="13313" max="13313" width="4.88671875" style="1400" customWidth="1"/>
    <col min="13314" max="13314" width="13.21875" style="1400" customWidth="1"/>
    <col min="13315" max="13315" width="15.6640625" style="1400" customWidth="1"/>
    <col min="13316" max="13316" width="9.33203125" style="1400" bestFit="1" customWidth="1"/>
    <col min="13317" max="13317" width="13.44140625" style="1400" customWidth="1"/>
    <col min="13318" max="13318" width="9" style="1400"/>
    <col min="13319" max="13319" width="9.33203125" style="1400" bestFit="1" customWidth="1"/>
    <col min="13320" max="13321" width="9" style="1400"/>
    <col min="13322" max="13322" width="9.33203125" style="1400" bestFit="1" customWidth="1"/>
    <col min="13323" max="13323" width="4" style="1400" customWidth="1"/>
    <col min="13324" max="13324" width="5.109375" style="1400" customWidth="1"/>
    <col min="13325" max="13325" width="13.77734375" style="1400" customWidth="1"/>
    <col min="13326" max="13568" width="9" style="1400"/>
    <col min="13569" max="13569" width="4.88671875" style="1400" customWidth="1"/>
    <col min="13570" max="13570" width="13.21875" style="1400" customWidth="1"/>
    <col min="13571" max="13571" width="15.6640625" style="1400" customWidth="1"/>
    <col min="13572" max="13572" width="9.33203125" style="1400" bestFit="1" customWidth="1"/>
    <col min="13573" max="13573" width="13.44140625" style="1400" customWidth="1"/>
    <col min="13574" max="13574" width="9" style="1400"/>
    <col min="13575" max="13575" width="9.33203125" style="1400" bestFit="1" customWidth="1"/>
    <col min="13576" max="13577" width="9" style="1400"/>
    <col min="13578" max="13578" width="9.33203125" style="1400" bestFit="1" customWidth="1"/>
    <col min="13579" max="13579" width="4" style="1400" customWidth="1"/>
    <col min="13580" max="13580" width="5.109375" style="1400" customWidth="1"/>
    <col min="13581" max="13581" width="13.77734375" style="1400" customWidth="1"/>
    <col min="13582" max="13824" width="9" style="1400"/>
    <col min="13825" max="13825" width="4.88671875" style="1400" customWidth="1"/>
    <col min="13826" max="13826" width="13.21875" style="1400" customWidth="1"/>
    <col min="13827" max="13827" width="15.6640625" style="1400" customWidth="1"/>
    <col min="13828" max="13828" width="9.33203125" style="1400" bestFit="1" customWidth="1"/>
    <col min="13829" max="13829" width="13.44140625" style="1400" customWidth="1"/>
    <col min="13830" max="13830" width="9" style="1400"/>
    <col min="13831" max="13831" width="9.33203125" style="1400" bestFit="1" customWidth="1"/>
    <col min="13832" max="13833" width="9" style="1400"/>
    <col min="13834" max="13834" width="9.33203125" style="1400" bestFit="1" customWidth="1"/>
    <col min="13835" max="13835" width="4" style="1400" customWidth="1"/>
    <col min="13836" max="13836" width="5.109375" style="1400" customWidth="1"/>
    <col min="13837" max="13837" width="13.77734375" style="1400" customWidth="1"/>
    <col min="13838" max="14080" width="9" style="1400"/>
    <col min="14081" max="14081" width="4.88671875" style="1400" customWidth="1"/>
    <col min="14082" max="14082" width="13.21875" style="1400" customWidth="1"/>
    <col min="14083" max="14083" width="15.6640625" style="1400" customWidth="1"/>
    <col min="14084" max="14084" width="9.33203125" style="1400" bestFit="1" customWidth="1"/>
    <col min="14085" max="14085" width="13.44140625" style="1400" customWidth="1"/>
    <col min="14086" max="14086" width="9" style="1400"/>
    <col min="14087" max="14087" width="9.33203125" style="1400" bestFit="1" customWidth="1"/>
    <col min="14088" max="14089" width="9" style="1400"/>
    <col min="14090" max="14090" width="9.33203125" style="1400" bestFit="1" customWidth="1"/>
    <col min="14091" max="14091" width="4" style="1400" customWidth="1"/>
    <col min="14092" max="14092" width="5.109375" style="1400" customWidth="1"/>
    <col min="14093" max="14093" width="13.77734375" style="1400" customWidth="1"/>
    <col min="14094" max="14336" width="9" style="1400"/>
    <col min="14337" max="14337" width="4.88671875" style="1400" customWidth="1"/>
    <col min="14338" max="14338" width="13.21875" style="1400" customWidth="1"/>
    <col min="14339" max="14339" width="15.6640625" style="1400" customWidth="1"/>
    <col min="14340" max="14340" width="9.33203125" style="1400" bestFit="1" customWidth="1"/>
    <col min="14341" max="14341" width="13.44140625" style="1400" customWidth="1"/>
    <col min="14342" max="14342" width="9" style="1400"/>
    <col min="14343" max="14343" width="9.33203125" style="1400" bestFit="1" customWidth="1"/>
    <col min="14344" max="14345" width="9" style="1400"/>
    <col min="14346" max="14346" width="9.33203125" style="1400" bestFit="1" customWidth="1"/>
    <col min="14347" max="14347" width="4" style="1400" customWidth="1"/>
    <col min="14348" max="14348" width="5.109375" style="1400" customWidth="1"/>
    <col min="14349" max="14349" width="13.77734375" style="1400" customWidth="1"/>
    <col min="14350" max="14592" width="9" style="1400"/>
    <col min="14593" max="14593" width="4.88671875" style="1400" customWidth="1"/>
    <col min="14594" max="14594" width="13.21875" style="1400" customWidth="1"/>
    <col min="14595" max="14595" width="15.6640625" style="1400" customWidth="1"/>
    <col min="14596" max="14596" width="9.33203125" style="1400" bestFit="1" customWidth="1"/>
    <col min="14597" max="14597" width="13.44140625" style="1400" customWidth="1"/>
    <col min="14598" max="14598" width="9" style="1400"/>
    <col min="14599" max="14599" width="9.33203125" style="1400" bestFit="1" customWidth="1"/>
    <col min="14600" max="14601" width="9" style="1400"/>
    <col min="14602" max="14602" width="9.33203125" style="1400" bestFit="1" customWidth="1"/>
    <col min="14603" max="14603" width="4" style="1400" customWidth="1"/>
    <col min="14604" max="14604" width="5.109375" style="1400" customWidth="1"/>
    <col min="14605" max="14605" width="13.77734375" style="1400" customWidth="1"/>
    <col min="14606" max="14848" width="9" style="1400"/>
    <col min="14849" max="14849" width="4.88671875" style="1400" customWidth="1"/>
    <col min="14850" max="14850" width="13.21875" style="1400" customWidth="1"/>
    <col min="14851" max="14851" width="15.6640625" style="1400" customWidth="1"/>
    <col min="14852" max="14852" width="9.33203125" style="1400" bestFit="1" customWidth="1"/>
    <col min="14853" max="14853" width="13.44140625" style="1400" customWidth="1"/>
    <col min="14854" max="14854" width="9" style="1400"/>
    <col min="14855" max="14855" width="9.33203125" style="1400" bestFit="1" customWidth="1"/>
    <col min="14856" max="14857" width="9" style="1400"/>
    <col min="14858" max="14858" width="9.33203125" style="1400" bestFit="1" customWidth="1"/>
    <col min="14859" max="14859" width="4" style="1400" customWidth="1"/>
    <col min="14860" max="14860" width="5.109375" style="1400" customWidth="1"/>
    <col min="14861" max="14861" width="13.77734375" style="1400" customWidth="1"/>
    <col min="14862" max="15104" width="9" style="1400"/>
    <col min="15105" max="15105" width="4.88671875" style="1400" customWidth="1"/>
    <col min="15106" max="15106" width="13.21875" style="1400" customWidth="1"/>
    <col min="15107" max="15107" width="15.6640625" style="1400" customWidth="1"/>
    <col min="15108" max="15108" width="9.33203125" style="1400" bestFit="1" customWidth="1"/>
    <col min="15109" max="15109" width="13.44140625" style="1400" customWidth="1"/>
    <col min="15110" max="15110" width="9" style="1400"/>
    <col min="15111" max="15111" width="9.33203125" style="1400" bestFit="1" customWidth="1"/>
    <col min="15112" max="15113" width="9" style="1400"/>
    <col min="15114" max="15114" width="9.33203125" style="1400" bestFit="1" customWidth="1"/>
    <col min="15115" max="15115" width="4" style="1400" customWidth="1"/>
    <col min="15116" max="15116" width="5.109375" style="1400" customWidth="1"/>
    <col min="15117" max="15117" width="13.77734375" style="1400" customWidth="1"/>
    <col min="15118" max="15360" width="9" style="1400"/>
    <col min="15361" max="15361" width="4.88671875" style="1400" customWidth="1"/>
    <col min="15362" max="15362" width="13.21875" style="1400" customWidth="1"/>
    <col min="15363" max="15363" width="15.6640625" style="1400" customWidth="1"/>
    <col min="15364" max="15364" width="9.33203125" style="1400" bestFit="1" customWidth="1"/>
    <col min="15365" max="15365" width="13.44140625" style="1400" customWidth="1"/>
    <col min="15366" max="15366" width="9" style="1400"/>
    <col min="15367" max="15367" width="9.33203125" style="1400" bestFit="1" customWidth="1"/>
    <col min="15368" max="15369" width="9" style="1400"/>
    <col min="15370" max="15370" width="9.33203125" style="1400" bestFit="1" customWidth="1"/>
    <col min="15371" max="15371" width="4" style="1400" customWidth="1"/>
    <col min="15372" max="15372" width="5.109375" style="1400" customWidth="1"/>
    <col min="15373" max="15373" width="13.77734375" style="1400" customWidth="1"/>
    <col min="15374" max="15616" width="9" style="1400"/>
    <col min="15617" max="15617" width="4.88671875" style="1400" customWidth="1"/>
    <col min="15618" max="15618" width="13.21875" style="1400" customWidth="1"/>
    <col min="15619" max="15619" width="15.6640625" style="1400" customWidth="1"/>
    <col min="15620" max="15620" width="9.33203125" style="1400" bestFit="1" customWidth="1"/>
    <col min="15621" max="15621" width="13.44140625" style="1400" customWidth="1"/>
    <col min="15622" max="15622" width="9" style="1400"/>
    <col min="15623" max="15623" width="9.33203125" style="1400" bestFit="1" customWidth="1"/>
    <col min="15624" max="15625" width="9" style="1400"/>
    <col min="15626" max="15626" width="9.33203125" style="1400" bestFit="1" customWidth="1"/>
    <col min="15627" max="15627" width="4" style="1400" customWidth="1"/>
    <col min="15628" max="15628" width="5.109375" style="1400" customWidth="1"/>
    <col min="15629" max="15629" width="13.77734375" style="1400" customWidth="1"/>
    <col min="15630" max="15872" width="9" style="1400"/>
    <col min="15873" max="15873" width="4.88671875" style="1400" customWidth="1"/>
    <col min="15874" max="15874" width="13.21875" style="1400" customWidth="1"/>
    <col min="15875" max="15875" width="15.6640625" style="1400" customWidth="1"/>
    <col min="15876" max="15876" width="9.33203125" style="1400" bestFit="1" customWidth="1"/>
    <col min="15877" max="15877" width="13.44140625" style="1400" customWidth="1"/>
    <col min="15878" max="15878" width="9" style="1400"/>
    <col min="15879" max="15879" width="9.33203125" style="1400" bestFit="1" customWidth="1"/>
    <col min="15880" max="15881" width="9" style="1400"/>
    <col min="15882" max="15882" width="9.33203125" style="1400" bestFit="1" customWidth="1"/>
    <col min="15883" max="15883" width="4" style="1400" customWidth="1"/>
    <col min="15884" max="15884" width="5.109375" style="1400" customWidth="1"/>
    <col min="15885" max="15885" width="13.77734375" style="1400" customWidth="1"/>
    <col min="15886" max="16128" width="9" style="1400"/>
    <col min="16129" max="16129" width="4.88671875" style="1400" customWidth="1"/>
    <col min="16130" max="16130" width="13.21875" style="1400" customWidth="1"/>
    <col min="16131" max="16131" width="15.6640625" style="1400" customWidth="1"/>
    <col min="16132" max="16132" width="9.33203125" style="1400" bestFit="1" customWidth="1"/>
    <col min="16133" max="16133" width="13.44140625" style="1400" customWidth="1"/>
    <col min="16134" max="16134" width="9" style="1400"/>
    <col min="16135" max="16135" width="9.33203125" style="1400" bestFit="1" customWidth="1"/>
    <col min="16136" max="16137" width="9" style="1400"/>
    <col min="16138" max="16138" width="9.33203125" style="1400" bestFit="1" customWidth="1"/>
    <col min="16139" max="16139" width="4" style="1400" customWidth="1"/>
    <col min="16140" max="16140" width="5.109375" style="1400" customWidth="1"/>
    <col min="16141" max="16141" width="13.77734375" style="1400" customWidth="1"/>
    <col min="16142" max="16384" width="9" style="1400"/>
  </cols>
  <sheetData>
    <row r="1" spans="1:257" s="1462" customFormat="1" ht="15" thickBot="1">
      <c r="A1" s="1456"/>
      <c r="B1" s="1463" t="s">
        <v>1267</v>
      </c>
      <c r="C1" s="1457">
        <f>项目基本情况!D3</f>
        <v>44397</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6"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399999999999999">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2">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31.2">
      <c r="A13" s="1445"/>
      <c r="B13" s="1446" t="s">
        <v>1297</v>
      </c>
      <c r="C13" s="3044">
        <v>43941</v>
      </c>
      <c r="D13" s="3045">
        <v>3.85</v>
      </c>
      <c r="E13" s="3045">
        <v>3.85</v>
      </c>
      <c r="F13" s="3045">
        <v>3.85</v>
      </c>
      <c r="G13" s="3045">
        <v>3.85</v>
      </c>
      <c r="H13" s="3045">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5.6">
      <c r="A14" s="1445"/>
      <c r="B14" s="3040"/>
      <c r="C14" s="3041">
        <v>43881</v>
      </c>
      <c r="D14" s="3040">
        <v>4.05</v>
      </c>
      <c r="E14" s="3040">
        <v>4.05</v>
      </c>
      <c r="F14" s="3040">
        <v>4.05</v>
      </c>
      <c r="G14" s="3040">
        <v>4.05</v>
      </c>
      <c r="H14" s="3040">
        <v>4.75</v>
      </c>
      <c r="I14" s="3040"/>
      <c r="J14" s="3040"/>
      <c r="L14" s="1451"/>
      <c r="M14" s="1452">
        <v>42242</v>
      </c>
      <c r="N14" s="1451">
        <v>0.35</v>
      </c>
      <c r="O14" s="1451">
        <v>1.35</v>
      </c>
      <c r="P14" s="1451">
        <v>1.55</v>
      </c>
      <c r="Q14" s="1451">
        <v>1.75</v>
      </c>
      <c r="R14" s="1451">
        <v>2.35</v>
      </c>
      <c r="S14" s="1451">
        <v>3</v>
      </c>
      <c r="T14" s="1451"/>
      <c r="U14" s="1451"/>
      <c r="V14" s="1451"/>
      <c r="W14" s="1451"/>
      <c r="X14" s="1451"/>
      <c r="Y14" s="1451"/>
      <c r="Z14" s="1451"/>
    </row>
    <row r="15" spans="1:257" ht="15.6">
      <c r="A15" s="1445"/>
      <c r="B15" s="3040"/>
      <c r="C15" s="3041">
        <v>43789</v>
      </c>
      <c r="D15" s="3040">
        <v>4.1500000000000004</v>
      </c>
      <c r="E15" s="3040">
        <v>4.1500000000000004</v>
      </c>
      <c r="F15" s="3040">
        <v>4.1500000000000004</v>
      </c>
      <c r="G15" s="3040">
        <v>4.1500000000000004</v>
      </c>
      <c r="H15" s="3040">
        <v>4.8</v>
      </c>
      <c r="I15" s="3040"/>
      <c r="J15" s="3040"/>
      <c r="L15" s="1451"/>
      <c r="M15" s="1452">
        <v>42183</v>
      </c>
      <c r="N15" s="1451">
        <v>0.35</v>
      </c>
      <c r="O15" s="1451">
        <v>1.6</v>
      </c>
      <c r="P15" s="1451">
        <v>1.8</v>
      </c>
      <c r="Q15" s="1451">
        <v>2</v>
      </c>
      <c r="R15" s="1451">
        <v>2.6</v>
      </c>
      <c r="S15" s="1451">
        <v>3.25</v>
      </c>
      <c r="T15" s="1451"/>
      <c r="U15" s="1451"/>
      <c r="V15" s="1451"/>
      <c r="W15" s="1451"/>
      <c r="X15" s="1451"/>
      <c r="Y15" s="1451"/>
      <c r="Z15" s="1451"/>
    </row>
    <row r="16" spans="1:257" ht="15.6">
      <c r="A16" s="1445"/>
      <c r="B16" s="3040"/>
      <c r="C16" s="3041">
        <v>43728</v>
      </c>
      <c r="D16" s="3040">
        <v>4.2</v>
      </c>
      <c r="E16" s="3040">
        <v>4.2</v>
      </c>
      <c r="F16" s="3040">
        <v>4.2</v>
      </c>
      <c r="G16" s="3040">
        <v>4.2</v>
      </c>
      <c r="H16" s="3040">
        <v>4.8499999999999996</v>
      </c>
      <c r="I16" s="3040"/>
      <c r="J16" s="3040"/>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5.6">
      <c r="A17" s="1445"/>
      <c r="B17" s="3039" t="s">
        <v>3052</v>
      </c>
      <c r="C17" s="3042">
        <v>43697</v>
      </c>
      <c r="D17" s="3043">
        <v>4.25</v>
      </c>
      <c r="E17" s="3043">
        <v>4.25</v>
      </c>
      <c r="F17" s="3043">
        <v>4.25</v>
      </c>
      <c r="G17" s="3043">
        <v>4.25</v>
      </c>
      <c r="H17" s="3043">
        <v>4.8499999999999996</v>
      </c>
      <c r="I17" s="3043"/>
      <c r="J17" s="3043"/>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51" customFormat="1" ht="16.8">
      <c r="A18" s="3046"/>
      <c r="B18" s="3047"/>
      <c r="C18" s="3048">
        <v>42301</v>
      </c>
      <c r="D18" s="3049">
        <v>4.3499999999999996</v>
      </c>
      <c r="E18" s="3049">
        <v>4.3499999999999996</v>
      </c>
      <c r="F18" s="3049">
        <v>4.75</v>
      </c>
      <c r="G18" s="3049">
        <v>4.75</v>
      </c>
      <c r="H18" s="3049">
        <v>4.9000000000000004</v>
      </c>
      <c r="I18" s="3049"/>
      <c r="J18" s="3049"/>
      <c r="K18" s="1439"/>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1" t="s">
        <v>1338</v>
      </c>
      <c r="E1" s="1505" t="s">
        <v>1342</v>
      </c>
      <c r="F1" s="1506" t="s">
        <v>1346</v>
      </c>
    </row>
    <row r="2" spans="1:13" ht="19.8">
      <c r="A2" s="1512" t="s">
        <v>1339</v>
      </c>
    </row>
    <row r="3" spans="1:13" ht="15.6">
      <c r="A3" s="1513" t="s">
        <v>1340</v>
      </c>
    </row>
    <row r="4" spans="1:13">
      <c r="A4" s="1503" t="s">
        <v>1341</v>
      </c>
      <c r="B4" s="1508" t="s">
        <v>1343</v>
      </c>
      <c r="C4" s="1509"/>
      <c r="D4" s="1510"/>
      <c r="E4" s="1508" t="s">
        <v>27</v>
      </c>
      <c r="F4" s="1509"/>
      <c r="G4" s="1510"/>
      <c r="H4" s="1508" t="s">
        <v>1344</v>
      </c>
      <c r="I4" s="1509"/>
      <c r="J4" s="1510"/>
      <c r="K4" s="1508" t="s">
        <v>6</v>
      </c>
      <c r="L4" s="1509"/>
      <c r="M4" s="1510"/>
    </row>
    <row r="5" spans="1:13">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zoomScale="80" zoomScaleNormal="80" workbookViewId="0">
      <selection activeCell="J8" sqref="J8"/>
    </sheetView>
  </sheetViews>
  <sheetFormatPr defaultRowHeight="12"/>
  <cols>
    <col min="1" max="1" width="38.44140625" style="3056" customWidth="1"/>
    <col min="2" max="2" width="6.21875" style="3056" hidden="1" customWidth="1"/>
    <col min="3" max="3" width="11.77734375" style="3056" hidden="1" customWidth="1"/>
    <col min="4" max="4" width="7.88671875" style="3056" customWidth="1"/>
    <col min="5" max="5" width="11" style="3056" customWidth="1"/>
    <col min="6" max="6" width="86.88671875" style="3056" hidden="1" customWidth="1"/>
    <col min="7" max="7" width="21.109375" style="3056" hidden="1" customWidth="1"/>
    <col min="8" max="9" width="13.88671875" style="3056" customWidth="1"/>
    <col min="10" max="10" width="16.88671875" style="3056" customWidth="1"/>
    <col min="11" max="11" width="7.88671875" style="3056" hidden="1" customWidth="1"/>
    <col min="12" max="12" width="28.6640625" style="3056" customWidth="1"/>
    <col min="13" max="14" width="7.88671875" style="3056" hidden="1" customWidth="1"/>
    <col min="15" max="15" width="11.21875" style="3056" hidden="1" customWidth="1"/>
    <col min="16" max="16" width="31.21875" style="3056" hidden="1" customWidth="1"/>
    <col min="17" max="17" width="9.6640625" style="3056" hidden="1" customWidth="1"/>
    <col min="18" max="19" width="15.44140625" style="3056" hidden="1" customWidth="1"/>
    <col min="20" max="20" width="12.88671875" style="3056" hidden="1" customWidth="1"/>
    <col min="21" max="22" width="11.21875" style="3056" customWidth="1"/>
    <col min="23" max="23" width="17.88671875" style="3056" hidden="1" customWidth="1"/>
    <col min="24" max="24" width="7.88671875" style="3056" hidden="1" customWidth="1"/>
    <col min="25" max="27" width="9" style="3056" hidden="1" customWidth="1"/>
    <col min="28" max="28" width="9" style="3056" customWidth="1"/>
    <col min="29" max="29" width="21.109375" style="3056" hidden="1" customWidth="1"/>
    <col min="30" max="30" width="7.88671875" style="3056" hidden="1" customWidth="1"/>
    <col min="31" max="31" width="26.33203125" style="3056" customWidth="1"/>
    <col min="32" max="32" width="30.109375" style="3056" hidden="1" customWidth="1"/>
    <col min="33" max="34" width="10.6640625" style="3056" hidden="1" customWidth="1"/>
    <col min="35" max="35" width="10.6640625" style="3056" customWidth="1"/>
    <col min="36" max="36" width="16" style="3056" hidden="1" customWidth="1"/>
    <col min="37" max="37" width="16" style="3056" customWidth="1"/>
    <col min="38" max="38" width="14.33203125" style="3056" hidden="1" customWidth="1"/>
    <col min="39" max="39" width="14.33203125" style="3056" customWidth="1"/>
    <col min="40" max="41" width="21.88671875" style="3056" hidden="1" customWidth="1"/>
    <col min="42" max="42" width="6.21875" style="3056" customWidth="1"/>
    <col min="43" max="43" width="23" style="3056" hidden="1" customWidth="1"/>
    <col min="44" max="44" width="16.88671875" style="3056" hidden="1" customWidth="1"/>
    <col min="45" max="46" width="20.109375" style="3056" hidden="1" customWidth="1"/>
    <col min="47" max="47" width="7.88671875" style="3056" hidden="1" customWidth="1"/>
    <col min="48" max="256" width="9" style="3056"/>
    <col min="257" max="257" width="101.6640625" style="3056" customWidth="1"/>
    <col min="258" max="258" width="6.21875" style="3056" customWidth="1"/>
    <col min="259" max="259" width="11.77734375" style="3056" customWidth="1"/>
    <col min="260" max="260" width="7.88671875" style="3056" customWidth="1"/>
    <col min="261" max="261" width="17.88671875" style="3056" customWidth="1"/>
    <col min="262" max="262" width="86.88671875" style="3056" customWidth="1"/>
    <col min="263" max="263" width="21.109375" style="3056" customWidth="1"/>
    <col min="264" max="265" width="13.88671875" style="3056" customWidth="1"/>
    <col min="266" max="266" width="36" style="3056" customWidth="1"/>
    <col min="267" max="267" width="7.88671875" style="3056" customWidth="1"/>
    <col min="268" max="268" width="65.77734375" style="3056" customWidth="1"/>
    <col min="269" max="270" width="7.88671875" style="3056" customWidth="1"/>
    <col min="271" max="271" width="11.21875" style="3056" customWidth="1"/>
    <col min="272" max="272" width="31.21875" style="3056" customWidth="1"/>
    <col min="273" max="273" width="9.6640625" style="3056" customWidth="1"/>
    <col min="274" max="275" width="15.44140625" style="3056" customWidth="1"/>
    <col min="276" max="276" width="12.88671875" style="3056" customWidth="1"/>
    <col min="277" max="278" width="11.21875" style="3056" customWidth="1"/>
    <col min="279" max="279" width="17.88671875" style="3056" customWidth="1"/>
    <col min="280" max="280" width="7.88671875" style="3056" customWidth="1"/>
    <col min="281" max="284" width="9" style="3056" customWidth="1"/>
    <col min="285" max="285" width="21.109375" style="3056" customWidth="1"/>
    <col min="286" max="286" width="7.88671875" style="3056" customWidth="1"/>
    <col min="287" max="287" width="145" style="3056" customWidth="1"/>
    <col min="288" max="288" width="55" style="3056" customWidth="1"/>
    <col min="289" max="291" width="10.6640625" style="3056" customWidth="1"/>
    <col min="292" max="293" width="16" style="3056" customWidth="1"/>
    <col min="294" max="295" width="14.33203125" style="3056" customWidth="1"/>
    <col min="296" max="297" width="21.88671875" style="3056" customWidth="1"/>
    <col min="298" max="298" width="6.21875" style="3056" customWidth="1"/>
    <col min="299" max="299" width="23" style="3056" customWidth="1"/>
    <col min="300" max="300" width="16.88671875" style="3056" customWidth="1"/>
    <col min="301" max="302" width="20.109375" style="3056" customWidth="1"/>
    <col min="303" max="303" width="7.88671875" style="3056" customWidth="1"/>
    <col min="304" max="512" width="9" style="3056"/>
    <col min="513" max="513" width="101.6640625" style="3056" customWidth="1"/>
    <col min="514" max="514" width="6.21875" style="3056" customWidth="1"/>
    <col min="515" max="515" width="11.77734375" style="3056" customWidth="1"/>
    <col min="516" max="516" width="7.88671875" style="3056" customWidth="1"/>
    <col min="517" max="517" width="17.88671875" style="3056" customWidth="1"/>
    <col min="518" max="518" width="86.88671875" style="3056" customWidth="1"/>
    <col min="519" max="519" width="21.109375" style="3056" customWidth="1"/>
    <col min="520" max="521" width="13.88671875" style="3056" customWidth="1"/>
    <col min="522" max="522" width="36" style="3056" customWidth="1"/>
    <col min="523" max="523" width="7.88671875" style="3056" customWidth="1"/>
    <col min="524" max="524" width="65.77734375" style="3056" customWidth="1"/>
    <col min="525" max="526" width="7.88671875" style="3056" customWidth="1"/>
    <col min="527" max="527" width="11.21875" style="3056" customWidth="1"/>
    <col min="528" max="528" width="31.21875" style="3056" customWidth="1"/>
    <col min="529" max="529" width="9.6640625" style="3056" customWidth="1"/>
    <col min="530" max="531" width="15.44140625" style="3056" customWidth="1"/>
    <col min="532" max="532" width="12.88671875" style="3056" customWidth="1"/>
    <col min="533" max="534" width="11.21875" style="3056" customWidth="1"/>
    <col min="535" max="535" width="17.88671875" style="3056" customWidth="1"/>
    <col min="536" max="536" width="7.88671875" style="3056" customWidth="1"/>
    <col min="537" max="540" width="9" style="3056" customWidth="1"/>
    <col min="541" max="541" width="21.109375" style="3056" customWidth="1"/>
    <col min="542" max="542" width="7.88671875" style="3056" customWidth="1"/>
    <col min="543" max="543" width="145" style="3056" customWidth="1"/>
    <col min="544" max="544" width="55" style="3056" customWidth="1"/>
    <col min="545" max="547" width="10.6640625" style="3056" customWidth="1"/>
    <col min="548" max="549" width="16" style="3056" customWidth="1"/>
    <col min="550" max="551" width="14.33203125" style="3056" customWidth="1"/>
    <col min="552" max="553" width="21.88671875" style="3056" customWidth="1"/>
    <col min="554" max="554" width="6.21875" style="3056" customWidth="1"/>
    <col min="555" max="555" width="23" style="3056" customWidth="1"/>
    <col min="556" max="556" width="16.88671875" style="3056" customWidth="1"/>
    <col min="557" max="558" width="20.109375" style="3056" customWidth="1"/>
    <col min="559" max="559" width="7.88671875" style="3056" customWidth="1"/>
    <col min="560" max="768" width="9" style="3056"/>
    <col min="769" max="769" width="101.6640625" style="3056" customWidth="1"/>
    <col min="770" max="770" width="6.21875" style="3056" customWidth="1"/>
    <col min="771" max="771" width="11.77734375" style="3056" customWidth="1"/>
    <col min="772" max="772" width="7.88671875" style="3056" customWidth="1"/>
    <col min="773" max="773" width="17.88671875" style="3056" customWidth="1"/>
    <col min="774" max="774" width="86.88671875" style="3056" customWidth="1"/>
    <col min="775" max="775" width="21.109375" style="3056" customWidth="1"/>
    <col min="776" max="777" width="13.88671875" style="3056" customWidth="1"/>
    <col min="778" max="778" width="36" style="3056" customWidth="1"/>
    <col min="779" max="779" width="7.88671875" style="3056" customWidth="1"/>
    <col min="780" max="780" width="65.77734375" style="3056" customWidth="1"/>
    <col min="781" max="782" width="7.88671875" style="3056" customWidth="1"/>
    <col min="783" max="783" width="11.21875" style="3056" customWidth="1"/>
    <col min="784" max="784" width="31.21875" style="3056" customWidth="1"/>
    <col min="785" max="785" width="9.6640625" style="3056" customWidth="1"/>
    <col min="786" max="787" width="15.44140625" style="3056" customWidth="1"/>
    <col min="788" max="788" width="12.88671875" style="3056" customWidth="1"/>
    <col min="789" max="790" width="11.21875" style="3056" customWidth="1"/>
    <col min="791" max="791" width="17.88671875" style="3056" customWidth="1"/>
    <col min="792" max="792" width="7.88671875" style="3056" customWidth="1"/>
    <col min="793" max="796" width="9" style="3056" customWidth="1"/>
    <col min="797" max="797" width="21.109375" style="3056" customWidth="1"/>
    <col min="798" max="798" width="7.88671875" style="3056" customWidth="1"/>
    <col min="799" max="799" width="145" style="3056" customWidth="1"/>
    <col min="800" max="800" width="55" style="3056" customWidth="1"/>
    <col min="801" max="803" width="10.6640625" style="3056" customWidth="1"/>
    <col min="804" max="805" width="16" style="3056" customWidth="1"/>
    <col min="806" max="807" width="14.33203125" style="3056" customWidth="1"/>
    <col min="808" max="809" width="21.88671875" style="3056" customWidth="1"/>
    <col min="810" max="810" width="6.21875" style="3056" customWidth="1"/>
    <col min="811" max="811" width="23" style="3056" customWidth="1"/>
    <col min="812" max="812" width="16.88671875" style="3056" customWidth="1"/>
    <col min="813" max="814" width="20.109375" style="3056" customWidth="1"/>
    <col min="815" max="815" width="7.88671875" style="3056" customWidth="1"/>
    <col min="816" max="1024" width="9" style="3056"/>
    <col min="1025" max="1025" width="101.6640625" style="3056" customWidth="1"/>
    <col min="1026" max="1026" width="6.21875" style="3056" customWidth="1"/>
    <col min="1027" max="1027" width="11.77734375" style="3056" customWidth="1"/>
    <col min="1028" max="1028" width="7.88671875" style="3056" customWidth="1"/>
    <col min="1029" max="1029" width="17.88671875" style="3056" customWidth="1"/>
    <col min="1030" max="1030" width="86.88671875" style="3056" customWidth="1"/>
    <col min="1031" max="1031" width="21.109375" style="3056" customWidth="1"/>
    <col min="1032" max="1033" width="13.88671875" style="3056" customWidth="1"/>
    <col min="1034" max="1034" width="36" style="3056" customWidth="1"/>
    <col min="1035" max="1035" width="7.88671875" style="3056" customWidth="1"/>
    <col min="1036" max="1036" width="65.77734375" style="3056" customWidth="1"/>
    <col min="1037" max="1038" width="7.88671875" style="3056" customWidth="1"/>
    <col min="1039" max="1039" width="11.21875" style="3056" customWidth="1"/>
    <col min="1040" max="1040" width="31.21875" style="3056" customWidth="1"/>
    <col min="1041" max="1041" width="9.6640625" style="3056" customWidth="1"/>
    <col min="1042" max="1043" width="15.44140625" style="3056" customWidth="1"/>
    <col min="1044" max="1044" width="12.88671875" style="3056" customWidth="1"/>
    <col min="1045" max="1046" width="11.21875" style="3056" customWidth="1"/>
    <col min="1047" max="1047" width="17.88671875" style="3056" customWidth="1"/>
    <col min="1048" max="1048" width="7.88671875" style="3056" customWidth="1"/>
    <col min="1049" max="1052" width="9" style="3056" customWidth="1"/>
    <col min="1053" max="1053" width="21.109375" style="3056" customWidth="1"/>
    <col min="1054" max="1054" width="7.88671875" style="3056" customWidth="1"/>
    <col min="1055" max="1055" width="145" style="3056" customWidth="1"/>
    <col min="1056" max="1056" width="55" style="3056" customWidth="1"/>
    <col min="1057" max="1059" width="10.6640625" style="3056" customWidth="1"/>
    <col min="1060" max="1061" width="16" style="3056" customWidth="1"/>
    <col min="1062" max="1063" width="14.33203125" style="3056" customWidth="1"/>
    <col min="1064" max="1065" width="21.88671875" style="3056" customWidth="1"/>
    <col min="1066" max="1066" width="6.21875" style="3056" customWidth="1"/>
    <col min="1067" max="1067" width="23" style="3056" customWidth="1"/>
    <col min="1068" max="1068" width="16.88671875" style="3056" customWidth="1"/>
    <col min="1069" max="1070" width="20.109375" style="3056" customWidth="1"/>
    <col min="1071" max="1071" width="7.88671875" style="3056" customWidth="1"/>
    <col min="1072" max="1280" width="9" style="3056"/>
    <col min="1281" max="1281" width="101.6640625" style="3056" customWidth="1"/>
    <col min="1282" max="1282" width="6.21875" style="3056" customWidth="1"/>
    <col min="1283" max="1283" width="11.77734375" style="3056" customWidth="1"/>
    <col min="1284" max="1284" width="7.88671875" style="3056" customWidth="1"/>
    <col min="1285" max="1285" width="17.88671875" style="3056" customWidth="1"/>
    <col min="1286" max="1286" width="86.88671875" style="3056" customWidth="1"/>
    <col min="1287" max="1287" width="21.109375" style="3056" customWidth="1"/>
    <col min="1288" max="1289" width="13.88671875" style="3056" customWidth="1"/>
    <col min="1290" max="1290" width="36" style="3056" customWidth="1"/>
    <col min="1291" max="1291" width="7.88671875" style="3056" customWidth="1"/>
    <col min="1292" max="1292" width="65.77734375" style="3056" customWidth="1"/>
    <col min="1293" max="1294" width="7.88671875" style="3056" customWidth="1"/>
    <col min="1295" max="1295" width="11.21875" style="3056" customWidth="1"/>
    <col min="1296" max="1296" width="31.21875" style="3056" customWidth="1"/>
    <col min="1297" max="1297" width="9.6640625" style="3056" customWidth="1"/>
    <col min="1298" max="1299" width="15.44140625" style="3056" customWidth="1"/>
    <col min="1300" max="1300" width="12.88671875" style="3056" customWidth="1"/>
    <col min="1301" max="1302" width="11.21875" style="3056" customWidth="1"/>
    <col min="1303" max="1303" width="17.88671875" style="3056" customWidth="1"/>
    <col min="1304" max="1304" width="7.88671875" style="3056" customWidth="1"/>
    <col min="1305" max="1308" width="9" style="3056" customWidth="1"/>
    <col min="1309" max="1309" width="21.109375" style="3056" customWidth="1"/>
    <col min="1310" max="1310" width="7.88671875" style="3056" customWidth="1"/>
    <col min="1311" max="1311" width="145" style="3056" customWidth="1"/>
    <col min="1312" max="1312" width="55" style="3056" customWidth="1"/>
    <col min="1313" max="1315" width="10.6640625" style="3056" customWidth="1"/>
    <col min="1316" max="1317" width="16" style="3056" customWidth="1"/>
    <col min="1318" max="1319" width="14.33203125" style="3056" customWidth="1"/>
    <col min="1320" max="1321" width="21.88671875" style="3056" customWidth="1"/>
    <col min="1322" max="1322" width="6.21875" style="3056" customWidth="1"/>
    <col min="1323" max="1323" width="23" style="3056" customWidth="1"/>
    <col min="1324" max="1324" width="16.88671875" style="3056" customWidth="1"/>
    <col min="1325" max="1326" width="20.109375" style="3056" customWidth="1"/>
    <col min="1327" max="1327" width="7.88671875" style="3056" customWidth="1"/>
    <col min="1328" max="1536" width="9" style="3056"/>
    <col min="1537" max="1537" width="101.6640625" style="3056" customWidth="1"/>
    <col min="1538" max="1538" width="6.21875" style="3056" customWidth="1"/>
    <col min="1539" max="1539" width="11.77734375" style="3056" customWidth="1"/>
    <col min="1540" max="1540" width="7.88671875" style="3056" customWidth="1"/>
    <col min="1541" max="1541" width="17.88671875" style="3056" customWidth="1"/>
    <col min="1542" max="1542" width="86.88671875" style="3056" customWidth="1"/>
    <col min="1543" max="1543" width="21.109375" style="3056" customWidth="1"/>
    <col min="1544" max="1545" width="13.88671875" style="3056" customWidth="1"/>
    <col min="1546" max="1546" width="36" style="3056" customWidth="1"/>
    <col min="1547" max="1547" width="7.88671875" style="3056" customWidth="1"/>
    <col min="1548" max="1548" width="65.77734375" style="3056" customWidth="1"/>
    <col min="1549" max="1550" width="7.88671875" style="3056" customWidth="1"/>
    <col min="1551" max="1551" width="11.21875" style="3056" customWidth="1"/>
    <col min="1552" max="1552" width="31.21875" style="3056" customWidth="1"/>
    <col min="1553" max="1553" width="9.6640625" style="3056" customWidth="1"/>
    <col min="1554" max="1555" width="15.44140625" style="3056" customWidth="1"/>
    <col min="1556" max="1556" width="12.88671875" style="3056" customWidth="1"/>
    <col min="1557" max="1558" width="11.21875" style="3056" customWidth="1"/>
    <col min="1559" max="1559" width="17.88671875" style="3056" customWidth="1"/>
    <col min="1560" max="1560" width="7.88671875" style="3056" customWidth="1"/>
    <col min="1561" max="1564" width="9" style="3056" customWidth="1"/>
    <col min="1565" max="1565" width="21.109375" style="3056" customWidth="1"/>
    <col min="1566" max="1566" width="7.88671875" style="3056" customWidth="1"/>
    <col min="1567" max="1567" width="145" style="3056" customWidth="1"/>
    <col min="1568" max="1568" width="55" style="3056" customWidth="1"/>
    <col min="1569" max="1571" width="10.6640625" style="3056" customWidth="1"/>
    <col min="1572" max="1573" width="16" style="3056" customWidth="1"/>
    <col min="1574" max="1575" width="14.33203125" style="3056" customWidth="1"/>
    <col min="1576" max="1577" width="21.88671875" style="3056" customWidth="1"/>
    <col min="1578" max="1578" width="6.21875" style="3056" customWidth="1"/>
    <col min="1579" max="1579" width="23" style="3056" customWidth="1"/>
    <col min="1580" max="1580" width="16.88671875" style="3056" customWidth="1"/>
    <col min="1581" max="1582" width="20.109375" style="3056" customWidth="1"/>
    <col min="1583" max="1583" width="7.88671875" style="3056" customWidth="1"/>
    <col min="1584" max="1792" width="9" style="3056"/>
    <col min="1793" max="1793" width="101.6640625" style="3056" customWidth="1"/>
    <col min="1794" max="1794" width="6.21875" style="3056" customWidth="1"/>
    <col min="1795" max="1795" width="11.77734375" style="3056" customWidth="1"/>
    <col min="1796" max="1796" width="7.88671875" style="3056" customWidth="1"/>
    <col min="1797" max="1797" width="17.88671875" style="3056" customWidth="1"/>
    <col min="1798" max="1798" width="86.88671875" style="3056" customWidth="1"/>
    <col min="1799" max="1799" width="21.109375" style="3056" customWidth="1"/>
    <col min="1800" max="1801" width="13.88671875" style="3056" customWidth="1"/>
    <col min="1802" max="1802" width="36" style="3056" customWidth="1"/>
    <col min="1803" max="1803" width="7.88671875" style="3056" customWidth="1"/>
    <col min="1804" max="1804" width="65.77734375" style="3056" customWidth="1"/>
    <col min="1805" max="1806" width="7.88671875" style="3056" customWidth="1"/>
    <col min="1807" max="1807" width="11.21875" style="3056" customWidth="1"/>
    <col min="1808" max="1808" width="31.21875" style="3056" customWidth="1"/>
    <col min="1809" max="1809" width="9.6640625" style="3056" customWidth="1"/>
    <col min="1810" max="1811" width="15.44140625" style="3056" customWidth="1"/>
    <col min="1812" max="1812" width="12.88671875" style="3056" customWidth="1"/>
    <col min="1813" max="1814" width="11.21875" style="3056" customWidth="1"/>
    <col min="1815" max="1815" width="17.88671875" style="3056" customWidth="1"/>
    <col min="1816" max="1816" width="7.88671875" style="3056" customWidth="1"/>
    <col min="1817" max="1820" width="9" style="3056" customWidth="1"/>
    <col min="1821" max="1821" width="21.109375" style="3056" customWidth="1"/>
    <col min="1822" max="1822" width="7.88671875" style="3056" customWidth="1"/>
    <col min="1823" max="1823" width="145" style="3056" customWidth="1"/>
    <col min="1824" max="1824" width="55" style="3056" customWidth="1"/>
    <col min="1825" max="1827" width="10.6640625" style="3056" customWidth="1"/>
    <col min="1828" max="1829" width="16" style="3056" customWidth="1"/>
    <col min="1830" max="1831" width="14.33203125" style="3056" customWidth="1"/>
    <col min="1832" max="1833" width="21.88671875" style="3056" customWidth="1"/>
    <col min="1834" max="1834" width="6.21875" style="3056" customWidth="1"/>
    <col min="1835" max="1835" width="23" style="3056" customWidth="1"/>
    <col min="1836" max="1836" width="16.88671875" style="3056" customWidth="1"/>
    <col min="1837" max="1838" width="20.109375" style="3056" customWidth="1"/>
    <col min="1839" max="1839" width="7.88671875" style="3056" customWidth="1"/>
    <col min="1840" max="2048" width="9" style="3056"/>
    <col min="2049" max="2049" width="101.6640625" style="3056" customWidth="1"/>
    <col min="2050" max="2050" width="6.21875" style="3056" customWidth="1"/>
    <col min="2051" max="2051" width="11.77734375" style="3056" customWidth="1"/>
    <col min="2052" max="2052" width="7.88671875" style="3056" customWidth="1"/>
    <col min="2053" max="2053" width="17.88671875" style="3056" customWidth="1"/>
    <col min="2054" max="2054" width="86.88671875" style="3056" customWidth="1"/>
    <col min="2055" max="2055" width="21.109375" style="3056" customWidth="1"/>
    <col min="2056" max="2057" width="13.88671875" style="3056" customWidth="1"/>
    <col min="2058" max="2058" width="36" style="3056" customWidth="1"/>
    <col min="2059" max="2059" width="7.88671875" style="3056" customWidth="1"/>
    <col min="2060" max="2060" width="65.77734375" style="3056" customWidth="1"/>
    <col min="2061" max="2062" width="7.88671875" style="3056" customWidth="1"/>
    <col min="2063" max="2063" width="11.21875" style="3056" customWidth="1"/>
    <col min="2064" max="2064" width="31.21875" style="3056" customWidth="1"/>
    <col min="2065" max="2065" width="9.6640625" style="3056" customWidth="1"/>
    <col min="2066" max="2067" width="15.44140625" style="3056" customWidth="1"/>
    <col min="2068" max="2068" width="12.88671875" style="3056" customWidth="1"/>
    <col min="2069" max="2070" width="11.21875" style="3056" customWidth="1"/>
    <col min="2071" max="2071" width="17.88671875" style="3056" customWidth="1"/>
    <col min="2072" max="2072" width="7.88671875" style="3056" customWidth="1"/>
    <col min="2073" max="2076" width="9" style="3056" customWidth="1"/>
    <col min="2077" max="2077" width="21.109375" style="3056" customWidth="1"/>
    <col min="2078" max="2078" width="7.88671875" style="3056" customWidth="1"/>
    <col min="2079" max="2079" width="145" style="3056" customWidth="1"/>
    <col min="2080" max="2080" width="55" style="3056" customWidth="1"/>
    <col min="2081" max="2083" width="10.6640625" style="3056" customWidth="1"/>
    <col min="2084" max="2085" width="16" style="3056" customWidth="1"/>
    <col min="2086" max="2087" width="14.33203125" style="3056" customWidth="1"/>
    <col min="2088" max="2089" width="21.88671875" style="3056" customWidth="1"/>
    <col min="2090" max="2090" width="6.21875" style="3056" customWidth="1"/>
    <col min="2091" max="2091" width="23" style="3056" customWidth="1"/>
    <col min="2092" max="2092" width="16.88671875" style="3056" customWidth="1"/>
    <col min="2093" max="2094" width="20.109375" style="3056" customWidth="1"/>
    <col min="2095" max="2095" width="7.88671875" style="3056" customWidth="1"/>
    <col min="2096" max="2304" width="9" style="3056"/>
    <col min="2305" max="2305" width="101.6640625" style="3056" customWidth="1"/>
    <col min="2306" max="2306" width="6.21875" style="3056" customWidth="1"/>
    <col min="2307" max="2307" width="11.77734375" style="3056" customWidth="1"/>
    <col min="2308" max="2308" width="7.88671875" style="3056" customWidth="1"/>
    <col min="2309" max="2309" width="17.88671875" style="3056" customWidth="1"/>
    <col min="2310" max="2310" width="86.88671875" style="3056" customWidth="1"/>
    <col min="2311" max="2311" width="21.109375" style="3056" customWidth="1"/>
    <col min="2312" max="2313" width="13.88671875" style="3056" customWidth="1"/>
    <col min="2314" max="2314" width="36" style="3056" customWidth="1"/>
    <col min="2315" max="2315" width="7.88671875" style="3056" customWidth="1"/>
    <col min="2316" max="2316" width="65.77734375" style="3056" customWidth="1"/>
    <col min="2317" max="2318" width="7.88671875" style="3056" customWidth="1"/>
    <col min="2319" max="2319" width="11.21875" style="3056" customWidth="1"/>
    <col min="2320" max="2320" width="31.21875" style="3056" customWidth="1"/>
    <col min="2321" max="2321" width="9.6640625" style="3056" customWidth="1"/>
    <col min="2322" max="2323" width="15.44140625" style="3056" customWidth="1"/>
    <col min="2324" max="2324" width="12.88671875" style="3056" customWidth="1"/>
    <col min="2325" max="2326" width="11.21875" style="3056" customWidth="1"/>
    <col min="2327" max="2327" width="17.88671875" style="3056" customWidth="1"/>
    <col min="2328" max="2328" width="7.88671875" style="3056" customWidth="1"/>
    <col min="2329" max="2332" width="9" style="3056" customWidth="1"/>
    <col min="2333" max="2333" width="21.109375" style="3056" customWidth="1"/>
    <col min="2334" max="2334" width="7.88671875" style="3056" customWidth="1"/>
    <col min="2335" max="2335" width="145" style="3056" customWidth="1"/>
    <col min="2336" max="2336" width="55" style="3056" customWidth="1"/>
    <col min="2337" max="2339" width="10.6640625" style="3056" customWidth="1"/>
    <col min="2340" max="2341" width="16" style="3056" customWidth="1"/>
    <col min="2342" max="2343" width="14.33203125" style="3056" customWidth="1"/>
    <col min="2344" max="2345" width="21.88671875" style="3056" customWidth="1"/>
    <col min="2346" max="2346" width="6.21875" style="3056" customWidth="1"/>
    <col min="2347" max="2347" width="23" style="3056" customWidth="1"/>
    <col min="2348" max="2348" width="16.88671875" style="3056" customWidth="1"/>
    <col min="2349" max="2350" width="20.109375" style="3056" customWidth="1"/>
    <col min="2351" max="2351" width="7.88671875" style="3056" customWidth="1"/>
    <col min="2352" max="2560" width="9" style="3056"/>
    <col min="2561" max="2561" width="101.6640625" style="3056" customWidth="1"/>
    <col min="2562" max="2562" width="6.21875" style="3056" customWidth="1"/>
    <col min="2563" max="2563" width="11.77734375" style="3056" customWidth="1"/>
    <col min="2564" max="2564" width="7.88671875" style="3056" customWidth="1"/>
    <col min="2565" max="2565" width="17.88671875" style="3056" customWidth="1"/>
    <col min="2566" max="2566" width="86.88671875" style="3056" customWidth="1"/>
    <col min="2567" max="2567" width="21.109375" style="3056" customWidth="1"/>
    <col min="2568" max="2569" width="13.88671875" style="3056" customWidth="1"/>
    <col min="2570" max="2570" width="36" style="3056" customWidth="1"/>
    <col min="2571" max="2571" width="7.88671875" style="3056" customWidth="1"/>
    <col min="2572" max="2572" width="65.77734375" style="3056" customWidth="1"/>
    <col min="2573" max="2574" width="7.88671875" style="3056" customWidth="1"/>
    <col min="2575" max="2575" width="11.21875" style="3056" customWidth="1"/>
    <col min="2576" max="2576" width="31.21875" style="3056" customWidth="1"/>
    <col min="2577" max="2577" width="9.6640625" style="3056" customWidth="1"/>
    <col min="2578" max="2579" width="15.44140625" style="3056" customWidth="1"/>
    <col min="2580" max="2580" width="12.88671875" style="3056" customWidth="1"/>
    <col min="2581" max="2582" width="11.21875" style="3056" customWidth="1"/>
    <col min="2583" max="2583" width="17.88671875" style="3056" customWidth="1"/>
    <col min="2584" max="2584" width="7.88671875" style="3056" customWidth="1"/>
    <col min="2585" max="2588" width="9" style="3056" customWidth="1"/>
    <col min="2589" max="2589" width="21.109375" style="3056" customWidth="1"/>
    <col min="2590" max="2590" width="7.88671875" style="3056" customWidth="1"/>
    <col min="2591" max="2591" width="145" style="3056" customWidth="1"/>
    <col min="2592" max="2592" width="55" style="3056" customWidth="1"/>
    <col min="2593" max="2595" width="10.6640625" style="3056" customWidth="1"/>
    <col min="2596" max="2597" width="16" style="3056" customWidth="1"/>
    <col min="2598" max="2599" width="14.33203125" style="3056" customWidth="1"/>
    <col min="2600" max="2601" width="21.88671875" style="3056" customWidth="1"/>
    <col min="2602" max="2602" width="6.21875" style="3056" customWidth="1"/>
    <col min="2603" max="2603" width="23" style="3056" customWidth="1"/>
    <col min="2604" max="2604" width="16.88671875" style="3056" customWidth="1"/>
    <col min="2605" max="2606" width="20.109375" style="3056" customWidth="1"/>
    <col min="2607" max="2607" width="7.88671875" style="3056" customWidth="1"/>
    <col min="2608" max="2816" width="9" style="3056"/>
    <col min="2817" max="2817" width="101.6640625" style="3056" customWidth="1"/>
    <col min="2818" max="2818" width="6.21875" style="3056" customWidth="1"/>
    <col min="2819" max="2819" width="11.77734375" style="3056" customWidth="1"/>
    <col min="2820" max="2820" width="7.88671875" style="3056" customWidth="1"/>
    <col min="2821" max="2821" width="17.88671875" style="3056" customWidth="1"/>
    <col min="2822" max="2822" width="86.88671875" style="3056" customWidth="1"/>
    <col min="2823" max="2823" width="21.109375" style="3056" customWidth="1"/>
    <col min="2824" max="2825" width="13.88671875" style="3056" customWidth="1"/>
    <col min="2826" max="2826" width="36" style="3056" customWidth="1"/>
    <col min="2827" max="2827" width="7.88671875" style="3056" customWidth="1"/>
    <col min="2828" max="2828" width="65.77734375" style="3056" customWidth="1"/>
    <col min="2829" max="2830" width="7.88671875" style="3056" customWidth="1"/>
    <col min="2831" max="2831" width="11.21875" style="3056" customWidth="1"/>
    <col min="2832" max="2832" width="31.21875" style="3056" customWidth="1"/>
    <col min="2833" max="2833" width="9.6640625" style="3056" customWidth="1"/>
    <col min="2834" max="2835" width="15.44140625" style="3056" customWidth="1"/>
    <col min="2836" max="2836" width="12.88671875" style="3056" customWidth="1"/>
    <col min="2837" max="2838" width="11.21875" style="3056" customWidth="1"/>
    <col min="2839" max="2839" width="17.88671875" style="3056" customWidth="1"/>
    <col min="2840" max="2840" width="7.88671875" style="3056" customWidth="1"/>
    <col min="2841" max="2844" width="9" style="3056" customWidth="1"/>
    <col min="2845" max="2845" width="21.109375" style="3056" customWidth="1"/>
    <col min="2846" max="2846" width="7.88671875" style="3056" customWidth="1"/>
    <col min="2847" max="2847" width="145" style="3056" customWidth="1"/>
    <col min="2848" max="2848" width="55" style="3056" customWidth="1"/>
    <col min="2849" max="2851" width="10.6640625" style="3056" customWidth="1"/>
    <col min="2852" max="2853" width="16" style="3056" customWidth="1"/>
    <col min="2854" max="2855" width="14.33203125" style="3056" customWidth="1"/>
    <col min="2856" max="2857" width="21.88671875" style="3056" customWidth="1"/>
    <col min="2858" max="2858" width="6.21875" style="3056" customWidth="1"/>
    <col min="2859" max="2859" width="23" style="3056" customWidth="1"/>
    <col min="2860" max="2860" width="16.88671875" style="3056" customWidth="1"/>
    <col min="2861" max="2862" width="20.109375" style="3056" customWidth="1"/>
    <col min="2863" max="2863" width="7.88671875" style="3056" customWidth="1"/>
    <col min="2864" max="3072" width="9" style="3056"/>
    <col min="3073" max="3073" width="101.6640625" style="3056" customWidth="1"/>
    <col min="3074" max="3074" width="6.21875" style="3056" customWidth="1"/>
    <col min="3075" max="3075" width="11.77734375" style="3056" customWidth="1"/>
    <col min="3076" max="3076" width="7.88671875" style="3056" customWidth="1"/>
    <col min="3077" max="3077" width="17.88671875" style="3056" customWidth="1"/>
    <col min="3078" max="3078" width="86.88671875" style="3056" customWidth="1"/>
    <col min="3079" max="3079" width="21.109375" style="3056" customWidth="1"/>
    <col min="3080" max="3081" width="13.88671875" style="3056" customWidth="1"/>
    <col min="3082" max="3082" width="36" style="3056" customWidth="1"/>
    <col min="3083" max="3083" width="7.88671875" style="3056" customWidth="1"/>
    <col min="3084" max="3084" width="65.77734375" style="3056" customWidth="1"/>
    <col min="3085" max="3086" width="7.88671875" style="3056" customWidth="1"/>
    <col min="3087" max="3087" width="11.21875" style="3056" customWidth="1"/>
    <col min="3088" max="3088" width="31.21875" style="3056" customWidth="1"/>
    <col min="3089" max="3089" width="9.6640625" style="3056" customWidth="1"/>
    <col min="3090" max="3091" width="15.44140625" style="3056" customWidth="1"/>
    <col min="3092" max="3092" width="12.88671875" style="3056" customWidth="1"/>
    <col min="3093" max="3094" width="11.21875" style="3056" customWidth="1"/>
    <col min="3095" max="3095" width="17.88671875" style="3056" customWidth="1"/>
    <col min="3096" max="3096" width="7.88671875" style="3056" customWidth="1"/>
    <col min="3097" max="3100" width="9" style="3056" customWidth="1"/>
    <col min="3101" max="3101" width="21.109375" style="3056" customWidth="1"/>
    <col min="3102" max="3102" width="7.88671875" style="3056" customWidth="1"/>
    <col min="3103" max="3103" width="145" style="3056" customWidth="1"/>
    <col min="3104" max="3104" width="55" style="3056" customWidth="1"/>
    <col min="3105" max="3107" width="10.6640625" style="3056" customWidth="1"/>
    <col min="3108" max="3109" width="16" style="3056" customWidth="1"/>
    <col min="3110" max="3111" width="14.33203125" style="3056" customWidth="1"/>
    <col min="3112" max="3113" width="21.88671875" style="3056" customWidth="1"/>
    <col min="3114" max="3114" width="6.21875" style="3056" customWidth="1"/>
    <col min="3115" max="3115" width="23" style="3056" customWidth="1"/>
    <col min="3116" max="3116" width="16.88671875" style="3056" customWidth="1"/>
    <col min="3117" max="3118" width="20.109375" style="3056" customWidth="1"/>
    <col min="3119" max="3119" width="7.88671875" style="3056" customWidth="1"/>
    <col min="3120" max="3328" width="9" style="3056"/>
    <col min="3329" max="3329" width="101.6640625" style="3056" customWidth="1"/>
    <col min="3330" max="3330" width="6.21875" style="3056" customWidth="1"/>
    <col min="3331" max="3331" width="11.77734375" style="3056" customWidth="1"/>
    <col min="3332" max="3332" width="7.88671875" style="3056" customWidth="1"/>
    <col min="3333" max="3333" width="17.88671875" style="3056" customWidth="1"/>
    <col min="3334" max="3334" width="86.88671875" style="3056" customWidth="1"/>
    <col min="3335" max="3335" width="21.109375" style="3056" customWidth="1"/>
    <col min="3336" max="3337" width="13.88671875" style="3056" customWidth="1"/>
    <col min="3338" max="3338" width="36" style="3056" customWidth="1"/>
    <col min="3339" max="3339" width="7.88671875" style="3056" customWidth="1"/>
    <col min="3340" max="3340" width="65.77734375" style="3056" customWidth="1"/>
    <col min="3341" max="3342" width="7.88671875" style="3056" customWidth="1"/>
    <col min="3343" max="3343" width="11.21875" style="3056" customWidth="1"/>
    <col min="3344" max="3344" width="31.21875" style="3056" customWidth="1"/>
    <col min="3345" max="3345" width="9.6640625" style="3056" customWidth="1"/>
    <col min="3346" max="3347" width="15.44140625" style="3056" customWidth="1"/>
    <col min="3348" max="3348" width="12.88671875" style="3056" customWidth="1"/>
    <col min="3349" max="3350" width="11.21875" style="3056" customWidth="1"/>
    <col min="3351" max="3351" width="17.88671875" style="3056" customWidth="1"/>
    <col min="3352" max="3352" width="7.88671875" style="3056" customWidth="1"/>
    <col min="3353" max="3356" width="9" style="3056" customWidth="1"/>
    <col min="3357" max="3357" width="21.109375" style="3056" customWidth="1"/>
    <col min="3358" max="3358" width="7.88671875" style="3056" customWidth="1"/>
    <col min="3359" max="3359" width="145" style="3056" customWidth="1"/>
    <col min="3360" max="3360" width="55" style="3056" customWidth="1"/>
    <col min="3361" max="3363" width="10.6640625" style="3056" customWidth="1"/>
    <col min="3364" max="3365" width="16" style="3056" customWidth="1"/>
    <col min="3366" max="3367" width="14.33203125" style="3056" customWidth="1"/>
    <col min="3368" max="3369" width="21.88671875" style="3056" customWidth="1"/>
    <col min="3370" max="3370" width="6.21875" style="3056" customWidth="1"/>
    <col min="3371" max="3371" width="23" style="3056" customWidth="1"/>
    <col min="3372" max="3372" width="16.88671875" style="3056" customWidth="1"/>
    <col min="3373" max="3374" width="20.109375" style="3056" customWidth="1"/>
    <col min="3375" max="3375" width="7.88671875" style="3056" customWidth="1"/>
    <col min="3376" max="3584" width="9" style="3056"/>
    <col min="3585" max="3585" width="101.6640625" style="3056" customWidth="1"/>
    <col min="3586" max="3586" width="6.21875" style="3056" customWidth="1"/>
    <col min="3587" max="3587" width="11.77734375" style="3056" customWidth="1"/>
    <col min="3588" max="3588" width="7.88671875" style="3056" customWidth="1"/>
    <col min="3589" max="3589" width="17.88671875" style="3056" customWidth="1"/>
    <col min="3590" max="3590" width="86.88671875" style="3056" customWidth="1"/>
    <col min="3591" max="3591" width="21.109375" style="3056" customWidth="1"/>
    <col min="3592" max="3593" width="13.88671875" style="3056" customWidth="1"/>
    <col min="3594" max="3594" width="36" style="3056" customWidth="1"/>
    <col min="3595" max="3595" width="7.88671875" style="3056" customWidth="1"/>
    <col min="3596" max="3596" width="65.77734375" style="3056" customWidth="1"/>
    <col min="3597" max="3598" width="7.88671875" style="3056" customWidth="1"/>
    <col min="3599" max="3599" width="11.21875" style="3056" customWidth="1"/>
    <col min="3600" max="3600" width="31.21875" style="3056" customWidth="1"/>
    <col min="3601" max="3601" width="9.6640625" style="3056" customWidth="1"/>
    <col min="3602" max="3603" width="15.44140625" style="3056" customWidth="1"/>
    <col min="3604" max="3604" width="12.88671875" style="3056" customWidth="1"/>
    <col min="3605" max="3606" width="11.21875" style="3056" customWidth="1"/>
    <col min="3607" max="3607" width="17.88671875" style="3056" customWidth="1"/>
    <col min="3608" max="3608" width="7.88671875" style="3056" customWidth="1"/>
    <col min="3609" max="3612" width="9" style="3056" customWidth="1"/>
    <col min="3613" max="3613" width="21.109375" style="3056" customWidth="1"/>
    <col min="3614" max="3614" width="7.88671875" style="3056" customWidth="1"/>
    <col min="3615" max="3615" width="145" style="3056" customWidth="1"/>
    <col min="3616" max="3616" width="55" style="3056" customWidth="1"/>
    <col min="3617" max="3619" width="10.6640625" style="3056" customWidth="1"/>
    <col min="3620" max="3621" width="16" style="3056" customWidth="1"/>
    <col min="3622" max="3623" width="14.33203125" style="3056" customWidth="1"/>
    <col min="3624" max="3625" width="21.88671875" style="3056" customWidth="1"/>
    <col min="3626" max="3626" width="6.21875" style="3056" customWidth="1"/>
    <col min="3627" max="3627" width="23" style="3056" customWidth="1"/>
    <col min="3628" max="3628" width="16.88671875" style="3056" customWidth="1"/>
    <col min="3629" max="3630" width="20.109375" style="3056" customWidth="1"/>
    <col min="3631" max="3631" width="7.88671875" style="3056" customWidth="1"/>
    <col min="3632" max="3840" width="9" style="3056"/>
    <col min="3841" max="3841" width="101.6640625" style="3056" customWidth="1"/>
    <col min="3842" max="3842" width="6.21875" style="3056" customWidth="1"/>
    <col min="3843" max="3843" width="11.77734375" style="3056" customWidth="1"/>
    <col min="3844" max="3844" width="7.88671875" style="3056" customWidth="1"/>
    <col min="3845" max="3845" width="17.88671875" style="3056" customWidth="1"/>
    <col min="3846" max="3846" width="86.88671875" style="3056" customWidth="1"/>
    <col min="3847" max="3847" width="21.109375" style="3056" customWidth="1"/>
    <col min="3848" max="3849" width="13.88671875" style="3056" customWidth="1"/>
    <col min="3850" max="3850" width="36" style="3056" customWidth="1"/>
    <col min="3851" max="3851" width="7.88671875" style="3056" customWidth="1"/>
    <col min="3852" max="3852" width="65.77734375" style="3056" customWidth="1"/>
    <col min="3853" max="3854" width="7.88671875" style="3056" customWidth="1"/>
    <col min="3855" max="3855" width="11.21875" style="3056" customWidth="1"/>
    <col min="3856" max="3856" width="31.21875" style="3056" customWidth="1"/>
    <col min="3857" max="3857" width="9.6640625" style="3056" customWidth="1"/>
    <col min="3858" max="3859" width="15.44140625" style="3056" customWidth="1"/>
    <col min="3860" max="3860" width="12.88671875" style="3056" customWidth="1"/>
    <col min="3861" max="3862" width="11.21875" style="3056" customWidth="1"/>
    <col min="3863" max="3863" width="17.88671875" style="3056" customWidth="1"/>
    <col min="3864" max="3864" width="7.88671875" style="3056" customWidth="1"/>
    <col min="3865" max="3868" width="9" style="3056" customWidth="1"/>
    <col min="3869" max="3869" width="21.109375" style="3056" customWidth="1"/>
    <col min="3870" max="3870" width="7.88671875" style="3056" customWidth="1"/>
    <col min="3871" max="3871" width="145" style="3056" customWidth="1"/>
    <col min="3872" max="3872" width="55" style="3056" customWidth="1"/>
    <col min="3873" max="3875" width="10.6640625" style="3056" customWidth="1"/>
    <col min="3876" max="3877" width="16" style="3056" customWidth="1"/>
    <col min="3878" max="3879" width="14.33203125" style="3056" customWidth="1"/>
    <col min="3880" max="3881" width="21.88671875" style="3056" customWidth="1"/>
    <col min="3882" max="3882" width="6.21875" style="3056" customWidth="1"/>
    <col min="3883" max="3883" width="23" style="3056" customWidth="1"/>
    <col min="3884" max="3884" width="16.88671875" style="3056" customWidth="1"/>
    <col min="3885" max="3886" width="20.109375" style="3056" customWidth="1"/>
    <col min="3887" max="3887" width="7.88671875" style="3056" customWidth="1"/>
    <col min="3888" max="4096" width="9" style="3056"/>
    <col min="4097" max="4097" width="101.6640625" style="3056" customWidth="1"/>
    <col min="4098" max="4098" width="6.21875" style="3056" customWidth="1"/>
    <col min="4099" max="4099" width="11.77734375" style="3056" customWidth="1"/>
    <col min="4100" max="4100" width="7.88671875" style="3056" customWidth="1"/>
    <col min="4101" max="4101" width="17.88671875" style="3056" customWidth="1"/>
    <col min="4102" max="4102" width="86.88671875" style="3056" customWidth="1"/>
    <col min="4103" max="4103" width="21.109375" style="3056" customWidth="1"/>
    <col min="4104" max="4105" width="13.88671875" style="3056" customWidth="1"/>
    <col min="4106" max="4106" width="36" style="3056" customWidth="1"/>
    <col min="4107" max="4107" width="7.88671875" style="3056" customWidth="1"/>
    <col min="4108" max="4108" width="65.77734375" style="3056" customWidth="1"/>
    <col min="4109" max="4110" width="7.88671875" style="3056" customWidth="1"/>
    <col min="4111" max="4111" width="11.21875" style="3056" customWidth="1"/>
    <col min="4112" max="4112" width="31.21875" style="3056" customWidth="1"/>
    <col min="4113" max="4113" width="9.6640625" style="3056" customWidth="1"/>
    <col min="4114" max="4115" width="15.44140625" style="3056" customWidth="1"/>
    <col min="4116" max="4116" width="12.88671875" style="3056" customWidth="1"/>
    <col min="4117" max="4118" width="11.21875" style="3056" customWidth="1"/>
    <col min="4119" max="4119" width="17.88671875" style="3056" customWidth="1"/>
    <col min="4120" max="4120" width="7.88671875" style="3056" customWidth="1"/>
    <col min="4121" max="4124" width="9" style="3056" customWidth="1"/>
    <col min="4125" max="4125" width="21.109375" style="3056" customWidth="1"/>
    <col min="4126" max="4126" width="7.88671875" style="3056" customWidth="1"/>
    <col min="4127" max="4127" width="145" style="3056" customWidth="1"/>
    <col min="4128" max="4128" width="55" style="3056" customWidth="1"/>
    <col min="4129" max="4131" width="10.6640625" style="3056" customWidth="1"/>
    <col min="4132" max="4133" width="16" style="3056" customWidth="1"/>
    <col min="4134" max="4135" width="14.33203125" style="3056" customWidth="1"/>
    <col min="4136" max="4137" width="21.88671875" style="3056" customWidth="1"/>
    <col min="4138" max="4138" width="6.21875" style="3056" customWidth="1"/>
    <col min="4139" max="4139" width="23" style="3056" customWidth="1"/>
    <col min="4140" max="4140" width="16.88671875" style="3056" customWidth="1"/>
    <col min="4141" max="4142" width="20.109375" style="3056" customWidth="1"/>
    <col min="4143" max="4143" width="7.88671875" style="3056" customWidth="1"/>
    <col min="4144" max="4352" width="9" style="3056"/>
    <col min="4353" max="4353" width="101.6640625" style="3056" customWidth="1"/>
    <col min="4354" max="4354" width="6.21875" style="3056" customWidth="1"/>
    <col min="4355" max="4355" width="11.77734375" style="3056" customWidth="1"/>
    <col min="4356" max="4356" width="7.88671875" style="3056" customWidth="1"/>
    <col min="4357" max="4357" width="17.88671875" style="3056" customWidth="1"/>
    <col min="4358" max="4358" width="86.88671875" style="3056" customWidth="1"/>
    <col min="4359" max="4359" width="21.109375" style="3056" customWidth="1"/>
    <col min="4360" max="4361" width="13.88671875" style="3056" customWidth="1"/>
    <col min="4362" max="4362" width="36" style="3056" customWidth="1"/>
    <col min="4363" max="4363" width="7.88671875" style="3056" customWidth="1"/>
    <col min="4364" max="4364" width="65.77734375" style="3056" customWidth="1"/>
    <col min="4365" max="4366" width="7.88671875" style="3056" customWidth="1"/>
    <col min="4367" max="4367" width="11.21875" style="3056" customWidth="1"/>
    <col min="4368" max="4368" width="31.21875" style="3056" customWidth="1"/>
    <col min="4369" max="4369" width="9.6640625" style="3056" customWidth="1"/>
    <col min="4370" max="4371" width="15.44140625" style="3056" customWidth="1"/>
    <col min="4372" max="4372" width="12.88671875" style="3056" customWidth="1"/>
    <col min="4373" max="4374" width="11.21875" style="3056" customWidth="1"/>
    <col min="4375" max="4375" width="17.88671875" style="3056" customWidth="1"/>
    <col min="4376" max="4376" width="7.88671875" style="3056" customWidth="1"/>
    <col min="4377" max="4380" width="9" style="3056" customWidth="1"/>
    <col min="4381" max="4381" width="21.109375" style="3056" customWidth="1"/>
    <col min="4382" max="4382" width="7.88671875" style="3056" customWidth="1"/>
    <col min="4383" max="4383" width="145" style="3056" customWidth="1"/>
    <col min="4384" max="4384" width="55" style="3056" customWidth="1"/>
    <col min="4385" max="4387" width="10.6640625" style="3056" customWidth="1"/>
    <col min="4388" max="4389" width="16" style="3056" customWidth="1"/>
    <col min="4390" max="4391" width="14.33203125" style="3056" customWidth="1"/>
    <col min="4392" max="4393" width="21.88671875" style="3056" customWidth="1"/>
    <col min="4394" max="4394" width="6.21875" style="3056" customWidth="1"/>
    <col min="4395" max="4395" width="23" style="3056" customWidth="1"/>
    <col min="4396" max="4396" width="16.88671875" style="3056" customWidth="1"/>
    <col min="4397" max="4398" width="20.109375" style="3056" customWidth="1"/>
    <col min="4399" max="4399" width="7.88671875" style="3056" customWidth="1"/>
    <col min="4400" max="4608" width="9" style="3056"/>
    <col min="4609" max="4609" width="101.6640625" style="3056" customWidth="1"/>
    <col min="4610" max="4610" width="6.21875" style="3056" customWidth="1"/>
    <col min="4611" max="4611" width="11.77734375" style="3056" customWidth="1"/>
    <col min="4612" max="4612" width="7.88671875" style="3056" customWidth="1"/>
    <col min="4613" max="4613" width="17.88671875" style="3056" customWidth="1"/>
    <col min="4614" max="4614" width="86.88671875" style="3056" customWidth="1"/>
    <col min="4615" max="4615" width="21.109375" style="3056" customWidth="1"/>
    <col min="4616" max="4617" width="13.88671875" style="3056" customWidth="1"/>
    <col min="4618" max="4618" width="36" style="3056" customWidth="1"/>
    <col min="4619" max="4619" width="7.88671875" style="3056" customWidth="1"/>
    <col min="4620" max="4620" width="65.77734375" style="3056" customWidth="1"/>
    <col min="4621" max="4622" width="7.88671875" style="3056" customWidth="1"/>
    <col min="4623" max="4623" width="11.21875" style="3056" customWidth="1"/>
    <col min="4624" max="4624" width="31.21875" style="3056" customWidth="1"/>
    <col min="4625" max="4625" width="9.6640625" style="3056" customWidth="1"/>
    <col min="4626" max="4627" width="15.44140625" style="3056" customWidth="1"/>
    <col min="4628" max="4628" width="12.88671875" style="3056" customWidth="1"/>
    <col min="4629" max="4630" width="11.21875" style="3056" customWidth="1"/>
    <col min="4631" max="4631" width="17.88671875" style="3056" customWidth="1"/>
    <col min="4632" max="4632" width="7.88671875" style="3056" customWidth="1"/>
    <col min="4633" max="4636" width="9" style="3056" customWidth="1"/>
    <col min="4637" max="4637" width="21.109375" style="3056" customWidth="1"/>
    <col min="4638" max="4638" width="7.88671875" style="3056" customWidth="1"/>
    <col min="4639" max="4639" width="145" style="3056" customWidth="1"/>
    <col min="4640" max="4640" width="55" style="3056" customWidth="1"/>
    <col min="4641" max="4643" width="10.6640625" style="3056" customWidth="1"/>
    <col min="4644" max="4645" width="16" style="3056" customWidth="1"/>
    <col min="4646" max="4647" width="14.33203125" style="3056" customWidth="1"/>
    <col min="4648" max="4649" width="21.88671875" style="3056" customWidth="1"/>
    <col min="4650" max="4650" width="6.21875" style="3056" customWidth="1"/>
    <col min="4651" max="4651" width="23" style="3056" customWidth="1"/>
    <col min="4652" max="4652" width="16.88671875" style="3056" customWidth="1"/>
    <col min="4653" max="4654" width="20.109375" style="3056" customWidth="1"/>
    <col min="4655" max="4655" width="7.88671875" style="3056" customWidth="1"/>
    <col min="4656" max="4864" width="9" style="3056"/>
    <col min="4865" max="4865" width="101.6640625" style="3056" customWidth="1"/>
    <col min="4866" max="4866" width="6.21875" style="3056" customWidth="1"/>
    <col min="4867" max="4867" width="11.77734375" style="3056" customWidth="1"/>
    <col min="4868" max="4868" width="7.88671875" style="3056" customWidth="1"/>
    <col min="4869" max="4869" width="17.88671875" style="3056" customWidth="1"/>
    <col min="4870" max="4870" width="86.88671875" style="3056" customWidth="1"/>
    <col min="4871" max="4871" width="21.109375" style="3056" customWidth="1"/>
    <col min="4872" max="4873" width="13.88671875" style="3056" customWidth="1"/>
    <col min="4874" max="4874" width="36" style="3056" customWidth="1"/>
    <col min="4875" max="4875" width="7.88671875" style="3056" customWidth="1"/>
    <col min="4876" max="4876" width="65.77734375" style="3056" customWidth="1"/>
    <col min="4877" max="4878" width="7.88671875" style="3056" customWidth="1"/>
    <col min="4879" max="4879" width="11.21875" style="3056" customWidth="1"/>
    <col min="4880" max="4880" width="31.21875" style="3056" customWidth="1"/>
    <col min="4881" max="4881" width="9.6640625" style="3056" customWidth="1"/>
    <col min="4882" max="4883" width="15.44140625" style="3056" customWidth="1"/>
    <col min="4884" max="4884" width="12.88671875" style="3056" customWidth="1"/>
    <col min="4885" max="4886" width="11.21875" style="3056" customWidth="1"/>
    <col min="4887" max="4887" width="17.88671875" style="3056" customWidth="1"/>
    <col min="4888" max="4888" width="7.88671875" style="3056" customWidth="1"/>
    <col min="4889" max="4892" width="9" style="3056" customWidth="1"/>
    <col min="4893" max="4893" width="21.109375" style="3056" customWidth="1"/>
    <col min="4894" max="4894" width="7.88671875" style="3056" customWidth="1"/>
    <col min="4895" max="4895" width="145" style="3056" customWidth="1"/>
    <col min="4896" max="4896" width="55" style="3056" customWidth="1"/>
    <col min="4897" max="4899" width="10.6640625" style="3056" customWidth="1"/>
    <col min="4900" max="4901" width="16" style="3056" customWidth="1"/>
    <col min="4902" max="4903" width="14.33203125" style="3056" customWidth="1"/>
    <col min="4904" max="4905" width="21.88671875" style="3056" customWidth="1"/>
    <col min="4906" max="4906" width="6.21875" style="3056" customWidth="1"/>
    <col min="4907" max="4907" width="23" style="3056" customWidth="1"/>
    <col min="4908" max="4908" width="16.88671875" style="3056" customWidth="1"/>
    <col min="4909" max="4910" width="20.109375" style="3056" customWidth="1"/>
    <col min="4911" max="4911" width="7.88671875" style="3056" customWidth="1"/>
    <col min="4912" max="5120" width="9" style="3056"/>
    <col min="5121" max="5121" width="101.6640625" style="3056" customWidth="1"/>
    <col min="5122" max="5122" width="6.21875" style="3056" customWidth="1"/>
    <col min="5123" max="5123" width="11.77734375" style="3056" customWidth="1"/>
    <col min="5124" max="5124" width="7.88671875" style="3056" customWidth="1"/>
    <col min="5125" max="5125" width="17.88671875" style="3056" customWidth="1"/>
    <col min="5126" max="5126" width="86.88671875" style="3056" customWidth="1"/>
    <col min="5127" max="5127" width="21.109375" style="3056" customWidth="1"/>
    <col min="5128" max="5129" width="13.88671875" style="3056" customWidth="1"/>
    <col min="5130" max="5130" width="36" style="3056" customWidth="1"/>
    <col min="5131" max="5131" width="7.88671875" style="3056" customWidth="1"/>
    <col min="5132" max="5132" width="65.77734375" style="3056" customWidth="1"/>
    <col min="5133" max="5134" width="7.88671875" style="3056" customWidth="1"/>
    <col min="5135" max="5135" width="11.21875" style="3056" customWidth="1"/>
    <col min="5136" max="5136" width="31.21875" style="3056" customWidth="1"/>
    <col min="5137" max="5137" width="9.6640625" style="3056" customWidth="1"/>
    <col min="5138" max="5139" width="15.44140625" style="3056" customWidth="1"/>
    <col min="5140" max="5140" width="12.88671875" style="3056" customWidth="1"/>
    <col min="5141" max="5142" width="11.21875" style="3056" customWidth="1"/>
    <col min="5143" max="5143" width="17.88671875" style="3056" customWidth="1"/>
    <col min="5144" max="5144" width="7.88671875" style="3056" customWidth="1"/>
    <col min="5145" max="5148" width="9" style="3056" customWidth="1"/>
    <col min="5149" max="5149" width="21.109375" style="3056" customWidth="1"/>
    <col min="5150" max="5150" width="7.88671875" style="3056" customWidth="1"/>
    <col min="5151" max="5151" width="145" style="3056" customWidth="1"/>
    <col min="5152" max="5152" width="55" style="3056" customWidth="1"/>
    <col min="5153" max="5155" width="10.6640625" style="3056" customWidth="1"/>
    <col min="5156" max="5157" width="16" style="3056" customWidth="1"/>
    <col min="5158" max="5159" width="14.33203125" style="3056" customWidth="1"/>
    <col min="5160" max="5161" width="21.88671875" style="3056" customWidth="1"/>
    <col min="5162" max="5162" width="6.21875" style="3056" customWidth="1"/>
    <col min="5163" max="5163" width="23" style="3056" customWidth="1"/>
    <col min="5164" max="5164" width="16.88671875" style="3056" customWidth="1"/>
    <col min="5165" max="5166" width="20.109375" style="3056" customWidth="1"/>
    <col min="5167" max="5167" width="7.88671875" style="3056" customWidth="1"/>
    <col min="5168" max="5376" width="9" style="3056"/>
    <col min="5377" max="5377" width="101.6640625" style="3056" customWidth="1"/>
    <col min="5378" max="5378" width="6.21875" style="3056" customWidth="1"/>
    <col min="5379" max="5379" width="11.77734375" style="3056" customWidth="1"/>
    <col min="5380" max="5380" width="7.88671875" style="3056" customWidth="1"/>
    <col min="5381" max="5381" width="17.88671875" style="3056" customWidth="1"/>
    <col min="5382" max="5382" width="86.88671875" style="3056" customWidth="1"/>
    <col min="5383" max="5383" width="21.109375" style="3056" customWidth="1"/>
    <col min="5384" max="5385" width="13.88671875" style="3056" customWidth="1"/>
    <col min="5386" max="5386" width="36" style="3056" customWidth="1"/>
    <col min="5387" max="5387" width="7.88671875" style="3056" customWidth="1"/>
    <col min="5388" max="5388" width="65.77734375" style="3056" customWidth="1"/>
    <col min="5389" max="5390" width="7.88671875" style="3056" customWidth="1"/>
    <col min="5391" max="5391" width="11.21875" style="3056" customWidth="1"/>
    <col min="5392" max="5392" width="31.21875" style="3056" customWidth="1"/>
    <col min="5393" max="5393" width="9.6640625" style="3056" customWidth="1"/>
    <col min="5394" max="5395" width="15.44140625" style="3056" customWidth="1"/>
    <col min="5396" max="5396" width="12.88671875" style="3056" customWidth="1"/>
    <col min="5397" max="5398" width="11.21875" style="3056" customWidth="1"/>
    <col min="5399" max="5399" width="17.88671875" style="3056" customWidth="1"/>
    <col min="5400" max="5400" width="7.88671875" style="3056" customWidth="1"/>
    <col min="5401" max="5404" width="9" style="3056" customWidth="1"/>
    <col min="5405" max="5405" width="21.109375" style="3056" customWidth="1"/>
    <col min="5406" max="5406" width="7.88671875" style="3056" customWidth="1"/>
    <col min="5407" max="5407" width="145" style="3056" customWidth="1"/>
    <col min="5408" max="5408" width="55" style="3056" customWidth="1"/>
    <col min="5409" max="5411" width="10.6640625" style="3056" customWidth="1"/>
    <col min="5412" max="5413" width="16" style="3056" customWidth="1"/>
    <col min="5414" max="5415" width="14.33203125" style="3056" customWidth="1"/>
    <col min="5416" max="5417" width="21.88671875" style="3056" customWidth="1"/>
    <col min="5418" max="5418" width="6.21875" style="3056" customWidth="1"/>
    <col min="5419" max="5419" width="23" style="3056" customWidth="1"/>
    <col min="5420" max="5420" width="16.88671875" style="3056" customWidth="1"/>
    <col min="5421" max="5422" width="20.109375" style="3056" customWidth="1"/>
    <col min="5423" max="5423" width="7.88671875" style="3056" customWidth="1"/>
    <col min="5424" max="5632" width="9" style="3056"/>
    <col min="5633" max="5633" width="101.6640625" style="3056" customWidth="1"/>
    <col min="5634" max="5634" width="6.21875" style="3056" customWidth="1"/>
    <col min="5635" max="5635" width="11.77734375" style="3056" customWidth="1"/>
    <col min="5636" max="5636" width="7.88671875" style="3056" customWidth="1"/>
    <col min="5637" max="5637" width="17.88671875" style="3056" customWidth="1"/>
    <col min="5638" max="5638" width="86.88671875" style="3056" customWidth="1"/>
    <col min="5639" max="5639" width="21.109375" style="3056" customWidth="1"/>
    <col min="5640" max="5641" width="13.88671875" style="3056" customWidth="1"/>
    <col min="5642" max="5642" width="36" style="3056" customWidth="1"/>
    <col min="5643" max="5643" width="7.88671875" style="3056" customWidth="1"/>
    <col min="5644" max="5644" width="65.77734375" style="3056" customWidth="1"/>
    <col min="5645" max="5646" width="7.88671875" style="3056" customWidth="1"/>
    <col min="5647" max="5647" width="11.21875" style="3056" customWidth="1"/>
    <col min="5648" max="5648" width="31.21875" style="3056" customWidth="1"/>
    <col min="5649" max="5649" width="9.6640625" style="3056" customWidth="1"/>
    <col min="5650" max="5651" width="15.44140625" style="3056" customWidth="1"/>
    <col min="5652" max="5652" width="12.88671875" style="3056" customWidth="1"/>
    <col min="5653" max="5654" width="11.21875" style="3056" customWidth="1"/>
    <col min="5655" max="5655" width="17.88671875" style="3056" customWidth="1"/>
    <col min="5656" max="5656" width="7.88671875" style="3056" customWidth="1"/>
    <col min="5657" max="5660" width="9" style="3056" customWidth="1"/>
    <col min="5661" max="5661" width="21.109375" style="3056" customWidth="1"/>
    <col min="5662" max="5662" width="7.88671875" style="3056" customWidth="1"/>
    <col min="5663" max="5663" width="145" style="3056" customWidth="1"/>
    <col min="5664" max="5664" width="55" style="3056" customWidth="1"/>
    <col min="5665" max="5667" width="10.6640625" style="3056" customWidth="1"/>
    <col min="5668" max="5669" width="16" style="3056" customWidth="1"/>
    <col min="5670" max="5671" width="14.33203125" style="3056" customWidth="1"/>
    <col min="5672" max="5673" width="21.88671875" style="3056" customWidth="1"/>
    <col min="5674" max="5674" width="6.21875" style="3056" customWidth="1"/>
    <col min="5675" max="5675" width="23" style="3056" customWidth="1"/>
    <col min="5676" max="5676" width="16.88671875" style="3056" customWidth="1"/>
    <col min="5677" max="5678" width="20.109375" style="3056" customWidth="1"/>
    <col min="5679" max="5679" width="7.88671875" style="3056" customWidth="1"/>
    <col min="5680" max="5888" width="9" style="3056"/>
    <col min="5889" max="5889" width="101.6640625" style="3056" customWidth="1"/>
    <col min="5890" max="5890" width="6.21875" style="3056" customWidth="1"/>
    <col min="5891" max="5891" width="11.77734375" style="3056" customWidth="1"/>
    <col min="5892" max="5892" width="7.88671875" style="3056" customWidth="1"/>
    <col min="5893" max="5893" width="17.88671875" style="3056" customWidth="1"/>
    <col min="5894" max="5894" width="86.88671875" style="3056" customWidth="1"/>
    <col min="5895" max="5895" width="21.109375" style="3056" customWidth="1"/>
    <col min="5896" max="5897" width="13.88671875" style="3056" customWidth="1"/>
    <col min="5898" max="5898" width="36" style="3056" customWidth="1"/>
    <col min="5899" max="5899" width="7.88671875" style="3056" customWidth="1"/>
    <col min="5900" max="5900" width="65.77734375" style="3056" customWidth="1"/>
    <col min="5901" max="5902" width="7.88671875" style="3056" customWidth="1"/>
    <col min="5903" max="5903" width="11.21875" style="3056" customWidth="1"/>
    <col min="5904" max="5904" width="31.21875" style="3056" customWidth="1"/>
    <col min="5905" max="5905" width="9.6640625" style="3056" customWidth="1"/>
    <col min="5906" max="5907" width="15.44140625" style="3056" customWidth="1"/>
    <col min="5908" max="5908" width="12.88671875" style="3056" customWidth="1"/>
    <col min="5909" max="5910" width="11.21875" style="3056" customWidth="1"/>
    <col min="5911" max="5911" width="17.88671875" style="3056" customWidth="1"/>
    <col min="5912" max="5912" width="7.88671875" style="3056" customWidth="1"/>
    <col min="5913" max="5916" width="9" style="3056" customWidth="1"/>
    <col min="5917" max="5917" width="21.109375" style="3056" customWidth="1"/>
    <col min="5918" max="5918" width="7.88671875" style="3056" customWidth="1"/>
    <col min="5919" max="5919" width="145" style="3056" customWidth="1"/>
    <col min="5920" max="5920" width="55" style="3056" customWidth="1"/>
    <col min="5921" max="5923" width="10.6640625" style="3056" customWidth="1"/>
    <col min="5924" max="5925" width="16" style="3056" customWidth="1"/>
    <col min="5926" max="5927" width="14.33203125" style="3056" customWidth="1"/>
    <col min="5928" max="5929" width="21.88671875" style="3056" customWidth="1"/>
    <col min="5930" max="5930" width="6.21875" style="3056" customWidth="1"/>
    <col min="5931" max="5931" width="23" style="3056" customWidth="1"/>
    <col min="5932" max="5932" width="16.88671875" style="3056" customWidth="1"/>
    <col min="5933" max="5934" width="20.109375" style="3056" customWidth="1"/>
    <col min="5935" max="5935" width="7.88671875" style="3056" customWidth="1"/>
    <col min="5936" max="6144" width="9" style="3056"/>
    <col min="6145" max="6145" width="101.6640625" style="3056" customWidth="1"/>
    <col min="6146" max="6146" width="6.21875" style="3056" customWidth="1"/>
    <col min="6147" max="6147" width="11.77734375" style="3056" customWidth="1"/>
    <col min="6148" max="6148" width="7.88671875" style="3056" customWidth="1"/>
    <col min="6149" max="6149" width="17.88671875" style="3056" customWidth="1"/>
    <col min="6150" max="6150" width="86.88671875" style="3056" customWidth="1"/>
    <col min="6151" max="6151" width="21.109375" style="3056" customWidth="1"/>
    <col min="6152" max="6153" width="13.88671875" style="3056" customWidth="1"/>
    <col min="6154" max="6154" width="36" style="3056" customWidth="1"/>
    <col min="6155" max="6155" width="7.88671875" style="3056" customWidth="1"/>
    <col min="6156" max="6156" width="65.77734375" style="3056" customWidth="1"/>
    <col min="6157" max="6158" width="7.88671875" style="3056" customWidth="1"/>
    <col min="6159" max="6159" width="11.21875" style="3056" customWidth="1"/>
    <col min="6160" max="6160" width="31.21875" style="3056" customWidth="1"/>
    <col min="6161" max="6161" width="9.6640625" style="3056" customWidth="1"/>
    <col min="6162" max="6163" width="15.44140625" style="3056" customWidth="1"/>
    <col min="6164" max="6164" width="12.88671875" style="3056" customWidth="1"/>
    <col min="6165" max="6166" width="11.21875" style="3056" customWidth="1"/>
    <col min="6167" max="6167" width="17.88671875" style="3056" customWidth="1"/>
    <col min="6168" max="6168" width="7.88671875" style="3056" customWidth="1"/>
    <col min="6169" max="6172" width="9" style="3056" customWidth="1"/>
    <col min="6173" max="6173" width="21.109375" style="3056" customWidth="1"/>
    <col min="6174" max="6174" width="7.88671875" style="3056" customWidth="1"/>
    <col min="6175" max="6175" width="145" style="3056" customWidth="1"/>
    <col min="6176" max="6176" width="55" style="3056" customWidth="1"/>
    <col min="6177" max="6179" width="10.6640625" style="3056" customWidth="1"/>
    <col min="6180" max="6181" width="16" style="3056" customWidth="1"/>
    <col min="6182" max="6183" width="14.33203125" style="3056" customWidth="1"/>
    <col min="6184" max="6185" width="21.88671875" style="3056" customWidth="1"/>
    <col min="6186" max="6186" width="6.21875" style="3056" customWidth="1"/>
    <col min="6187" max="6187" width="23" style="3056" customWidth="1"/>
    <col min="6188" max="6188" width="16.88671875" style="3056" customWidth="1"/>
    <col min="6189" max="6190" width="20.109375" style="3056" customWidth="1"/>
    <col min="6191" max="6191" width="7.88671875" style="3056" customWidth="1"/>
    <col min="6192" max="6400" width="9" style="3056"/>
    <col min="6401" max="6401" width="101.6640625" style="3056" customWidth="1"/>
    <col min="6402" max="6402" width="6.21875" style="3056" customWidth="1"/>
    <col min="6403" max="6403" width="11.77734375" style="3056" customWidth="1"/>
    <col min="6404" max="6404" width="7.88671875" style="3056" customWidth="1"/>
    <col min="6405" max="6405" width="17.88671875" style="3056" customWidth="1"/>
    <col min="6406" max="6406" width="86.88671875" style="3056" customWidth="1"/>
    <col min="6407" max="6407" width="21.109375" style="3056" customWidth="1"/>
    <col min="6408" max="6409" width="13.88671875" style="3056" customWidth="1"/>
    <col min="6410" max="6410" width="36" style="3056" customWidth="1"/>
    <col min="6411" max="6411" width="7.88671875" style="3056" customWidth="1"/>
    <col min="6412" max="6412" width="65.77734375" style="3056" customWidth="1"/>
    <col min="6413" max="6414" width="7.88671875" style="3056" customWidth="1"/>
    <col min="6415" max="6415" width="11.21875" style="3056" customWidth="1"/>
    <col min="6416" max="6416" width="31.21875" style="3056" customWidth="1"/>
    <col min="6417" max="6417" width="9.6640625" style="3056" customWidth="1"/>
    <col min="6418" max="6419" width="15.44140625" style="3056" customWidth="1"/>
    <col min="6420" max="6420" width="12.88671875" style="3056" customWidth="1"/>
    <col min="6421" max="6422" width="11.21875" style="3056" customWidth="1"/>
    <col min="6423" max="6423" width="17.88671875" style="3056" customWidth="1"/>
    <col min="6424" max="6424" width="7.88671875" style="3056" customWidth="1"/>
    <col min="6425" max="6428" width="9" style="3056" customWidth="1"/>
    <col min="6429" max="6429" width="21.109375" style="3056" customWidth="1"/>
    <col min="6430" max="6430" width="7.88671875" style="3056" customWidth="1"/>
    <col min="6431" max="6431" width="145" style="3056" customWidth="1"/>
    <col min="6432" max="6432" width="55" style="3056" customWidth="1"/>
    <col min="6433" max="6435" width="10.6640625" style="3056" customWidth="1"/>
    <col min="6436" max="6437" width="16" style="3056" customWidth="1"/>
    <col min="6438" max="6439" width="14.33203125" style="3056" customWidth="1"/>
    <col min="6440" max="6441" width="21.88671875" style="3056" customWidth="1"/>
    <col min="6442" max="6442" width="6.21875" style="3056" customWidth="1"/>
    <col min="6443" max="6443" width="23" style="3056" customWidth="1"/>
    <col min="6444" max="6444" width="16.88671875" style="3056" customWidth="1"/>
    <col min="6445" max="6446" width="20.109375" style="3056" customWidth="1"/>
    <col min="6447" max="6447" width="7.88671875" style="3056" customWidth="1"/>
    <col min="6448" max="6656" width="9" style="3056"/>
    <col min="6657" max="6657" width="101.6640625" style="3056" customWidth="1"/>
    <col min="6658" max="6658" width="6.21875" style="3056" customWidth="1"/>
    <col min="6659" max="6659" width="11.77734375" style="3056" customWidth="1"/>
    <col min="6660" max="6660" width="7.88671875" style="3056" customWidth="1"/>
    <col min="6661" max="6661" width="17.88671875" style="3056" customWidth="1"/>
    <col min="6662" max="6662" width="86.88671875" style="3056" customWidth="1"/>
    <col min="6663" max="6663" width="21.109375" style="3056" customWidth="1"/>
    <col min="6664" max="6665" width="13.88671875" style="3056" customWidth="1"/>
    <col min="6666" max="6666" width="36" style="3056" customWidth="1"/>
    <col min="6667" max="6667" width="7.88671875" style="3056" customWidth="1"/>
    <col min="6668" max="6668" width="65.77734375" style="3056" customWidth="1"/>
    <col min="6669" max="6670" width="7.88671875" style="3056" customWidth="1"/>
    <col min="6671" max="6671" width="11.21875" style="3056" customWidth="1"/>
    <col min="6672" max="6672" width="31.21875" style="3056" customWidth="1"/>
    <col min="6673" max="6673" width="9.6640625" style="3056" customWidth="1"/>
    <col min="6674" max="6675" width="15.44140625" style="3056" customWidth="1"/>
    <col min="6676" max="6676" width="12.88671875" style="3056" customWidth="1"/>
    <col min="6677" max="6678" width="11.21875" style="3056" customWidth="1"/>
    <col min="6679" max="6679" width="17.88671875" style="3056" customWidth="1"/>
    <col min="6680" max="6680" width="7.88671875" style="3056" customWidth="1"/>
    <col min="6681" max="6684" width="9" style="3056" customWidth="1"/>
    <col min="6685" max="6685" width="21.109375" style="3056" customWidth="1"/>
    <col min="6686" max="6686" width="7.88671875" style="3056" customWidth="1"/>
    <col min="6687" max="6687" width="145" style="3056" customWidth="1"/>
    <col min="6688" max="6688" width="55" style="3056" customWidth="1"/>
    <col min="6689" max="6691" width="10.6640625" style="3056" customWidth="1"/>
    <col min="6692" max="6693" width="16" style="3056" customWidth="1"/>
    <col min="6694" max="6695" width="14.33203125" style="3056" customWidth="1"/>
    <col min="6696" max="6697" width="21.88671875" style="3056" customWidth="1"/>
    <col min="6698" max="6698" width="6.21875" style="3056" customWidth="1"/>
    <col min="6699" max="6699" width="23" style="3056" customWidth="1"/>
    <col min="6700" max="6700" width="16.88671875" style="3056" customWidth="1"/>
    <col min="6701" max="6702" width="20.109375" style="3056" customWidth="1"/>
    <col min="6703" max="6703" width="7.88671875" style="3056" customWidth="1"/>
    <col min="6704" max="6912" width="9" style="3056"/>
    <col min="6913" max="6913" width="101.6640625" style="3056" customWidth="1"/>
    <col min="6914" max="6914" width="6.21875" style="3056" customWidth="1"/>
    <col min="6915" max="6915" width="11.77734375" style="3056" customWidth="1"/>
    <col min="6916" max="6916" width="7.88671875" style="3056" customWidth="1"/>
    <col min="6917" max="6917" width="17.88671875" style="3056" customWidth="1"/>
    <col min="6918" max="6918" width="86.88671875" style="3056" customWidth="1"/>
    <col min="6919" max="6919" width="21.109375" style="3056" customWidth="1"/>
    <col min="6920" max="6921" width="13.88671875" style="3056" customWidth="1"/>
    <col min="6922" max="6922" width="36" style="3056" customWidth="1"/>
    <col min="6923" max="6923" width="7.88671875" style="3056" customWidth="1"/>
    <col min="6924" max="6924" width="65.77734375" style="3056" customWidth="1"/>
    <col min="6925" max="6926" width="7.88671875" style="3056" customWidth="1"/>
    <col min="6927" max="6927" width="11.21875" style="3056" customWidth="1"/>
    <col min="6928" max="6928" width="31.21875" style="3056" customWidth="1"/>
    <col min="6929" max="6929" width="9.6640625" style="3056" customWidth="1"/>
    <col min="6930" max="6931" width="15.44140625" style="3056" customWidth="1"/>
    <col min="6932" max="6932" width="12.88671875" style="3056" customWidth="1"/>
    <col min="6933" max="6934" width="11.21875" style="3056" customWidth="1"/>
    <col min="6935" max="6935" width="17.88671875" style="3056" customWidth="1"/>
    <col min="6936" max="6936" width="7.88671875" style="3056" customWidth="1"/>
    <col min="6937" max="6940" width="9" style="3056" customWidth="1"/>
    <col min="6941" max="6941" width="21.109375" style="3056" customWidth="1"/>
    <col min="6942" max="6942" width="7.88671875" style="3056" customWidth="1"/>
    <col min="6943" max="6943" width="145" style="3056" customWidth="1"/>
    <col min="6944" max="6944" width="55" style="3056" customWidth="1"/>
    <col min="6945" max="6947" width="10.6640625" style="3056" customWidth="1"/>
    <col min="6948" max="6949" width="16" style="3056" customWidth="1"/>
    <col min="6950" max="6951" width="14.33203125" style="3056" customWidth="1"/>
    <col min="6952" max="6953" width="21.88671875" style="3056" customWidth="1"/>
    <col min="6954" max="6954" width="6.21875" style="3056" customWidth="1"/>
    <col min="6955" max="6955" width="23" style="3056" customWidth="1"/>
    <col min="6956" max="6956" width="16.88671875" style="3056" customWidth="1"/>
    <col min="6957" max="6958" width="20.109375" style="3056" customWidth="1"/>
    <col min="6959" max="6959" width="7.88671875" style="3056" customWidth="1"/>
    <col min="6960" max="7168" width="9" style="3056"/>
    <col min="7169" max="7169" width="101.6640625" style="3056" customWidth="1"/>
    <col min="7170" max="7170" width="6.21875" style="3056" customWidth="1"/>
    <col min="7171" max="7171" width="11.77734375" style="3056" customWidth="1"/>
    <col min="7172" max="7172" width="7.88671875" style="3056" customWidth="1"/>
    <col min="7173" max="7173" width="17.88671875" style="3056" customWidth="1"/>
    <col min="7174" max="7174" width="86.88671875" style="3056" customWidth="1"/>
    <col min="7175" max="7175" width="21.109375" style="3056" customWidth="1"/>
    <col min="7176" max="7177" width="13.88671875" style="3056" customWidth="1"/>
    <col min="7178" max="7178" width="36" style="3056" customWidth="1"/>
    <col min="7179" max="7179" width="7.88671875" style="3056" customWidth="1"/>
    <col min="7180" max="7180" width="65.77734375" style="3056" customWidth="1"/>
    <col min="7181" max="7182" width="7.88671875" style="3056" customWidth="1"/>
    <col min="7183" max="7183" width="11.21875" style="3056" customWidth="1"/>
    <col min="7184" max="7184" width="31.21875" style="3056" customWidth="1"/>
    <col min="7185" max="7185" width="9.6640625" style="3056" customWidth="1"/>
    <col min="7186" max="7187" width="15.44140625" style="3056" customWidth="1"/>
    <col min="7188" max="7188" width="12.88671875" style="3056" customWidth="1"/>
    <col min="7189" max="7190" width="11.21875" style="3056" customWidth="1"/>
    <col min="7191" max="7191" width="17.88671875" style="3056" customWidth="1"/>
    <col min="7192" max="7192" width="7.88671875" style="3056" customWidth="1"/>
    <col min="7193" max="7196" width="9" style="3056" customWidth="1"/>
    <col min="7197" max="7197" width="21.109375" style="3056" customWidth="1"/>
    <col min="7198" max="7198" width="7.88671875" style="3056" customWidth="1"/>
    <col min="7199" max="7199" width="145" style="3056" customWidth="1"/>
    <col min="7200" max="7200" width="55" style="3056" customWidth="1"/>
    <col min="7201" max="7203" width="10.6640625" style="3056" customWidth="1"/>
    <col min="7204" max="7205" width="16" style="3056" customWidth="1"/>
    <col min="7206" max="7207" width="14.33203125" style="3056" customWidth="1"/>
    <col min="7208" max="7209" width="21.88671875" style="3056" customWidth="1"/>
    <col min="7210" max="7210" width="6.21875" style="3056" customWidth="1"/>
    <col min="7211" max="7211" width="23" style="3056" customWidth="1"/>
    <col min="7212" max="7212" width="16.88671875" style="3056" customWidth="1"/>
    <col min="7213" max="7214" width="20.109375" style="3056" customWidth="1"/>
    <col min="7215" max="7215" width="7.88671875" style="3056" customWidth="1"/>
    <col min="7216" max="7424" width="9" style="3056"/>
    <col min="7425" max="7425" width="101.6640625" style="3056" customWidth="1"/>
    <col min="7426" max="7426" width="6.21875" style="3056" customWidth="1"/>
    <col min="7427" max="7427" width="11.77734375" style="3056" customWidth="1"/>
    <col min="7428" max="7428" width="7.88671875" style="3056" customWidth="1"/>
    <col min="7429" max="7429" width="17.88671875" style="3056" customWidth="1"/>
    <col min="7430" max="7430" width="86.88671875" style="3056" customWidth="1"/>
    <col min="7431" max="7431" width="21.109375" style="3056" customWidth="1"/>
    <col min="7432" max="7433" width="13.88671875" style="3056" customWidth="1"/>
    <col min="7434" max="7434" width="36" style="3056" customWidth="1"/>
    <col min="7435" max="7435" width="7.88671875" style="3056" customWidth="1"/>
    <col min="7436" max="7436" width="65.77734375" style="3056" customWidth="1"/>
    <col min="7437" max="7438" width="7.88671875" style="3056" customWidth="1"/>
    <col min="7439" max="7439" width="11.21875" style="3056" customWidth="1"/>
    <col min="7440" max="7440" width="31.21875" style="3056" customWidth="1"/>
    <col min="7441" max="7441" width="9.6640625" style="3056" customWidth="1"/>
    <col min="7442" max="7443" width="15.44140625" style="3056" customWidth="1"/>
    <col min="7444" max="7444" width="12.88671875" style="3056" customWidth="1"/>
    <col min="7445" max="7446" width="11.21875" style="3056" customWidth="1"/>
    <col min="7447" max="7447" width="17.88671875" style="3056" customWidth="1"/>
    <col min="7448" max="7448" width="7.88671875" style="3056" customWidth="1"/>
    <col min="7449" max="7452" width="9" style="3056" customWidth="1"/>
    <col min="7453" max="7453" width="21.109375" style="3056" customWidth="1"/>
    <col min="7454" max="7454" width="7.88671875" style="3056" customWidth="1"/>
    <col min="7455" max="7455" width="145" style="3056" customWidth="1"/>
    <col min="7456" max="7456" width="55" style="3056" customWidth="1"/>
    <col min="7457" max="7459" width="10.6640625" style="3056" customWidth="1"/>
    <col min="7460" max="7461" width="16" style="3056" customWidth="1"/>
    <col min="7462" max="7463" width="14.33203125" style="3056" customWidth="1"/>
    <col min="7464" max="7465" width="21.88671875" style="3056" customWidth="1"/>
    <col min="7466" max="7466" width="6.21875" style="3056" customWidth="1"/>
    <col min="7467" max="7467" width="23" style="3056" customWidth="1"/>
    <col min="7468" max="7468" width="16.88671875" style="3056" customWidth="1"/>
    <col min="7469" max="7470" width="20.109375" style="3056" customWidth="1"/>
    <col min="7471" max="7471" width="7.88671875" style="3056" customWidth="1"/>
    <col min="7472" max="7680" width="9" style="3056"/>
    <col min="7681" max="7681" width="101.6640625" style="3056" customWidth="1"/>
    <col min="7682" max="7682" width="6.21875" style="3056" customWidth="1"/>
    <col min="7683" max="7683" width="11.77734375" style="3056" customWidth="1"/>
    <col min="7684" max="7684" width="7.88671875" style="3056" customWidth="1"/>
    <col min="7685" max="7685" width="17.88671875" style="3056" customWidth="1"/>
    <col min="7686" max="7686" width="86.88671875" style="3056" customWidth="1"/>
    <col min="7687" max="7687" width="21.109375" style="3056" customWidth="1"/>
    <col min="7688" max="7689" width="13.88671875" style="3056" customWidth="1"/>
    <col min="7690" max="7690" width="36" style="3056" customWidth="1"/>
    <col min="7691" max="7691" width="7.88671875" style="3056" customWidth="1"/>
    <col min="7692" max="7692" width="65.77734375" style="3056" customWidth="1"/>
    <col min="7693" max="7694" width="7.88671875" style="3056" customWidth="1"/>
    <col min="7695" max="7695" width="11.21875" style="3056" customWidth="1"/>
    <col min="7696" max="7696" width="31.21875" style="3056" customWidth="1"/>
    <col min="7697" max="7697" width="9.6640625" style="3056" customWidth="1"/>
    <col min="7698" max="7699" width="15.44140625" style="3056" customWidth="1"/>
    <col min="7700" max="7700" width="12.88671875" style="3056" customWidth="1"/>
    <col min="7701" max="7702" width="11.21875" style="3056" customWidth="1"/>
    <col min="7703" max="7703" width="17.88671875" style="3056" customWidth="1"/>
    <col min="7704" max="7704" width="7.88671875" style="3056" customWidth="1"/>
    <col min="7705" max="7708" width="9" style="3056" customWidth="1"/>
    <col min="7709" max="7709" width="21.109375" style="3056" customWidth="1"/>
    <col min="7710" max="7710" width="7.88671875" style="3056" customWidth="1"/>
    <col min="7711" max="7711" width="145" style="3056" customWidth="1"/>
    <col min="7712" max="7712" width="55" style="3056" customWidth="1"/>
    <col min="7713" max="7715" width="10.6640625" style="3056" customWidth="1"/>
    <col min="7716" max="7717" width="16" style="3056" customWidth="1"/>
    <col min="7718" max="7719" width="14.33203125" style="3056" customWidth="1"/>
    <col min="7720" max="7721" width="21.88671875" style="3056" customWidth="1"/>
    <col min="7722" max="7722" width="6.21875" style="3056" customWidth="1"/>
    <col min="7723" max="7723" width="23" style="3056" customWidth="1"/>
    <col min="7724" max="7724" width="16.88671875" style="3056" customWidth="1"/>
    <col min="7725" max="7726" width="20.109375" style="3056" customWidth="1"/>
    <col min="7727" max="7727" width="7.88671875" style="3056" customWidth="1"/>
    <col min="7728" max="7936" width="9" style="3056"/>
    <col min="7937" max="7937" width="101.6640625" style="3056" customWidth="1"/>
    <col min="7938" max="7938" width="6.21875" style="3056" customWidth="1"/>
    <col min="7939" max="7939" width="11.77734375" style="3056" customWidth="1"/>
    <col min="7940" max="7940" width="7.88671875" style="3056" customWidth="1"/>
    <col min="7941" max="7941" width="17.88671875" style="3056" customWidth="1"/>
    <col min="7942" max="7942" width="86.88671875" style="3056" customWidth="1"/>
    <col min="7943" max="7943" width="21.109375" style="3056" customWidth="1"/>
    <col min="7944" max="7945" width="13.88671875" style="3056" customWidth="1"/>
    <col min="7946" max="7946" width="36" style="3056" customWidth="1"/>
    <col min="7947" max="7947" width="7.88671875" style="3056" customWidth="1"/>
    <col min="7948" max="7948" width="65.77734375" style="3056" customWidth="1"/>
    <col min="7949" max="7950" width="7.88671875" style="3056" customWidth="1"/>
    <col min="7951" max="7951" width="11.21875" style="3056" customWidth="1"/>
    <col min="7952" max="7952" width="31.21875" style="3056" customWidth="1"/>
    <col min="7953" max="7953" width="9.6640625" style="3056" customWidth="1"/>
    <col min="7954" max="7955" width="15.44140625" style="3056" customWidth="1"/>
    <col min="7956" max="7956" width="12.88671875" style="3056" customWidth="1"/>
    <col min="7957" max="7958" width="11.21875" style="3056" customWidth="1"/>
    <col min="7959" max="7959" width="17.88671875" style="3056" customWidth="1"/>
    <col min="7960" max="7960" width="7.88671875" style="3056" customWidth="1"/>
    <col min="7961" max="7964" width="9" style="3056" customWidth="1"/>
    <col min="7965" max="7965" width="21.109375" style="3056" customWidth="1"/>
    <col min="7966" max="7966" width="7.88671875" style="3056" customWidth="1"/>
    <col min="7967" max="7967" width="145" style="3056" customWidth="1"/>
    <col min="7968" max="7968" width="55" style="3056" customWidth="1"/>
    <col min="7969" max="7971" width="10.6640625" style="3056" customWidth="1"/>
    <col min="7972" max="7973" width="16" style="3056" customWidth="1"/>
    <col min="7974" max="7975" width="14.33203125" style="3056" customWidth="1"/>
    <col min="7976" max="7977" width="21.88671875" style="3056" customWidth="1"/>
    <col min="7978" max="7978" width="6.21875" style="3056" customWidth="1"/>
    <col min="7979" max="7979" width="23" style="3056" customWidth="1"/>
    <col min="7980" max="7980" width="16.88671875" style="3056" customWidth="1"/>
    <col min="7981" max="7982" width="20.109375" style="3056" customWidth="1"/>
    <col min="7983" max="7983" width="7.88671875" style="3056" customWidth="1"/>
    <col min="7984" max="8192" width="9" style="3056"/>
    <col min="8193" max="8193" width="101.6640625" style="3056" customWidth="1"/>
    <col min="8194" max="8194" width="6.21875" style="3056" customWidth="1"/>
    <col min="8195" max="8195" width="11.77734375" style="3056" customWidth="1"/>
    <col min="8196" max="8196" width="7.88671875" style="3056" customWidth="1"/>
    <col min="8197" max="8197" width="17.88671875" style="3056" customWidth="1"/>
    <col min="8198" max="8198" width="86.88671875" style="3056" customWidth="1"/>
    <col min="8199" max="8199" width="21.109375" style="3056" customWidth="1"/>
    <col min="8200" max="8201" width="13.88671875" style="3056" customWidth="1"/>
    <col min="8202" max="8202" width="36" style="3056" customWidth="1"/>
    <col min="8203" max="8203" width="7.88671875" style="3056" customWidth="1"/>
    <col min="8204" max="8204" width="65.77734375" style="3056" customWidth="1"/>
    <col min="8205" max="8206" width="7.88671875" style="3056" customWidth="1"/>
    <col min="8207" max="8207" width="11.21875" style="3056" customWidth="1"/>
    <col min="8208" max="8208" width="31.21875" style="3056" customWidth="1"/>
    <col min="8209" max="8209" width="9.6640625" style="3056" customWidth="1"/>
    <col min="8210" max="8211" width="15.44140625" style="3056" customWidth="1"/>
    <col min="8212" max="8212" width="12.88671875" style="3056" customWidth="1"/>
    <col min="8213" max="8214" width="11.21875" style="3056" customWidth="1"/>
    <col min="8215" max="8215" width="17.88671875" style="3056" customWidth="1"/>
    <col min="8216" max="8216" width="7.88671875" style="3056" customWidth="1"/>
    <col min="8217" max="8220" width="9" style="3056" customWidth="1"/>
    <col min="8221" max="8221" width="21.109375" style="3056" customWidth="1"/>
    <col min="8222" max="8222" width="7.88671875" style="3056" customWidth="1"/>
    <col min="8223" max="8223" width="145" style="3056" customWidth="1"/>
    <col min="8224" max="8224" width="55" style="3056" customWidth="1"/>
    <col min="8225" max="8227" width="10.6640625" style="3056" customWidth="1"/>
    <col min="8228" max="8229" width="16" style="3056" customWidth="1"/>
    <col min="8230" max="8231" width="14.33203125" style="3056" customWidth="1"/>
    <col min="8232" max="8233" width="21.88671875" style="3056" customWidth="1"/>
    <col min="8234" max="8234" width="6.21875" style="3056" customWidth="1"/>
    <col min="8235" max="8235" width="23" style="3056" customWidth="1"/>
    <col min="8236" max="8236" width="16.88671875" style="3056" customWidth="1"/>
    <col min="8237" max="8238" width="20.109375" style="3056" customWidth="1"/>
    <col min="8239" max="8239" width="7.88671875" style="3056" customWidth="1"/>
    <col min="8240" max="8448" width="9" style="3056"/>
    <col min="8449" max="8449" width="101.6640625" style="3056" customWidth="1"/>
    <col min="8450" max="8450" width="6.21875" style="3056" customWidth="1"/>
    <col min="8451" max="8451" width="11.77734375" style="3056" customWidth="1"/>
    <col min="8452" max="8452" width="7.88671875" style="3056" customWidth="1"/>
    <col min="8453" max="8453" width="17.88671875" style="3056" customWidth="1"/>
    <col min="8454" max="8454" width="86.88671875" style="3056" customWidth="1"/>
    <col min="8455" max="8455" width="21.109375" style="3056" customWidth="1"/>
    <col min="8456" max="8457" width="13.88671875" style="3056" customWidth="1"/>
    <col min="8458" max="8458" width="36" style="3056" customWidth="1"/>
    <col min="8459" max="8459" width="7.88671875" style="3056" customWidth="1"/>
    <col min="8460" max="8460" width="65.77734375" style="3056" customWidth="1"/>
    <col min="8461" max="8462" width="7.88671875" style="3056" customWidth="1"/>
    <col min="8463" max="8463" width="11.21875" style="3056" customWidth="1"/>
    <col min="8464" max="8464" width="31.21875" style="3056" customWidth="1"/>
    <col min="8465" max="8465" width="9.6640625" style="3056" customWidth="1"/>
    <col min="8466" max="8467" width="15.44140625" style="3056" customWidth="1"/>
    <col min="8468" max="8468" width="12.88671875" style="3056" customWidth="1"/>
    <col min="8469" max="8470" width="11.21875" style="3056" customWidth="1"/>
    <col min="8471" max="8471" width="17.88671875" style="3056" customWidth="1"/>
    <col min="8472" max="8472" width="7.88671875" style="3056" customWidth="1"/>
    <col min="8473" max="8476" width="9" style="3056" customWidth="1"/>
    <col min="8477" max="8477" width="21.109375" style="3056" customWidth="1"/>
    <col min="8478" max="8478" width="7.88671875" style="3056" customWidth="1"/>
    <col min="8479" max="8479" width="145" style="3056" customWidth="1"/>
    <col min="8480" max="8480" width="55" style="3056" customWidth="1"/>
    <col min="8481" max="8483" width="10.6640625" style="3056" customWidth="1"/>
    <col min="8484" max="8485" width="16" style="3056" customWidth="1"/>
    <col min="8486" max="8487" width="14.33203125" style="3056" customWidth="1"/>
    <col min="8488" max="8489" width="21.88671875" style="3056" customWidth="1"/>
    <col min="8490" max="8490" width="6.21875" style="3056" customWidth="1"/>
    <col min="8491" max="8491" width="23" style="3056" customWidth="1"/>
    <col min="8492" max="8492" width="16.88671875" style="3056" customWidth="1"/>
    <col min="8493" max="8494" width="20.109375" style="3056" customWidth="1"/>
    <col min="8495" max="8495" width="7.88671875" style="3056" customWidth="1"/>
    <col min="8496" max="8704" width="9" style="3056"/>
    <col min="8705" max="8705" width="101.6640625" style="3056" customWidth="1"/>
    <col min="8706" max="8706" width="6.21875" style="3056" customWidth="1"/>
    <col min="8707" max="8707" width="11.77734375" style="3056" customWidth="1"/>
    <col min="8708" max="8708" width="7.88671875" style="3056" customWidth="1"/>
    <col min="8709" max="8709" width="17.88671875" style="3056" customWidth="1"/>
    <col min="8710" max="8710" width="86.88671875" style="3056" customWidth="1"/>
    <col min="8711" max="8711" width="21.109375" style="3056" customWidth="1"/>
    <col min="8712" max="8713" width="13.88671875" style="3056" customWidth="1"/>
    <col min="8714" max="8714" width="36" style="3056" customWidth="1"/>
    <col min="8715" max="8715" width="7.88671875" style="3056" customWidth="1"/>
    <col min="8716" max="8716" width="65.77734375" style="3056" customWidth="1"/>
    <col min="8717" max="8718" width="7.88671875" style="3056" customWidth="1"/>
    <col min="8719" max="8719" width="11.21875" style="3056" customWidth="1"/>
    <col min="8720" max="8720" width="31.21875" style="3056" customWidth="1"/>
    <col min="8721" max="8721" width="9.6640625" style="3056" customWidth="1"/>
    <col min="8722" max="8723" width="15.44140625" style="3056" customWidth="1"/>
    <col min="8724" max="8724" width="12.88671875" style="3056" customWidth="1"/>
    <col min="8725" max="8726" width="11.21875" style="3056" customWidth="1"/>
    <col min="8727" max="8727" width="17.88671875" style="3056" customWidth="1"/>
    <col min="8728" max="8728" width="7.88671875" style="3056" customWidth="1"/>
    <col min="8729" max="8732" width="9" style="3056" customWidth="1"/>
    <col min="8733" max="8733" width="21.109375" style="3056" customWidth="1"/>
    <col min="8734" max="8734" width="7.88671875" style="3056" customWidth="1"/>
    <col min="8735" max="8735" width="145" style="3056" customWidth="1"/>
    <col min="8736" max="8736" width="55" style="3056" customWidth="1"/>
    <col min="8737" max="8739" width="10.6640625" style="3056" customWidth="1"/>
    <col min="8740" max="8741" width="16" style="3056" customWidth="1"/>
    <col min="8742" max="8743" width="14.33203125" style="3056" customWidth="1"/>
    <col min="8744" max="8745" width="21.88671875" style="3056" customWidth="1"/>
    <col min="8746" max="8746" width="6.21875" style="3056" customWidth="1"/>
    <col min="8747" max="8747" width="23" style="3056" customWidth="1"/>
    <col min="8748" max="8748" width="16.88671875" style="3056" customWidth="1"/>
    <col min="8749" max="8750" width="20.109375" style="3056" customWidth="1"/>
    <col min="8751" max="8751" width="7.88671875" style="3056" customWidth="1"/>
    <col min="8752" max="8960" width="9" style="3056"/>
    <col min="8961" max="8961" width="101.6640625" style="3056" customWidth="1"/>
    <col min="8962" max="8962" width="6.21875" style="3056" customWidth="1"/>
    <col min="8963" max="8963" width="11.77734375" style="3056" customWidth="1"/>
    <col min="8964" max="8964" width="7.88671875" style="3056" customWidth="1"/>
    <col min="8965" max="8965" width="17.88671875" style="3056" customWidth="1"/>
    <col min="8966" max="8966" width="86.88671875" style="3056" customWidth="1"/>
    <col min="8967" max="8967" width="21.109375" style="3056" customWidth="1"/>
    <col min="8968" max="8969" width="13.88671875" style="3056" customWidth="1"/>
    <col min="8970" max="8970" width="36" style="3056" customWidth="1"/>
    <col min="8971" max="8971" width="7.88671875" style="3056" customWidth="1"/>
    <col min="8972" max="8972" width="65.77734375" style="3056" customWidth="1"/>
    <col min="8973" max="8974" width="7.88671875" style="3056" customWidth="1"/>
    <col min="8975" max="8975" width="11.21875" style="3056" customWidth="1"/>
    <col min="8976" max="8976" width="31.21875" style="3056" customWidth="1"/>
    <col min="8977" max="8977" width="9.6640625" style="3056" customWidth="1"/>
    <col min="8978" max="8979" width="15.44140625" style="3056" customWidth="1"/>
    <col min="8980" max="8980" width="12.88671875" style="3056" customWidth="1"/>
    <col min="8981" max="8982" width="11.21875" style="3056" customWidth="1"/>
    <col min="8983" max="8983" width="17.88671875" style="3056" customWidth="1"/>
    <col min="8984" max="8984" width="7.88671875" style="3056" customWidth="1"/>
    <col min="8985" max="8988" width="9" style="3056" customWidth="1"/>
    <col min="8989" max="8989" width="21.109375" style="3056" customWidth="1"/>
    <col min="8990" max="8990" width="7.88671875" style="3056" customWidth="1"/>
    <col min="8991" max="8991" width="145" style="3056" customWidth="1"/>
    <col min="8992" max="8992" width="55" style="3056" customWidth="1"/>
    <col min="8993" max="8995" width="10.6640625" style="3056" customWidth="1"/>
    <col min="8996" max="8997" width="16" style="3056" customWidth="1"/>
    <col min="8998" max="8999" width="14.33203125" style="3056" customWidth="1"/>
    <col min="9000" max="9001" width="21.88671875" style="3056" customWidth="1"/>
    <col min="9002" max="9002" width="6.21875" style="3056" customWidth="1"/>
    <col min="9003" max="9003" width="23" style="3056" customWidth="1"/>
    <col min="9004" max="9004" width="16.88671875" style="3056" customWidth="1"/>
    <col min="9005" max="9006" width="20.109375" style="3056" customWidth="1"/>
    <col min="9007" max="9007" width="7.88671875" style="3056" customWidth="1"/>
    <col min="9008" max="9216" width="9" style="3056"/>
    <col min="9217" max="9217" width="101.6640625" style="3056" customWidth="1"/>
    <col min="9218" max="9218" width="6.21875" style="3056" customWidth="1"/>
    <col min="9219" max="9219" width="11.77734375" style="3056" customWidth="1"/>
    <col min="9220" max="9220" width="7.88671875" style="3056" customWidth="1"/>
    <col min="9221" max="9221" width="17.88671875" style="3056" customWidth="1"/>
    <col min="9222" max="9222" width="86.88671875" style="3056" customWidth="1"/>
    <col min="9223" max="9223" width="21.109375" style="3056" customWidth="1"/>
    <col min="9224" max="9225" width="13.88671875" style="3056" customWidth="1"/>
    <col min="9226" max="9226" width="36" style="3056" customWidth="1"/>
    <col min="9227" max="9227" width="7.88671875" style="3056" customWidth="1"/>
    <col min="9228" max="9228" width="65.77734375" style="3056" customWidth="1"/>
    <col min="9229" max="9230" width="7.88671875" style="3056" customWidth="1"/>
    <col min="9231" max="9231" width="11.21875" style="3056" customWidth="1"/>
    <col min="9232" max="9232" width="31.21875" style="3056" customWidth="1"/>
    <col min="9233" max="9233" width="9.6640625" style="3056" customWidth="1"/>
    <col min="9234" max="9235" width="15.44140625" style="3056" customWidth="1"/>
    <col min="9236" max="9236" width="12.88671875" style="3056" customWidth="1"/>
    <col min="9237" max="9238" width="11.21875" style="3056" customWidth="1"/>
    <col min="9239" max="9239" width="17.88671875" style="3056" customWidth="1"/>
    <col min="9240" max="9240" width="7.88671875" style="3056" customWidth="1"/>
    <col min="9241" max="9244" width="9" style="3056" customWidth="1"/>
    <col min="9245" max="9245" width="21.109375" style="3056" customWidth="1"/>
    <col min="9246" max="9246" width="7.88671875" style="3056" customWidth="1"/>
    <col min="9247" max="9247" width="145" style="3056" customWidth="1"/>
    <col min="9248" max="9248" width="55" style="3056" customWidth="1"/>
    <col min="9249" max="9251" width="10.6640625" style="3056" customWidth="1"/>
    <col min="9252" max="9253" width="16" style="3056" customWidth="1"/>
    <col min="9254" max="9255" width="14.33203125" style="3056" customWidth="1"/>
    <col min="9256" max="9257" width="21.88671875" style="3056" customWidth="1"/>
    <col min="9258" max="9258" width="6.21875" style="3056" customWidth="1"/>
    <col min="9259" max="9259" width="23" style="3056" customWidth="1"/>
    <col min="9260" max="9260" width="16.88671875" style="3056" customWidth="1"/>
    <col min="9261" max="9262" width="20.109375" style="3056" customWidth="1"/>
    <col min="9263" max="9263" width="7.88671875" style="3056" customWidth="1"/>
    <col min="9264" max="9472" width="9" style="3056"/>
    <col min="9473" max="9473" width="101.6640625" style="3056" customWidth="1"/>
    <col min="9474" max="9474" width="6.21875" style="3056" customWidth="1"/>
    <col min="9475" max="9475" width="11.77734375" style="3056" customWidth="1"/>
    <col min="9476" max="9476" width="7.88671875" style="3056" customWidth="1"/>
    <col min="9477" max="9477" width="17.88671875" style="3056" customWidth="1"/>
    <col min="9478" max="9478" width="86.88671875" style="3056" customWidth="1"/>
    <col min="9479" max="9479" width="21.109375" style="3056" customWidth="1"/>
    <col min="9480" max="9481" width="13.88671875" style="3056" customWidth="1"/>
    <col min="9482" max="9482" width="36" style="3056" customWidth="1"/>
    <col min="9483" max="9483" width="7.88671875" style="3056" customWidth="1"/>
    <col min="9484" max="9484" width="65.77734375" style="3056" customWidth="1"/>
    <col min="9485" max="9486" width="7.88671875" style="3056" customWidth="1"/>
    <col min="9487" max="9487" width="11.21875" style="3056" customWidth="1"/>
    <col min="9488" max="9488" width="31.21875" style="3056" customWidth="1"/>
    <col min="9489" max="9489" width="9.6640625" style="3056" customWidth="1"/>
    <col min="9490" max="9491" width="15.44140625" style="3056" customWidth="1"/>
    <col min="9492" max="9492" width="12.88671875" style="3056" customWidth="1"/>
    <col min="9493" max="9494" width="11.21875" style="3056" customWidth="1"/>
    <col min="9495" max="9495" width="17.88671875" style="3056" customWidth="1"/>
    <col min="9496" max="9496" width="7.88671875" style="3056" customWidth="1"/>
    <col min="9497" max="9500" width="9" style="3056" customWidth="1"/>
    <col min="9501" max="9501" width="21.109375" style="3056" customWidth="1"/>
    <col min="9502" max="9502" width="7.88671875" style="3056" customWidth="1"/>
    <col min="9503" max="9503" width="145" style="3056" customWidth="1"/>
    <col min="9504" max="9504" width="55" style="3056" customWidth="1"/>
    <col min="9505" max="9507" width="10.6640625" style="3056" customWidth="1"/>
    <col min="9508" max="9509" width="16" style="3056" customWidth="1"/>
    <col min="9510" max="9511" width="14.33203125" style="3056" customWidth="1"/>
    <col min="9512" max="9513" width="21.88671875" style="3056" customWidth="1"/>
    <col min="9514" max="9514" width="6.21875" style="3056" customWidth="1"/>
    <col min="9515" max="9515" width="23" style="3056" customWidth="1"/>
    <col min="9516" max="9516" width="16.88671875" style="3056" customWidth="1"/>
    <col min="9517" max="9518" width="20.109375" style="3056" customWidth="1"/>
    <col min="9519" max="9519" width="7.88671875" style="3056" customWidth="1"/>
    <col min="9520" max="9728" width="9" style="3056"/>
    <col min="9729" max="9729" width="101.6640625" style="3056" customWidth="1"/>
    <col min="9730" max="9730" width="6.21875" style="3056" customWidth="1"/>
    <col min="9731" max="9731" width="11.77734375" style="3056" customWidth="1"/>
    <col min="9732" max="9732" width="7.88671875" style="3056" customWidth="1"/>
    <col min="9733" max="9733" width="17.88671875" style="3056" customWidth="1"/>
    <col min="9734" max="9734" width="86.88671875" style="3056" customWidth="1"/>
    <col min="9735" max="9735" width="21.109375" style="3056" customWidth="1"/>
    <col min="9736" max="9737" width="13.88671875" style="3056" customWidth="1"/>
    <col min="9738" max="9738" width="36" style="3056" customWidth="1"/>
    <col min="9739" max="9739" width="7.88671875" style="3056" customWidth="1"/>
    <col min="9740" max="9740" width="65.77734375" style="3056" customWidth="1"/>
    <col min="9741" max="9742" width="7.88671875" style="3056" customWidth="1"/>
    <col min="9743" max="9743" width="11.21875" style="3056" customWidth="1"/>
    <col min="9744" max="9744" width="31.21875" style="3056" customWidth="1"/>
    <col min="9745" max="9745" width="9.6640625" style="3056" customWidth="1"/>
    <col min="9746" max="9747" width="15.44140625" style="3056" customWidth="1"/>
    <col min="9748" max="9748" width="12.88671875" style="3056" customWidth="1"/>
    <col min="9749" max="9750" width="11.21875" style="3056" customWidth="1"/>
    <col min="9751" max="9751" width="17.88671875" style="3056" customWidth="1"/>
    <col min="9752" max="9752" width="7.88671875" style="3056" customWidth="1"/>
    <col min="9753" max="9756" width="9" style="3056" customWidth="1"/>
    <col min="9757" max="9757" width="21.109375" style="3056" customWidth="1"/>
    <col min="9758" max="9758" width="7.88671875" style="3056" customWidth="1"/>
    <col min="9759" max="9759" width="145" style="3056" customWidth="1"/>
    <col min="9760" max="9760" width="55" style="3056" customWidth="1"/>
    <col min="9761" max="9763" width="10.6640625" style="3056" customWidth="1"/>
    <col min="9764" max="9765" width="16" style="3056" customWidth="1"/>
    <col min="9766" max="9767" width="14.33203125" style="3056" customWidth="1"/>
    <col min="9768" max="9769" width="21.88671875" style="3056" customWidth="1"/>
    <col min="9770" max="9770" width="6.21875" style="3056" customWidth="1"/>
    <col min="9771" max="9771" width="23" style="3056" customWidth="1"/>
    <col min="9772" max="9772" width="16.88671875" style="3056" customWidth="1"/>
    <col min="9773" max="9774" width="20.109375" style="3056" customWidth="1"/>
    <col min="9775" max="9775" width="7.88671875" style="3056" customWidth="1"/>
    <col min="9776" max="9984" width="9" style="3056"/>
    <col min="9985" max="9985" width="101.6640625" style="3056" customWidth="1"/>
    <col min="9986" max="9986" width="6.21875" style="3056" customWidth="1"/>
    <col min="9987" max="9987" width="11.77734375" style="3056" customWidth="1"/>
    <col min="9988" max="9988" width="7.88671875" style="3056" customWidth="1"/>
    <col min="9989" max="9989" width="17.88671875" style="3056" customWidth="1"/>
    <col min="9990" max="9990" width="86.88671875" style="3056" customWidth="1"/>
    <col min="9991" max="9991" width="21.109375" style="3056" customWidth="1"/>
    <col min="9992" max="9993" width="13.88671875" style="3056" customWidth="1"/>
    <col min="9994" max="9994" width="36" style="3056" customWidth="1"/>
    <col min="9995" max="9995" width="7.88671875" style="3056" customWidth="1"/>
    <col min="9996" max="9996" width="65.77734375" style="3056" customWidth="1"/>
    <col min="9997" max="9998" width="7.88671875" style="3056" customWidth="1"/>
    <col min="9999" max="9999" width="11.21875" style="3056" customWidth="1"/>
    <col min="10000" max="10000" width="31.21875" style="3056" customWidth="1"/>
    <col min="10001" max="10001" width="9.6640625" style="3056" customWidth="1"/>
    <col min="10002" max="10003" width="15.44140625" style="3056" customWidth="1"/>
    <col min="10004" max="10004" width="12.88671875" style="3056" customWidth="1"/>
    <col min="10005" max="10006" width="11.21875" style="3056" customWidth="1"/>
    <col min="10007" max="10007" width="17.88671875" style="3056" customWidth="1"/>
    <col min="10008" max="10008" width="7.88671875" style="3056" customWidth="1"/>
    <col min="10009" max="10012" width="9" style="3056" customWidth="1"/>
    <col min="10013" max="10013" width="21.109375" style="3056" customWidth="1"/>
    <col min="10014" max="10014" width="7.88671875" style="3056" customWidth="1"/>
    <col min="10015" max="10015" width="145" style="3056" customWidth="1"/>
    <col min="10016" max="10016" width="55" style="3056" customWidth="1"/>
    <col min="10017" max="10019" width="10.6640625" style="3056" customWidth="1"/>
    <col min="10020" max="10021" width="16" style="3056" customWidth="1"/>
    <col min="10022" max="10023" width="14.33203125" style="3056" customWidth="1"/>
    <col min="10024" max="10025" width="21.88671875" style="3056" customWidth="1"/>
    <col min="10026" max="10026" width="6.21875" style="3056" customWidth="1"/>
    <col min="10027" max="10027" width="23" style="3056" customWidth="1"/>
    <col min="10028" max="10028" width="16.88671875" style="3056" customWidth="1"/>
    <col min="10029" max="10030" width="20.109375" style="3056" customWidth="1"/>
    <col min="10031" max="10031" width="7.88671875" style="3056" customWidth="1"/>
    <col min="10032" max="10240" width="9" style="3056"/>
    <col min="10241" max="10241" width="101.6640625" style="3056" customWidth="1"/>
    <col min="10242" max="10242" width="6.21875" style="3056" customWidth="1"/>
    <col min="10243" max="10243" width="11.77734375" style="3056" customWidth="1"/>
    <col min="10244" max="10244" width="7.88671875" style="3056" customWidth="1"/>
    <col min="10245" max="10245" width="17.88671875" style="3056" customWidth="1"/>
    <col min="10246" max="10246" width="86.88671875" style="3056" customWidth="1"/>
    <col min="10247" max="10247" width="21.109375" style="3056" customWidth="1"/>
    <col min="10248" max="10249" width="13.88671875" style="3056" customWidth="1"/>
    <col min="10250" max="10250" width="36" style="3056" customWidth="1"/>
    <col min="10251" max="10251" width="7.88671875" style="3056" customWidth="1"/>
    <col min="10252" max="10252" width="65.77734375" style="3056" customWidth="1"/>
    <col min="10253" max="10254" width="7.88671875" style="3056" customWidth="1"/>
    <col min="10255" max="10255" width="11.21875" style="3056" customWidth="1"/>
    <col min="10256" max="10256" width="31.21875" style="3056" customWidth="1"/>
    <col min="10257" max="10257" width="9.6640625" style="3056" customWidth="1"/>
    <col min="10258" max="10259" width="15.44140625" style="3056" customWidth="1"/>
    <col min="10260" max="10260" width="12.88671875" style="3056" customWidth="1"/>
    <col min="10261" max="10262" width="11.21875" style="3056" customWidth="1"/>
    <col min="10263" max="10263" width="17.88671875" style="3056" customWidth="1"/>
    <col min="10264" max="10264" width="7.88671875" style="3056" customWidth="1"/>
    <col min="10265" max="10268" width="9" style="3056" customWidth="1"/>
    <col min="10269" max="10269" width="21.109375" style="3056" customWidth="1"/>
    <col min="10270" max="10270" width="7.88671875" style="3056" customWidth="1"/>
    <col min="10271" max="10271" width="145" style="3056" customWidth="1"/>
    <col min="10272" max="10272" width="55" style="3056" customWidth="1"/>
    <col min="10273" max="10275" width="10.6640625" style="3056" customWidth="1"/>
    <col min="10276" max="10277" width="16" style="3056" customWidth="1"/>
    <col min="10278" max="10279" width="14.33203125" style="3056" customWidth="1"/>
    <col min="10280" max="10281" width="21.88671875" style="3056" customWidth="1"/>
    <col min="10282" max="10282" width="6.21875" style="3056" customWidth="1"/>
    <col min="10283" max="10283" width="23" style="3056" customWidth="1"/>
    <col min="10284" max="10284" width="16.88671875" style="3056" customWidth="1"/>
    <col min="10285" max="10286" width="20.109375" style="3056" customWidth="1"/>
    <col min="10287" max="10287" width="7.88671875" style="3056" customWidth="1"/>
    <col min="10288" max="10496" width="9" style="3056"/>
    <col min="10497" max="10497" width="101.6640625" style="3056" customWidth="1"/>
    <col min="10498" max="10498" width="6.21875" style="3056" customWidth="1"/>
    <col min="10499" max="10499" width="11.77734375" style="3056" customWidth="1"/>
    <col min="10500" max="10500" width="7.88671875" style="3056" customWidth="1"/>
    <col min="10501" max="10501" width="17.88671875" style="3056" customWidth="1"/>
    <col min="10502" max="10502" width="86.88671875" style="3056" customWidth="1"/>
    <col min="10503" max="10503" width="21.109375" style="3056" customWidth="1"/>
    <col min="10504" max="10505" width="13.88671875" style="3056" customWidth="1"/>
    <col min="10506" max="10506" width="36" style="3056" customWidth="1"/>
    <col min="10507" max="10507" width="7.88671875" style="3056" customWidth="1"/>
    <col min="10508" max="10508" width="65.77734375" style="3056" customWidth="1"/>
    <col min="10509" max="10510" width="7.88671875" style="3056" customWidth="1"/>
    <col min="10511" max="10511" width="11.21875" style="3056" customWidth="1"/>
    <col min="10512" max="10512" width="31.21875" style="3056" customWidth="1"/>
    <col min="10513" max="10513" width="9.6640625" style="3056" customWidth="1"/>
    <col min="10514" max="10515" width="15.44140625" style="3056" customWidth="1"/>
    <col min="10516" max="10516" width="12.88671875" style="3056" customWidth="1"/>
    <col min="10517" max="10518" width="11.21875" style="3056" customWidth="1"/>
    <col min="10519" max="10519" width="17.88671875" style="3056" customWidth="1"/>
    <col min="10520" max="10520" width="7.88671875" style="3056" customWidth="1"/>
    <col min="10521" max="10524" width="9" style="3056" customWidth="1"/>
    <col min="10525" max="10525" width="21.109375" style="3056" customWidth="1"/>
    <col min="10526" max="10526" width="7.88671875" style="3056" customWidth="1"/>
    <col min="10527" max="10527" width="145" style="3056" customWidth="1"/>
    <col min="10528" max="10528" width="55" style="3056" customWidth="1"/>
    <col min="10529" max="10531" width="10.6640625" style="3056" customWidth="1"/>
    <col min="10532" max="10533" width="16" style="3056" customWidth="1"/>
    <col min="10534" max="10535" width="14.33203125" style="3056" customWidth="1"/>
    <col min="10536" max="10537" width="21.88671875" style="3056" customWidth="1"/>
    <col min="10538" max="10538" width="6.21875" style="3056" customWidth="1"/>
    <col min="10539" max="10539" width="23" style="3056" customWidth="1"/>
    <col min="10540" max="10540" width="16.88671875" style="3056" customWidth="1"/>
    <col min="10541" max="10542" width="20.109375" style="3056" customWidth="1"/>
    <col min="10543" max="10543" width="7.88671875" style="3056" customWidth="1"/>
    <col min="10544" max="10752" width="9" style="3056"/>
    <col min="10753" max="10753" width="101.6640625" style="3056" customWidth="1"/>
    <col min="10754" max="10754" width="6.21875" style="3056" customWidth="1"/>
    <col min="10755" max="10755" width="11.77734375" style="3056" customWidth="1"/>
    <col min="10756" max="10756" width="7.88671875" style="3056" customWidth="1"/>
    <col min="10757" max="10757" width="17.88671875" style="3056" customWidth="1"/>
    <col min="10758" max="10758" width="86.88671875" style="3056" customWidth="1"/>
    <col min="10759" max="10759" width="21.109375" style="3056" customWidth="1"/>
    <col min="10760" max="10761" width="13.88671875" style="3056" customWidth="1"/>
    <col min="10762" max="10762" width="36" style="3056" customWidth="1"/>
    <col min="10763" max="10763" width="7.88671875" style="3056" customWidth="1"/>
    <col min="10764" max="10764" width="65.77734375" style="3056" customWidth="1"/>
    <col min="10765" max="10766" width="7.88671875" style="3056" customWidth="1"/>
    <col min="10767" max="10767" width="11.21875" style="3056" customWidth="1"/>
    <col min="10768" max="10768" width="31.21875" style="3056" customWidth="1"/>
    <col min="10769" max="10769" width="9.6640625" style="3056" customWidth="1"/>
    <col min="10770" max="10771" width="15.44140625" style="3056" customWidth="1"/>
    <col min="10772" max="10772" width="12.88671875" style="3056" customWidth="1"/>
    <col min="10773" max="10774" width="11.21875" style="3056" customWidth="1"/>
    <col min="10775" max="10775" width="17.88671875" style="3056" customWidth="1"/>
    <col min="10776" max="10776" width="7.88671875" style="3056" customWidth="1"/>
    <col min="10777" max="10780" width="9" style="3056" customWidth="1"/>
    <col min="10781" max="10781" width="21.109375" style="3056" customWidth="1"/>
    <col min="10782" max="10782" width="7.88671875" style="3056" customWidth="1"/>
    <col min="10783" max="10783" width="145" style="3056" customWidth="1"/>
    <col min="10784" max="10784" width="55" style="3056" customWidth="1"/>
    <col min="10785" max="10787" width="10.6640625" style="3056" customWidth="1"/>
    <col min="10788" max="10789" width="16" style="3056" customWidth="1"/>
    <col min="10790" max="10791" width="14.33203125" style="3056" customWidth="1"/>
    <col min="10792" max="10793" width="21.88671875" style="3056" customWidth="1"/>
    <col min="10794" max="10794" width="6.21875" style="3056" customWidth="1"/>
    <col min="10795" max="10795" width="23" style="3056" customWidth="1"/>
    <col min="10796" max="10796" width="16.88671875" style="3056" customWidth="1"/>
    <col min="10797" max="10798" width="20.109375" style="3056" customWidth="1"/>
    <col min="10799" max="10799" width="7.88671875" style="3056" customWidth="1"/>
    <col min="10800" max="11008" width="9" style="3056"/>
    <col min="11009" max="11009" width="101.6640625" style="3056" customWidth="1"/>
    <col min="11010" max="11010" width="6.21875" style="3056" customWidth="1"/>
    <col min="11011" max="11011" width="11.77734375" style="3056" customWidth="1"/>
    <col min="11012" max="11012" width="7.88671875" style="3056" customWidth="1"/>
    <col min="11013" max="11013" width="17.88671875" style="3056" customWidth="1"/>
    <col min="11014" max="11014" width="86.88671875" style="3056" customWidth="1"/>
    <col min="11015" max="11015" width="21.109375" style="3056" customWidth="1"/>
    <col min="11016" max="11017" width="13.88671875" style="3056" customWidth="1"/>
    <col min="11018" max="11018" width="36" style="3056" customWidth="1"/>
    <col min="11019" max="11019" width="7.88671875" style="3056" customWidth="1"/>
    <col min="11020" max="11020" width="65.77734375" style="3056" customWidth="1"/>
    <col min="11021" max="11022" width="7.88671875" style="3056" customWidth="1"/>
    <col min="11023" max="11023" width="11.21875" style="3056" customWidth="1"/>
    <col min="11024" max="11024" width="31.21875" style="3056" customWidth="1"/>
    <col min="11025" max="11025" width="9.6640625" style="3056" customWidth="1"/>
    <col min="11026" max="11027" width="15.44140625" style="3056" customWidth="1"/>
    <col min="11028" max="11028" width="12.88671875" style="3056" customWidth="1"/>
    <col min="11029" max="11030" width="11.21875" style="3056" customWidth="1"/>
    <col min="11031" max="11031" width="17.88671875" style="3056" customWidth="1"/>
    <col min="11032" max="11032" width="7.88671875" style="3056" customWidth="1"/>
    <col min="11033" max="11036" width="9" style="3056" customWidth="1"/>
    <col min="11037" max="11037" width="21.109375" style="3056" customWidth="1"/>
    <col min="11038" max="11038" width="7.88671875" style="3056" customWidth="1"/>
    <col min="11039" max="11039" width="145" style="3056" customWidth="1"/>
    <col min="11040" max="11040" width="55" style="3056" customWidth="1"/>
    <col min="11041" max="11043" width="10.6640625" style="3056" customWidth="1"/>
    <col min="11044" max="11045" width="16" style="3056" customWidth="1"/>
    <col min="11046" max="11047" width="14.33203125" style="3056" customWidth="1"/>
    <col min="11048" max="11049" width="21.88671875" style="3056" customWidth="1"/>
    <col min="11050" max="11050" width="6.21875" style="3056" customWidth="1"/>
    <col min="11051" max="11051" width="23" style="3056" customWidth="1"/>
    <col min="11052" max="11052" width="16.88671875" style="3056" customWidth="1"/>
    <col min="11053" max="11054" width="20.109375" style="3056" customWidth="1"/>
    <col min="11055" max="11055" width="7.88671875" style="3056" customWidth="1"/>
    <col min="11056" max="11264" width="9" style="3056"/>
    <col min="11265" max="11265" width="101.6640625" style="3056" customWidth="1"/>
    <col min="11266" max="11266" width="6.21875" style="3056" customWidth="1"/>
    <col min="11267" max="11267" width="11.77734375" style="3056" customWidth="1"/>
    <col min="11268" max="11268" width="7.88671875" style="3056" customWidth="1"/>
    <col min="11269" max="11269" width="17.88671875" style="3056" customWidth="1"/>
    <col min="11270" max="11270" width="86.88671875" style="3056" customWidth="1"/>
    <col min="11271" max="11271" width="21.109375" style="3056" customWidth="1"/>
    <col min="11272" max="11273" width="13.88671875" style="3056" customWidth="1"/>
    <col min="11274" max="11274" width="36" style="3056" customWidth="1"/>
    <col min="11275" max="11275" width="7.88671875" style="3056" customWidth="1"/>
    <col min="11276" max="11276" width="65.77734375" style="3056" customWidth="1"/>
    <col min="11277" max="11278" width="7.88671875" style="3056" customWidth="1"/>
    <col min="11279" max="11279" width="11.21875" style="3056" customWidth="1"/>
    <col min="11280" max="11280" width="31.21875" style="3056" customWidth="1"/>
    <col min="11281" max="11281" width="9.6640625" style="3056" customWidth="1"/>
    <col min="11282" max="11283" width="15.44140625" style="3056" customWidth="1"/>
    <col min="11284" max="11284" width="12.88671875" style="3056" customWidth="1"/>
    <col min="11285" max="11286" width="11.21875" style="3056" customWidth="1"/>
    <col min="11287" max="11287" width="17.88671875" style="3056" customWidth="1"/>
    <col min="11288" max="11288" width="7.88671875" style="3056" customWidth="1"/>
    <col min="11289" max="11292" width="9" style="3056" customWidth="1"/>
    <col min="11293" max="11293" width="21.109375" style="3056" customWidth="1"/>
    <col min="11294" max="11294" width="7.88671875" style="3056" customWidth="1"/>
    <col min="11295" max="11295" width="145" style="3056" customWidth="1"/>
    <col min="11296" max="11296" width="55" style="3056" customWidth="1"/>
    <col min="11297" max="11299" width="10.6640625" style="3056" customWidth="1"/>
    <col min="11300" max="11301" width="16" style="3056" customWidth="1"/>
    <col min="11302" max="11303" width="14.33203125" style="3056" customWidth="1"/>
    <col min="11304" max="11305" width="21.88671875" style="3056" customWidth="1"/>
    <col min="11306" max="11306" width="6.21875" style="3056" customWidth="1"/>
    <col min="11307" max="11307" width="23" style="3056" customWidth="1"/>
    <col min="11308" max="11308" width="16.88671875" style="3056" customWidth="1"/>
    <col min="11309" max="11310" width="20.109375" style="3056" customWidth="1"/>
    <col min="11311" max="11311" width="7.88671875" style="3056" customWidth="1"/>
    <col min="11312" max="11520" width="9" style="3056"/>
    <col min="11521" max="11521" width="101.6640625" style="3056" customWidth="1"/>
    <col min="11522" max="11522" width="6.21875" style="3056" customWidth="1"/>
    <col min="11523" max="11523" width="11.77734375" style="3056" customWidth="1"/>
    <col min="11524" max="11524" width="7.88671875" style="3056" customWidth="1"/>
    <col min="11525" max="11525" width="17.88671875" style="3056" customWidth="1"/>
    <col min="11526" max="11526" width="86.88671875" style="3056" customWidth="1"/>
    <col min="11527" max="11527" width="21.109375" style="3056" customWidth="1"/>
    <col min="11528" max="11529" width="13.88671875" style="3056" customWidth="1"/>
    <col min="11530" max="11530" width="36" style="3056" customWidth="1"/>
    <col min="11531" max="11531" width="7.88671875" style="3056" customWidth="1"/>
    <col min="11532" max="11532" width="65.77734375" style="3056" customWidth="1"/>
    <col min="11533" max="11534" width="7.88671875" style="3056" customWidth="1"/>
    <col min="11535" max="11535" width="11.21875" style="3056" customWidth="1"/>
    <col min="11536" max="11536" width="31.21875" style="3056" customWidth="1"/>
    <col min="11537" max="11537" width="9.6640625" style="3056" customWidth="1"/>
    <col min="11538" max="11539" width="15.44140625" style="3056" customWidth="1"/>
    <col min="11540" max="11540" width="12.88671875" style="3056" customWidth="1"/>
    <col min="11541" max="11542" width="11.21875" style="3056" customWidth="1"/>
    <col min="11543" max="11543" width="17.88671875" style="3056" customWidth="1"/>
    <col min="11544" max="11544" width="7.88671875" style="3056" customWidth="1"/>
    <col min="11545" max="11548" width="9" style="3056" customWidth="1"/>
    <col min="11549" max="11549" width="21.109375" style="3056" customWidth="1"/>
    <col min="11550" max="11550" width="7.88671875" style="3056" customWidth="1"/>
    <col min="11551" max="11551" width="145" style="3056" customWidth="1"/>
    <col min="11552" max="11552" width="55" style="3056" customWidth="1"/>
    <col min="11553" max="11555" width="10.6640625" style="3056" customWidth="1"/>
    <col min="11556" max="11557" width="16" style="3056" customWidth="1"/>
    <col min="11558" max="11559" width="14.33203125" style="3056" customWidth="1"/>
    <col min="11560" max="11561" width="21.88671875" style="3056" customWidth="1"/>
    <col min="11562" max="11562" width="6.21875" style="3056" customWidth="1"/>
    <col min="11563" max="11563" width="23" style="3056" customWidth="1"/>
    <col min="11564" max="11564" width="16.88671875" style="3056" customWidth="1"/>
    <col min="11565" max="11566" width="20.109375" style="3056" customWidth="1"/>
    <col min="11567" max="11567" width="7.88671875" style="3056" customWidth="1"/>
    <col min="11568" max="11776" width="9" style="3056"/>
    <col min="11777" max="11777" width="101.6640625" style="3056" customWidth="1"/>
    <col min="11778" max="11778" width="6.21875" style="3056" customWidth="1"/>
    <col min="11779" max="11779" width="11.77734375" style="3056" customWidth="1"/>
    <col min="11780" max="11780" width="7.88671875" style="3056" customWidth="1"/>
    <col min="11781" max="11781" width="17.88671875" style="3056" customWidth="1"/>
    <col min="11782" max="11782" width="86.88671875" style="3056" customWidth="1"/>
    <col min="11783" max="11783" width="21.109375" style="3056" customWidth="1"/>
    <col min="11784" max="11785" width="13.88671875" style="3056" customWidth="1"/>
    <col min="11786" max="11786" width="36" style="3056" customWidth="1"/>
    <col min="11787" max="11787" width="7.88671875" style="3056" customWidth="1"/>
    <col min="11788" max="11788" width="65.77734375" style="3056" customWidth="1"/>
    <col min="11789" max="11790" width="7.88671875" style="3056" customWidth="1"/>
    <col min="11791" max="11791" width="11.21875" style="3056" customWidth="1"/>
    <col min="11792" max="11792" width="31.21875" style="3056" customWidth="1"/>
    <col min="11793" max="11793" width="9.6640625" style="3056" customWidth="1"/>
    <col min="11794" max="11795" width="15.44140625" style="3056" customWidth="1"/>
    <col min="11796" max="11796" width="12.88671875" style="3056" customWidth="1"/>
    <col min="11797" max="11798" width="11.21875" style="3056" customWidth="1"/>
    <col min="11799" max="11799" width="17.88671875" style="3056" customWidth="1"/>
    <col min="11800" max="11800" width="7.88671875" style="3056" customWidth="1"/>
    <col min="11801" max="11804" width="9" style="3056" customWidth="1"/>
    <col min="11805" max="11805" width="21.109375" style="3056" customWidth="1"/>
    <col min="11806" max="11806" width="7.88671875" style="3056" customWidth="1"/>
    <col min="11807" max="11807" width="145" style="3056" customWidth="1"/>
    <col min="11808" max="11808" width="55" style="3056" customWidth="1"/>
    <col min="11809" max="11811" width="10.6640625" style="3056" customWidth="1"/>
    <col min="11812" max="11813" width="16" style="3056" customWidth="1"/>
    <col min="11814" max="11815" width="14.33203125" style="3056" customWidth="1"/>
    <col min="11816" max="11817" width="21.88671875" style="3056" customWidth="1"/>
    <col min="11818" max="11818" width="6.21875" style="3056" customWidth="1"/>
    <col min="11819" max="11819" width="23" style="3056" customWidth="1"/>
    <col min="11820" max="11820" width="16.88671875" style="3056" customWidth="1"/>
    <col min="11821" max="11822" width="20.109375" style="3056" customWidth="1"/>
    <col min="11823" max="11823" width="7.88671875" style="3056" customWidth="1"/>
    <col min="11824" max="12032" width="9" style="3056"/>
    <col min="12033" max="12033" width="101.6640625" style="3056" customWidth="1"/>
    <col min="12034" max="12034" width="6.21875" style="3056" customWidth="1"/>
    <col min="12035" max="12035" width="11.77734375" style="3056" customWidth="1"/>
    <col min="12036" max="12036" width="7.88671875" style="3056" customWidth="1"/>
    <col min="12037" max="12037" width="17.88671875" style="3056" customWidth="1"/>
    <col min="12038" max="12038" width="86.88671875" style="3056" customWidth="1"/>
    <col min="12039" max="12039" width="21.109375" style="3056" customWidth="1"/>
    <col min="12040" max="12041" width="13.88671875" style="3056" customWidth="1"/>
    <col min="12042" max="12042" width="36" style="3056" customWidth="1"/>
    <col min="12043" max="12043" width="7.88671875" style="3056" customWidth="1"/>
    <col min="12044" max="12044" width="65.77734375" style="3056" customWidth="1"/>
    <col min="12045" max="12046" width="7.88671875" style="3056" customWidth="1"/>
    <col min="12047" max="12047" width="11.21875" style="3056" customWidth="1"/>
    <col min="12048" max="12048" width="31.21875" style="3056" customWidth="1"/>
    <col min="12049" max="12049" width="9.6640625" style="3056" customWidth="1"/>
    <col min="12050" max="12051" width="15.44140625" style="3056" customWidth="1"/>
    <col min="12052" max="12052" width="12.88671875" style="3056" customWidth="1"/>
    <col min="12053" max="12054" width="11.21875" style="3056" customWidth="1"/>
    <col min="12055" max="12055" width="17.88671875" style="3056" customWidth="1"/>
    <col min="12056" max="12056" width="7.88671875" style="3056" customWidth="1"/>
    <col min="12057" max="12060" width="9" style="3056" customWidth="1"/>
    <col min="12061" max="12061" width="21.109375" style="3056" customWidth="1"/>
    <col min="12062" max="12062" width="7.88671875" style="3056" customWidth="1"/>
    <col min="12063" max="12063" width="145" style="3056" customWidth="1"/>
    <col min="12064" max="12064" width="55" style="3056" customWidth="1"/>
    <col min="12065" max="12067" width="10.6640625" style="3056" customWidth="1"/>
    <col min="12068" max="12069" width="16" style="3056" customWidth="1"/>
    <col min="12070" max="12071" width="14.33203125" style="3056" customWidth="1"/>
    <col min="12072" max="12073" width="21.88671875" style="3056" customWidth="1"/>
    <col min="12074" max="12074" width="6.21875" style="3056" customWidth="1"/>
    <col min="12075" max="12075" width="23" style="3056" customWidth="1"/>
    <col min="12076" max="12076" width="16.88671875" style="3056" customWidth="1"/>
    <col min="12077" max="12078" width="20.109375" style="3056" customWidth="1"/>
    <col min="12079" max="12079" width="7.88671875" style="3056" customWidth="1"/>
    <col min="12080" max="12288" width="9" style="3056"/>
    <col min="12289" max="12289" width="101.6640625" style="3056" customWidth="1"/>
    <col min="12290" max="12290" width="6.21875" style="3056" customWidth="1"/>
    <col min="12291" max="12291" width="11.77734375" style="3056" customWidth="1"/>
    <col min="12292" max="12292" width="7.88671875" style="3056" customWidth="1"/>
    <col min="12293" max="12293" width="17.88671875" style="3056" customWidth="1"/>
    <col min="12294" max="12294" width="86.88671875" style="3056" customWidth="1"/>
    <col min="12295" max="12295" width="21.109375" style="3056" customWidth="1"/>
    <col min="12296" max="12297" width="13.88671875" style="3056" customWidth="1"/>
    <col min="12298" max="12298" width="36" style="3056" customWidth="1"/>
    <col min="12299" max="12299" width="7.88671875" style="3056" customWidth="1"/>
    <col min="12300" max="12300" width="65.77734375" style="3056" customWidth="1"/>
    <col min="12301" max="12302" width="7.88671875" style="3056" customWidth="1"/>
    <col min="12303" max="12303" width="11.21875" style="3056" customWidth="1"/>
    <col min="12304" max="12304" width="31.21875" style="3056" customWidth="1"/>
    <col min="12305" max="12305" width="9.6640625" style="3056" customWidth="1"/>
    <col min="12306" max="12307" width="15.44140625" style="3056" customWidth="1"/>
    <col min="12308" max="12308" width="12.88671875" style="3056" customWidth="1"/>
    <col min="12309" max="12310" width="11.21875" style="3056" customWidth="1"/>
    <col min="12311" max="12311" width="17.88671875" style="3056" customWidth="1"/>
    <col min="12312" max="12312" width="7.88671875" style="3056" customWidth="1"/>
    <col min="12313" max="12316" width="9" style="3056" customWidth="1"/>
    <col min="12317" max="12317" width="21.109375" style="3056" customWidth="1"/>
    <col min="12318" max="12318" width="7.88671875" style="3056" customWidth="1"/>
    <col min="12319" max="12319" width="145" style="3056" customWidth="1"/>
    <col min="12320" max="12320" width="55" style="3056" customWidth="1"/>
    <col min="12321" max="12323" width="10.6640625" style="3056" customWidth="1"/>
    <col min="12324" max="12325" width="16" style="3056" customWidth="1"/>
    <col min="12326" max="12327" width="14.33203125" style="3056" customWidth="1"/>
    <col min="12328" max="12329" width="21.88671875" style="3056" customWidth="1"/>
    <col min="12330" max="12330" width="6.21875" style="3056" customWidth="1"/>
    <col min="12331" max="12331" width="23" style="3056" customWidth="1"/>
    <col min="12332" max="12332" width="16.88671875" style="3056" customWidth="1"/>
    <col min="12333" max="12334" width="20.109375" style="3056" customWidth="1"/>
    <col min="12335" max="12335" width="7.88671875" style="3056" customWidth="1"/>
    <col min="12336" max="12544" width="9" style="3056"/>
    <col min="12545" max="12545" width="101.6640625" style="3056" customWidth="1"/>
    <col min="12546" max="12546" width="6.21875" style="3056" customWidth="1"/>
    <col min="12547" max="12547" width="11.77734375" style="3056" customWidth="1"/>
    <col min="12548" max="12548" width="7.88671875" style="3056" customWidth="1"/>
    <col min="12549" max="12549" width="17.88671875" style="3056" customWidth="1"/>
    <col min="12550" max="12550" width="86.88671875" style="3056" customWidth="1"/>
    <col min="12551" max="12551" width="21.109375" style="3056" customWidth="1"/>
    <col min="12552" max="12553" width="13.88671875" style="3056" customWidth="1"/>
    <col min="12554" max="12554" width="36" style="3056" customWidth="1"/>
    <col min="12555" max="12555" width="7.88671875" style="3056" customWidth="1"/>
    <col min="12556" max="12556" width="65.77734375" style="3056" customWidth="1"/>
    <col min="12557" max="12558" width="7.88671875" style="3056" customWidth="1"/>
    <col min="12559" max="12559" width="11.21875" style="3056" customWidth="1"/>
    <col min="12560" max="12560" width="31.21875" style="3056" customWidth="1"/>
    <col min="12561" max="12561" width="9.6640625" style="3056" customWidth="1"/>
    <col min="12562" max="12563" width="15.44140625" style="3056" customWidth="1"/>
    <col min="12564" max="12564" width="12.88671875" style="3056" customWidth="1"/>
    <col min="12565" max="12566" width="11.21875" style="3056" customWidth="1"/>
    <col min="12567" max="12567" width="17.88671875" style="3056" customWidth="1"/>
    <col min="12568" max="12568" width="7.88671875" style="3056" customWidth="1"/>
    <col min="12569" max="12572" width="9" style="3056" customWidth="1"/>
    <col min="12573" max="12573" width="21.109375" style="3056" customWidth="1"/>
    <col min="12574" max="12574" width="7.88671875" style="3056" customWidth="1"/>
    <col min="12575" max="12575" width="145" style="3056" customWidth="1"/>
    <col min="12576" max="12576" width="55" style="3056" customWidth="1"/>
    <col min="12577" max="12579" width="10.6640625" style="3056" customWidth="1"/>
    <col min="12580" max="12581" width="16" style="3056" customWidth="1"/>
    <col min="12582" max="12583" width="14.33203125" style="3056" customWidth="1"/>
    <col min="12584" max="12585" width="21.88671875" style="3056" customWidth="1"/>
    <col min="12586" max="12586" width="6.21875" style="3056" customWidth="1"/>
    <col min="12587" max="12587" width="23" style="3056" customWidth="1"/>
    <col min="12588" max="12588" width="16.88671875" style="3056" customWidth="1"/>
    <col min="12589" max="12590" width="20.109375" style="3056" customWidth="1"/>
    <col min="12591" max="12591" width="7.88671875" style="3056" customWidth="1"/>
    <col min="12592" max="12800" width="9" style="3056"/>
    <col min="12801" max="12801" width="101.6640625" style="3056" customWidth="1"/>
    <col min="12802" max="12802" width="6.21875" style="3056" customWidth="1"/>
    <col min="12803" max="12803" width="11.77734375" style="3056" customWidth="1"/>
    <col min="12804" max="12804" width="7.88671875" style="3056" customWidth="1"/>
    <col min="12805" max="12805" width="17.88671875" style="3056" customWidth="1"/>
    <col min="12806" max="12806" width="86.88671875" style="3056" customWidth="1"/>
    <col min="12807" max="12807" width="21.109375" style="3056" customWidth="1"/>
    <col min="12808" max="12809" width="13.88671875" style="3056" customWidth="1"/>
    <col min="12810" max="12810" width="36" style="3056" customWidth="1"/>
    <col min="12811" max="12811" width="7.88671875" style="3056" customWidth="1"/>
    <col min="12812" max="12812" width="65.77734375" style="3056" customWidth="1"/>
    <col min="12813" max="12814" width="7.88671875" style="3056" customWidth="1"/>
    <col min="12815" max="12815" width="11.21875" style="3056" customWidth="1"/>
    <col min="12816" max="12816" width="31.21875" style="3056" customWidth="1"/>
    <col min="12817" max="12817" width="9.6640625" style="3056" customWidth="1"/>
    <col min="12818" max="12819" width="15.44140625" style="3056" customWidth="1"/>
    <col min="12820" max="12820" width="12.88671875" style="3056" customWidth="1"/>
    <col min="12821" max="12822" width="11.21875" style="3056" customWidth="1"/>
    <col min="12823" max="12823" width="17.88671875" style="3056" customWidth="1"/>
    <col min="12824" max="12824" width="7.88671875" style="3056" customWidth="1"/>
    <col min="12825" max="12828" width="9" style="3056" customWidth="1"/>
    <col min="12829" max="12829" width="21.109375" style="3056" customWidth="1"/>
    <col min="12830" max="12830" width="7.88671875" style="3056" customWidth="1"/>
    <col min="12831" max="12831" width="145" style="3056" customWidth="1"/>
    <col min="12832" max="12832" width="55" style="3056" customWidth="1"/>
    <col min="12833" max="12835" width="10.6640625" style="3056" customWidth="1"/>
    <col min="12836" max="12837" width="16" style="3056" customWidth="1"/>
    <col min="12838" max="12839" width="14.33203125" style="3056" customWidth="1"/>
    <col min="12840" max="12841" width="21.88671875" style="3056" customWidth="1"/>
    <col min="12842" max="12842" width="6.21875" style="3056" customWidth="1"/>
    <col min="12843" max="12843" width="23" style="3056" customWidth="1"/>
    <col min="12844" max="12844" width="16.88671875" style="3056" customWidth="1"/>
    <col min="12845" max="12846" width="20.109375" style="3056" customWidth="1"/>
    <col min="12847" max="12847" width="7.88671875" style="3056" customWidth="1"/>
    <col min="12848" max="13056" width="9" style="3056"/>
    <col min="13057" max="13057" width="101.6640625" style="3056" customWidth="1"/>
    <col min="13058" max="13058" width="6.21875" style="3056" customWidth="1"/>
    <col min="13059" max="13059" width="11.77734375" style="3056" customWidth="1"/>
    <col min="13060" max="13060" width="7.88671875" style="3056" customWidth="1"/>
    <col min="13061" max="13061" width="17.88671875" style="3056" customWidth="1"/>
    <col min="13062" max="13062" width="86.88671875" style="3056" customWidth="1"/>
    <col min="13063" max="13063" width="21.109375" style="3056" customWidth="1"/>
    <col min="13064" max="13065" width="13.88671875" style="3056" customWidth="1"/>
    <col min="13066" max="13066" width="36" style="3056" customWidth="1"/>
    <col min="13067" max="13067" width="7.88671875" style="3056" customWidth="1"/>
    <col min="13068" max="13068" width="65.77734375" style="3056" customWidth="1"/>
    <col min="13069" max="13070" width="7.88671875" style="3056" customWidth="1"/>
    <col min="13071" max="13071" width="11.21875" style="3056" customWidth="1"/>
    <col min="13072" max="13072" width="31.21875" style="3056" customWidth="1"/>
    <col min="13073" max="13073" width="9.6640625" style="3056" customWidth="1"/>
    <col min="13074" max="13075" width="15.44140625" style="3056" customWidth="1"/>
    <col min="13076" max="13076" width="12.88671875" style="3056" customWidth="1"/>
    <col min="13077" max="13078" width="11.21875" style="3056" customWidth="1"/>
    <col min="13079" max="13079" width="17.88671875" style="3056" customWidth="1"/>
    <col min="13080" max="13080" width="7.88671875" style="3056" customWidth="1"/>
    <col min="13081" max="13084" width="9" style="3056" customWidth="1"/>
    <col min="13085" max="13085" width="21.109375" style="3056" customWidth="1"/>
    <col min="13086" max="13086" width="7.88671875" style="3056" customWidth="1"/>
    <col min="13087" max="13087" width="145" style="3056" customWidth="1"/>
    <col min="13088" max="13088" width="55" style="3056" customWidth="1"/>
    <col min="13089" max="13091" width="10.6640625" style="3056" customWidth="1"/>
    <col min="13092" max="13093" width="16" style="3056" customWidth="1"/>
    <col min="13094" max="13095" width="14.33203125" style="3056" customWidth="1"/>
    <col min="13096" max="13097" width="21.88671875" style="3056" customWidth="1"/>
    <col min="13098" max="13098" width="6.21875" style="3056" customWidth="1"/>
    <col min="13099" max="13099" width="23" style="3056" customWidth="1"/>
    <col min="13100" max="13100" width="16.88671875" style="3056" customWidth="1"/>
    <col min="13101" max="13102" width="20.109375" style="3056" customWidth="1"/>
    <col min="13103" max="13103" width="7.88671875" style="3056" customWidth="1"/>
    <col min="13104" max="13312" width="9" style="3056"/>
    <col min="13313" max="13313" width="101.6640625" style="3056" customWidth="1"/>
    <col min="13314" max="13314" width="6.21875" style="3056" customWidth="1"/>
    <col min="13315" max="13315" width="11.77734375" style="3056" customWidth="1"/>
    <col min="13316" max="13316" width="7.88671875" style="3056" customWidth="1"/>
    <col min="13317" max="13317" width="17.88671875" style="3056" customWidth="1"/>
    <col min="13318" max="13318" width="86.88671875" style="3056" customWidth="1"/>
    <col min="13319" max="13319" width="21.109375" style="3056" customWidth="1"/>
    <col min="13320" max="13321" width="13.88671875" style="3056" customWidth="1"/>
    <col min="13322" max="13322" width="36" style="3056" customWidth="1"/>
    <col min="13323" max="13323" width="7.88671875" style="3056" customWidth="1"/>
    <col min="13324" max="13324" width="65.77734375" style="3056" customWidth="1"/>
    <col min="13325" max="13326" width="7.88671875" style="3056" customWidth="1"/>
    <col min="13327" max="13327" width="11.21875" style="3056" customWidth="1"/>
    <col min="13328" max="13328" width="31.21875" style="3056" customWidth="1"/>
    <col min="13329" max="13329" width="9.6640625" style="3056" customWidth="1"/>
    <col min="13330" max="13331" width="15.44140625" style="3056" customWidth="1"/>
    <col min="13332" max="13332" width="12.88671875" style="3056" customWidth="1"/>
    <col min="13333" max="13334" width="11.21875" style="3056" customWidth="1"/>
    <col min="13335" max="13335" width="17.88671875" style="3056" customWidth="1"/>
    <col min="13336" max="13336" width="7.88671875" style="3056" customWidth="1"/>
    <col min="13337" max="13340" width="9" style="3056" customWidth="1"/>
    <col min="13341" max="13341" width="21.109375" style="3056" customWidth="1"/>
    <col min="13342" max="13342" width="7.88671875" style="3056" customWidth="1"/>
    <col min="13343" max="13343" width="145" style="3056" customWidth="1"/>
    <col min="13344" max="13344" width="55" style="3056" customWidth="1"/>
    <col min="13345" max="13347" width="10.6640625" style="3056" customWidth="1"/>
    <col min="13348" max="13349" width="16" style="3056" customWidth="1"/>
    <col min="13350" max="13351" width="14.33203125" style="3056" customWidth="1"/>
    <col min="13352" max="13353" width="21.88671875" style="3056" customWidth="1"/>
    <col min="13354" max="13354" width="6.21875" style="3056" customWidth="1"/>
    <col min="13355" max="13355" width="23" style="3056" customWidth="1"/>
    <col min="13356" max="13356" width="16.88671875" style="3056" customWidth="1"/>
    <col min="13357" max="13358" width="20.109375" style="3056" customWidth="1"/>
    <col min="13359" max="13359" width="7.88671875" style="3056" customWidth="1"/>
    <col min="13360" max="13568" width="9" style="3056"/>
    <col min="13569" max="13569" width="101.6640625" style="3056" customWidth="1"/>
    <col min="13570" max="13570" width="6.21875" style="3056" customWidth="1"/>
    <col min="13571" max="13571" width="11.77734375" style="3056" customWidth="1"/>
    <col min="13572" max="13572" width="7.88671875" style="3056" customWidth="1"/>
    <col min="13573" max="13573" width="17.88671875" style="3056" customWidth="1"/>
    <col min="13574" max="13574" width="86.88671875" style="3056" customWidth="1"/>
    <col min="13575" max="13575" width="21.109375" style="3056" customWidth="1"/>
    <col min="13576" max="13577" width="13.88671875" style="3056" customWidth="1"/>
    <col min="13578" max="13578" width="36" style="3056" customWidth="1"/>
    <col min="13579" max="13579" width="7.88671875" style="3056" customWidth="1"/>
    <col min="13580" max="13580" width="65.77734375" style="3056" customWidth="1"/>
    <col min="13581" max="13582" width="7.88671875" style="3056" customWidth="1"/>
    <col min="13583" max="13583" width="11.21875" style="3056" customWidth="1"/>
    <col min="13584" max="13584" width="31.21875" style="3056" customWidth="1"/>
    <col min="13585" max="13585" width="9.6640625" style="3056" customWidth="1"/>
    <col min="13586" max="13587" width="15.44140625" style="3056" customWidth="1"/>
    <col min="13588" max="13588" width="12.88671875" style="3056" customWidth="1"/>
    <col min="13589" max="13590" width="11.21875" style="3056" customWidth="1"/>
    <col min="13591" max="13591" width="17.88671875" style="3056" customWidth="1"/>
    <col min="13592" max="13592" width="7.88671875" style="3056" customWidth="1"/>
    <col min="13593" max="13596" width="9" style="3056" customWidth="1"/>
    <col min="13597" max="13597" width="21.109375" style="3056" customWidth="1"/>
    <col min="13598" max="13598" width="7.88671875" style="3056" customWidth="1"/>
    <col min="13599" max="13599" width="145" style="3056" customWidth="1"/>
    <col min="13600" max="13600" width="55" style="3056" customWidth="1"/>
    <col min="13601" max="13603" width="10.6640625" style="3056" customWidth="1"/>
    <col min="13604" max="13605" width="16" style="3056" customWidth="1"/>
    <col min="13606" max="13607" width="14.33203125" style="3056" customWidth="1"/>
    <col min="13608" max="13609" width="21.88671875" style="3056" customWidth="1"/>
    <col min="13610" max="13610" width="6.21875" style="3056" customWidth="1"/>
    <col min="13611" max="13611" width="23" style="3056" customWidth="1"/>
    <col min="13612" max="13612" width="16.88671875" style="3056" customWidth="1"/>
    <col min="13613" max="13614" width="20.109375" style="3056" customWidth="1"/>
    <col min="13615" max="13615" width="7.88671875" style="3056" customWidth="1"/>
    <col min="13616" max="13824" width="9" style="3056"/>
    <col min="13825" max="13825" width="101.6640625" style="3056" customWidth="1"/>
    <col min="13826" max="13826" width="6.21875" style="3056" customWidth="1"/>
    <col min="13827" max="13827" width="11.77734375" style="3056" customWidth="1"/>
    <col min="13828" max="13828" width="7.88671875" style="3056" customWidth="1"/>
    <col min="13829" max="13829" width="17.88671875" style="3056" customWidth="1"/>
    <col min="13830" max="13830" width="86.88671875" style="3056" customWidth="1"/>
    <col min="13831" max="13831" width="21.109375" style="3056" customWidth="1"/>
    <col min="13832" max="13833" width="13.88671875" style="3056" customWidth="1"/>
    <col min="13834" max="13834" width="36" style="3056" customWidth="1"/>
    <col min="13835" max="13835" width="7.88671875" style="3056" customWidth="1"/>
    <col min="13836" max="13836" width="65.77734375" style="3056" customWidth="1"/>
    <col min="13837" max="13838" width="7.88671875" style="3056" customWidth="1"/>
    <col min="13839" max="13839" width="11.21875" style="3056" customWidth="1"/>
    <col min="13840" max="13840" width="31.21875" style="3056" customWidth="1"/>
    <col min="13841" max="13841" width="9.6640625" style="3056" customWidth="1"/>
    <col min="13842" max="13843" width="15.44140625" style="3056" customWidth="1"/>
    <col min="13844" max="13844" width="12.88671875" style="3056" customWidth="1"/>
    <col min="13845" max="13846" width="11.21875" style="3056" customWidth="1"/>
    <col min="13847" max="13847" width="17.88671875" style="3056" customWidth="1"/>
    <col min="13848" max="13848" width="7.88671875" style="3056" customWidth="1"/>
    <col min="13849" max="13852" width="9" style="3056" customWidth="1"/>
    <col min="13853" max="13853" width="21.109375" style="3056" customWidth="1"/>
    <col min="13854" max="13854" width="7.88671875" style="3056" customWidth="1"/>
    <col min="13855" max="13855" width="145" style="3056" customWidth="1"/>
    <col min="13856" max="13856" width="55" style="3056" customWidth="1"/>
    <col min="13857" max="13859" width="10.6640625" style="3056" customWidth="1"/>
    <col min="13860" max="13861" width="16" style="3056" customWidth="1"/>
    <col min="13862" max="13863" width="14.33203125" style="3056" customWidth="1"/>
    <col min="13864" max="13865" width="21.88671875" style="3056" customWidth="1"/>
    <col min="13866" max="13866" width="6.21875" style="3056" customWidth="1"/>
    <col min="13867" max="13867" width="23" style="3056" customWidth="1"/>
    <col min="13868" max="13868" width="16.88671875" style="3056" customWidth="1"/>
    <col min="13869" max="13870" width="20.109375" style="3056" customWidth="1"/>
    <col min="13871" max="13871" width="7.88671875" style="3056" customWidth="1"/>
    <col min="13872" max="14080" width="9" style="3056"/>
    <col min="14081" max="14081" width="101.6640625" style="3056" customWidth="1"/>
    <col min="14082" max="14082" width="6.21875" style="3056" customWidth="1"/>
    <col min="14083" max="14083" width="11.77734375" style="3056" customWidth="1"/>
    <col min="14084" max="14084" width="7.88671875" style="3056" customWidth="1"/>
    <col min="14085" max="14085" width="17.88671875" style="3056" customWidth="1"/>
    <col min="14086" max="14086" width="86.88671875" style="3056" customWidth="1"/>
    <col min="14087" max="14087" width="21.109375" style="3056" customWidth="1"/>
    <col min="14088" max="14089" width="13.88671875" style="3056" customWidth="1"/>
    <col min="14090" max="14090" width="36" style="3056" customWidth="1"/>
    <col min="14091" max="14091" width="7.88671875" style="3056" customWidth="1"/>
    <col min="14092" max="14092" width="65.77734375" style="3056" customWidth="1"/>
    <col min="14093" max="14094" width="7.88671875" style="3056" customWidth="1"/>
    <col min="14095" max="14095" width="11.21875" style="3056" customWidth="1"/>
    <col min="14096" max="14096" width="31.21875" style="3056" customWidth="1"/>
    <col min="14097" max="14097" width="9.6640625" style="3056" customWidth="1"/>
    <col min="14098" max="14099" width="15.44140625" style="3056" customWidth="1"/>
    <col min="14100" max="14100" width="12.88671875" style="3056" customWidth="1"/>
    <col min="14101" max="14102" width="11.21875" style="3056" customWidth="1"/>
    <col min="14103" max="14103" width="17.88671875" style="3056" customWidth="1"/>
    <col min="14104" max="14104" width="7.88671875" style="3056" customWidth="1"/>
    <col min="14105" max="14108" width="9" style="3056" customWidth="1"/>
    <col min="14109" max="14109" width="21.109375" style="3056" customWidth="1"/>
    <col min="14110" max="14110" width="7.88671875" style="3056" customWidth="1"/>
    <col min="14111" max="14111" width="145" style="3056" customWidth="1"/>
    <col min="14112" max="14112" width="55" style="3056" customWidth="1"/>
    <col min="14113" max="14115" width="10.6640625" style="3056" customWidth="1"/>
    <col min="14116" max="14117" width="16" style="3056" customWidth="1"/>
    <col min="14118" max="14119" width="14.33203125" style="3056" customWidth="1"/>
    <col min="14120" max="14121" width="21.88671875" style="3056" customWidth="1"/>
    <col min="14122" max="14122" width="6.21875" style="3056" customWidth="1"/>
    <col min="14123" max="14123" width="23" style="3056" customWidth="1"/>
    <col min="14124" max="14124" width="16.88671875" style="3056" customWidth="1"/>
    <col min="14125" max="14126" width="20.109375" style="3056" customWidth="1"/>
    <col min="14127" max="14127" width="7.88671875" style="3056" customWidth="1"/>
    <col min="14128" max="14336" width="9" style="3056"/>
    <col min="14337" max="14337" width="101.6640625" style="3056" customWidth="1"/>
    <col min="14338" max="14338" width="6.21875" style="3056" customWidth="1"/>
    <col min="14339" max="14339" width="11.77734375" style="3056" customWidth="1"/>
    <col min="14340" max="14340" width="7.88671875" style="3056" customWidth="1"/>
    <col min="14341" max="14341" width="17.88671875" style="3056" customWidth="1"/>
    <col min="14342" max="14342" width="86.88671875" style="3056" customWidth="1"/>
    <col min="14343" max="14343" width="21.109375" style="3056" customWidth="1"/>
    <col min="14344" max="14345" width="13.88671875" style="3056" customWidth="1"/>
    <col min="14346" max="14346" width="36" style="3056" customWidth="1"/>
    <col min="14347" max="14347" width="7.88671875" style="3056" customWidth="1"/>
    <col min="14348" max="14348" width="65.77734375" style="3056" customWidth="1"/>
    <col min="14349" max="14350" width="7.88671875" style="3056" customWidth="1"/>
    <col min="14351" max="14351" width="11.21875" style="3056" customWidth="1"/>
    <col min="14352" max="14352" width="31.21875" style="3056" customWidth="1"/>
    <col min="14353" max="14353" width="9.6640625" style="3056" customWidth="1"/>
    <col min="14354" max="14355" width="15.44140625" style="3056" customWidth="1"/>
    <col min="14356" max="14356" width="12.88671875" style="3056" customWidth="1"/>
    <col min="14357" max="14358" width="11.21875" style="3056" customWidth="1"/>
    <col min="14359" max="14359" width="17.88671875" style="3056" customWidth="1"/>
    <col min="14360" max="14360" width="7.88671875" style="3056" customWidth="1"/>
    <col min="14361" max="14364" width="9" style="3056" customWidth="1"/>
    <col min="14365" max="14365" width="21.109375" style="3056" customWidth="1"/>
    <col min="14366" max="14366" width="7.88671875" style="3056" customWidth="1"/>
    <col min="14367" max="14367" width="145" style="3056" customWidth="1"/>
    <col min="14368" max="14368" width="55" style="3056" customWidth="1"/>
    <col min="14369" max="14371" width="10.6640625" style="3056" customWidth="1"/>
    <col min="14372" max="14373" width="16" style="3056" customWidth="1"/>
    <col min="14374" max="14375" width="14.33203125" style="3056" customWidth="1"/>
    <col min="14376" max="14377" width="21.88671875" style="3056" customWidth="1"/>
    <col min="14378" max="14378" width="6.21875" style="3056" customWidth="1"/>
    <col min="14379" max="14379" width="23" style="3056" customWidth="1"/>
    <col min="14380" max="14380" width="16.88671875" style="3056" customWidth="1"/>
    <col min="14381" max="14382" width="20.109375" style="3056" customWidth="1"/>
    <col min="14383" max="14383" width="7.88671875" style="3056" customWidth="1"/>
    <col min="14384" max="14592" width="9" style="3056"/>
    <col min="14593" max="14593" width="101.6640625" style="3056" customWidth="1"/>
    <col min="14594" max="14594" width="6.21875" style="3056" customWidth="1"/>
    <col min="14595" max="14595" width="11.77734375" style="3056" customWidth="1"/>
    <col min="14596" max="14596" width="7.88671875" style="3056" customWidth="1"/>
    <col min="14597" max="14597" width="17.88671875" style="3056" customWidth="1"/>
    <col min="14598" max="14598" width="86.88671875" style="3056" customWidth="1"/>
    <col min="14599" max="14599" width="21.109375" style="3056" customWidth="1"/>
    <col min="14600" max="14601" width="13.88671875" style="3056" customWidth="1"/>
    <col min="14602" max="14602" width="36" style="3056" customWidth="1"/>
    <col min="14603" max="14603" width="7.88671875" style="3056" customWidth="1"/>
    <col min="14604" max="14604" width="65.77734375" style="3056" customWidth="1"/>
    <col min="14605" max="14606" width="7.88671875" style="3056" customWidth="1"/>
    <col min="14607" max="14607" width="11.21875" style="3056" customWidth="1"/>
    <col min="14608" max="14608" width="31.21875" style="3056" customWidth="1"/>
    <col min="14609" max="14609" width="9.6640625" style="3056" customWidth="1"/>
    <col min="14610" max="14611" width="15.44140625" style="3056" customWidth="1"/>
    <col min="14612" max="14612" width="12.88671875" style="3056" customWidth="1"/>
    <col min="14613" max="14614" width="11.21875" style="3056" customWidth="1"/>
    <col min="14615" max="14615" width="17.88671875" style="3056" customWidth="1"/>
    <col min="14616" max="14616" width="7.88671875" style="3056" customWidth="1"/>
    <col min="14617" max="14620" width="9" style="3056" customWidth="1"/>
    <col min="14621" max="14621" width="21.109375" style="3056" customWidth="1"/>
    <col min="14622" max="14622" width="7.88671875" style="3056" customWidth="1"/>
    <col min="14623" max="14623" width="145" style="3056" customWidth="1"/>
    <col min="14624" max="14624" width="55" style="3056" customWidth="1"/>
    <col min="14625" max="14627" width="10.6640625" style="3056" customWidth="1"/>
    <col min="14628" max="14629" width="16" style="3056" customWidth="1"/>
    <col min="14630" max="14631" width="14.33203125" style="3056" customWidth="1"/>
    <col min="14632" max="14633" width="21.88671875" style="3056" customWidth="1"/>
    <col min="14634" max="14634" width="6.21875" style="3056" customWidth="1"/>
    <col min="14635" max="14635" width="23" style="3056" customWidth="1"/>
    <col min="14636" max="14636" width="16.88671875" style="3056" customWidth="1"/>
    <col min="14637" max="14638" width="20.109375" style="3056" customWidth="1"/>
    <col min="14639" max="14639" width="7.88671875" style="3056" customWidth="1"/>
    <col min="14640" max="14848" width="9" style="3056"/>
    <col min="14849" max="14849" width="101.6640625" style="3056" customWidth="1"/>
    <col min="14850" max="14850" width="6.21875" style="3056" customWidth="1"/>
    <col min="14851" max="14851" width="11.77734375" style="3056" customWidth="1"/>
    <col min="14852" max="14852" width="7.88671875" style="3056" customWidth="1"/>
    <col min="14853" max="14853" width="17.88671875" style="3056" customWidth="1"/>
    <col min="14854" max="14854" width="86.88671875" style="3056" customWidth="1"/>
    <col min="14855" max="14855" width="21.109375" style="3056" customWidth="1"/>
    <col min="14856" max="14857" width="13.88671875" style="3056" customWidth="1"/>
    <col min="14858" max="14858" width="36" style="3056" customWidth="1"/>
    <col min="14859" max="14859" width="7.88671875" style="3056" customWidth="1"/>
    <col min="14860" max="14860" width="65.77734375" style="3056" customWidth="1"/>
    <col min="14861" max="14862" width="7.88671875" style="3056" customWidth="1"/>
    <col min="14863" max="14863" width="11.21875" style="3056" customWidth="1"/>
    <col min="14864" max="14864" width="31.21875" style="3056" customWidth="1"/>
    <col min="14865" max="14865" width="9.6640625" style="3056" customWidth="1"/>
    <col min="14866" max="14867" width="15.44140625" style="3056" customWidth="1"/>
    <col min="14868" max="14868" width="12.88671875" style="3056" customWidth="1"/>
    <col min="14869" max="14870" width="11.21875" style="3056" customWidth="1"/>
    <col min="14871" max="14871" width="17.88671875" style="3056" customWidth="1"/>
    <col min="14872" max="14872" width="7.88671875" style="3056" customWidth="1"/>
    <col min="14873" max="14876" width="9" style="3056" customWidth="1"/>
    <col min="14877" max="14877" width="21.109375" style="3056" customWidth="1"/>
    <col min="14878" max="14878" width="7.88671875" style="3056" customWidth="1"/>
    <col min="14879" max="14879" width="145" style="3056" customWidth="1"/>
    <col min="14880" max="14880" width="55" style="3056" customWidth="1"/>
    <col min="14881" max="14883" width="10.6640625" style="3056" customWidth="1"/>
    <col min="14884" max="14885" width="16" style="3056" customWidth="1"/>
    <col min="14886" max="14887" width="14.33203125" style="3056" customWidth="1"/>
    <col min="14888" max="14889" width="21.88671875" style="3056" customWidth="1"/>
    <col min="14890" max="14890" width="6.21875" style="3056" customWidth="1"/>
    <col min="14891" max="14891" width="23" style="3056" customWidth="1"/>
    <col min="14892" max="14892" width="16.88671875" style="3056" customWidth="1"/>
    <col min="14893" max="14894" width="20.109375" style="3056" customWidth="1"/>
    <col min="14895" max="14895" width="7.88671875" style="3056" customWidth="1"/>
    <col min="14896" max="15104" width="9" style="3056"/>
    <col min="15105" max="15105" width="101.6640625" style="3056" customWidth="1"/>
    <col min="15106" max="15106" width="6.21875" style="3056" customWidth="1"/>
    <col min="15107" max="15107" width="11.77734375" style="3056" customWidth="1"/>
    <col min="15108" max="15108" width="7.88671875" style="3056" customWidth="1"/>
    <col min="15109" max="15109" width="17.88671875" style="3056" customWidth="1"/>
    <col min="15110" max="15110" width="86.88671875" style="3056" customWidth="1"/>
    <col min="15111" max="15111" width="21.109375" style="3056" customWidth="1"/>
    <col min="15112" max="15113" width="13.88671875" style="3056" customWidth="1"/>
    <col min="15114" max="15114" width="36" style="3056" customWidth="1"/>
    <col min="15115" max="15115" width="7.88671875" style="3056" customWidth="1"/>
    <col min="15116" max="15116" width="65.77734375" style="3056" customWidth="1"/>
    <col min="15117" max="15118" width="7.88671875" style="3056" customWidth="1"/>
    <col min="15119" max="15119" width="11.21875" style="3056" customWidth="1"/>
    <col min="15120" max="15120" width="31.21875" style="3056" customWidth="1"/>
    <col min="15121" max="15121" width="9.6640625" style="3056" customWidth="1"/>
    <col min="15122" max="15123" width="15.44140625" style="3056" customWidth="1"/>
    <col min="15124" max="15124" width="12.88671875" style="3056" customWidth="1"/>
    <col min="15125" max="15126" width="11.21875" style="3056" customWidth="1"/>
    <col min="15127" max="15127" width="17.88671875" style="3056" customWidth="1"/>
    <col min="15128" max="15128" width="7.88671875" style="3056" customWidth="1"/>
    <col min="15129" max="15132" width="9" style="3056" customWidth="1"/>
    <col min="15133" max="15133" width="21.109375" style="3056" customWidth="1"/>
    <col min="15134" max="15134" width="7.88671875" style="3056" customWidth="1"/>
    <col min="15135" max="15135" width="145" style="3056" customWidth="1"/>
    <col min="15136" max="15136" width="55" style="3056" customWidth="1"/>
    <col min="15137" max="15139" width="10.6640625" style="3056" customWidth="1"/>
    <col min="15140" max="15141" width="16" style="3056" customWidth="1"/>
    <col min="15142" max="15143" width="14.33203125" style="3056" customWidth="1"/>
    <col min="15144" max="15145" width="21.88671875" style="3056" customWidth="1"/>
    <col min="15146" max="15146" width="6.21875" style="3056" customWidth="1"/>
    <col min="15147" max="15147" width="23" style="3056" customWidth="1"/>
    <col min="15148" max="15148" width="16.88671875" style="3056" customWidth="1"/>
    <col min="15149" max="15150" width="20.109375" style="3056" customWidth="1"/>
    <col min="15151" max="15151" width="7.88671875" style="3056" customWidth="1"/>
    <col min="15152" max="15360" width="9" style="3056"/>
    <col min="15361" max="15361" width="101.6640625" style="3056" customWidth="1"/>
    <col min="15362" max="15362" width="6.21875" style="3056" customWidth="1"/>
    <col min="15363" max="15363" width="11.77734375" style="3056" customWidth="1"/>
    <col min="15364" max="15364" width="7.88671875" style="3056" customWidth="1"/>
    <col min="15365" max="15365" width="17.88671875" style="3056" customWidth="1"/>
    <col min="15366" max="15366" width="86.88671875" style="3056" customWidth="1"/>
    <col min="15367" max="15367" width="21.109375" style="3056" customWidth="1"/>
    <col min="15368" max="15369" width="13.88671875" style="3056" customWidth="1"/>
    <col min="15370" max="15370" width="36" style="3056" customWidth="1"/>
    <col min="15371" max="15371" width="7.88671875" style="3056" customWidth="1"/>
    <col min="15372" max="15372" width="65.77734375" style="3056" customWidth="1"/>
    <col min="15373" max="15374" width="7.88671875" style="3056" customWidth="1"/>
    <col min="15375" max="15375" width="11.21875" style="3056" customWidth="1"/>
    <col min="15376" max="15376" width="31.21875" style="3056" customWidth="1"/>
    <col min="15377" max="15377" width="9.6640625" style="3056" customWidth="1"/>
    <col min="15378" max="15379" width="15.44140625" style="3056" customWidth="1"/>
    <col min="15380" max="15380" width="12.88671875" style="3056" customWidth="1"/>
    <col min="15381" max="15382" width="11.21875" style="3056" customWidth="1"/>
    <col min="15383" max="15383" width="17.88671875" style="3056" customWidth="1"/>
    <col min="15384" max="15384" width="7.88671875" style="3056" customWidth="1"/>
    <col min="15385" max="15388" width="9" style="3056" customWidth="1"/>
    <col min="15389" max="15389" width="21.109375" style="3056" customWidth="1"/>
    <col min="15390" max="15390" width="7.88671875" style="3056" customWidth="1"/>
    <col min="15391" max="15391" width="145" style="3056" customWidth="1"/>
    <col min="15392" max="15392" width="55" style="3056" customWidth="1"/>
    <col min="15393" max="15395" width="10.6640625" style="3056" customWidth="1"/>
    <col min="15396" max="15397" width="16" style="3056" customWidth="1"/>
    <col min="15398" max="15399" width="14.33203125" style="3056" customWidth="1"/>
    <col min="15400" max="15401" width="21.88671875" style="3056" customWidth="1"/>
    <col min="15402" max="15402" width="6.21875" style="3056" customWidth="1"/>
    <col min="15403" max="15403" width="23" style="3056" customWidth="1"/>
    <col min="15404" max="15404" width="16.88671875" style="3056" customWidth="1"/>
    <col min="15405" max="15406" width="20.109375" style="3056" customWidth="1"/>
    <col min="15407" max="15407" width="7.88671875" style="3056" customWidth="1"/>
    <col min="15408" max="15616" width="9" style="3056"/>
    <col min="15617" max="15617" width="101.6640625" style="3056" customWidth="1"/>
    <col min="15618" max="15618" width="6.21875" style="3056" customWidth="1"/>
    <col min="15619" max="15619" width="11.77734375" style="3056" customWidth="1"/>
    <col min="15620" max="15620" width="7.88671875" style="3056" customWidth="1"/>
    <col min="15621" max="15621" width="17.88671875" style="3056" customWidth="1"/>
    <col min="15622" max="15622" width="86.88671875" style="3056" customWidth="1"/>
    <col min="15623" max="15623" width="21.109375" style="3056" customWidth="1"/>
    <col min="15624" max="15625" width="13.88671875" style="3056" customWidth="1"/>
    <col min="15626" max="15626" width="36" style="3056" customWidth="1"/>
    <col min="15627" max="15627" width="7.88671875" style="3056" customWidth="1"/>
    <col min="15628" max="15628" width="65.77734375" style="3056" customWidth="1"/>
    <col min="15629" max="15630" width="7.88671875" style="3056" customWidth="1"/>
    <col min="15631" max="15631" width="11.21875" style="3056" customWidth="1"/>
    <col min="15632" max="15632" width="31.21875" style="3056" customWidth="1"/>
    <col min="15633" max="15633" width="9.6640625" style="3056" customWidth="1"/>
    <col min="15634" max="15635" width="15.44140625" style="3056" customWidth="1"/>
    <col min="15636" max="15636" width="12.88671875" style="3056" customWidth="1"/>
    <col min="15637" max="15638" width="11.21875" style="3056" customWidth="1"/>
    <col min="15639" max="15639" width="17.88671875" style="3056" customWidth="1"/>
    <col min="15640" max="15640" width="7.88671875" style="3056" customWidth="1"/>
    <col min="15641" max="15644" width="9" style="3056" customWidth="1"/>
    <col min="15645" max="15645" width="21.109375" style="3056" customWidth="1"/>
    <col min="15646" max="15646" width="7.88671875" style="3056" customWidth="1"/>
    <col min="15647" max="15647" width="145" style="3056" customWidth="1"/>
    <col min="15648" max="15648" width="55" style="3056" customWidth="1"/>
    <col min="15649" max="15651" width="10.6640625" style="3056" customWidth="1"/>
    <col min="15652" max="15653" width="16" style="3056" customWidth="1"/>
    <col min="15654" max="15655" width="14.33203125" style="3056" customWidth="1"/>
    <col min="15656" max="15657" width="21.88671875" style="3056" customWidth="1"/>
    <col min="15658" max="15658" width="6.21875" style="3056" customWidth="1"/>
    <col min="15659" max="15659" width="23" style="3056" customWidth="1"/>
    <col min="15660" max="15660" width="16.88671875" style="3056" customWidth="1"/>
    <col min="15661" max="15662" width="20.109375" style="3056" customWidth="1"/>
    <col min="15663" max="15663" width="7.88671875" style="3056" customWidth="1"/>
    <col min="15664" max="15872" width="9" style="3056"/>
    <col min="15873" max="15873" width="101.6640625" style="3056" customWidth="1"/>
    <col min="15874" max="15874" width="6.21875" style="3056" customWidth="1"/>
    <col min="15875" max="15875" width="11.77734375" style="3056" customWidth="1"/>
    <col min="15876" max="15876" width="7.88671875" style="3056" customWidth="1"/>
    <col min="15877" max="15877" width="17.88671875" style="3056" customWidth="1"/>
    <col min="15878" max="15878" width="86.88671875" style="3056" customWidth="1"/>
    <col min="15879" max="15879" width="21.109375" style="3056" customWidth="1"/>
    <col min="15880" max="15881" width="13.88671875" style="3056" customWidth="1"/>
    <col min="15882" max="15882" width="36" style="3056" customWidth="1"/>
    <col min="15883" max="15883" width="7.88671875" style="3056" customWidth="1"/>
    <col min="15884" max="15884" width="65.77734375" style="3056" customWidth="1"/>
    <col min="15885" max="15886" width="7.88671875" style="3056" customWidth="1"/>
    <col min="15887" max="15887" width="11.21875" style="3056" customWidth="1"/>
    <col min="15888" max="15888" width="31.21875" style="3056" customWidth="1"/>
    <col min="15889" max="15889" width="9.6640625" style="3056" customWidth="1"/>
    <col min="15890" max="15891" width="15.44140625" style="3056" customWidth="1"/>
    <col min="15892" max="15892" width="12.88671875" style="3056" customWidth="1"/>
    <col min="15893" max="15894" width="11.21875" style="3056" customWidth="1"/>
    <col min="15895" max="15895" width="17.88671875" style="3056" customWidth="1"/>
    <col min="15896" max="15896" width="7.88671875" style="3056" customWidth="1"/>
    <col min="15897" max="15900" width="9" style="3056" customWidth="1"/>
    <col min="15901" max="15901" width="21.109375" style="3056" customWidth="1"/>
    <col min="15902" max="15902" width="7.88671875" style="3056" customWidth="1"/>
    <col min="15903" max="15903" width="145" style="3056" customWidth="1"/>
    <col min="15904" max="15904" width="55" style="3056" customWidth="1"/>
    <col min="15905" max="15907" width="10.6640625" style="3056" customWidth="1"/>
    <col min="15908" max="15909" width="16" style="3056" customWidth="1"/>
    <col min="15910" max="15911" width="14.33203125" style="3056" customWidth="1"/>
    <col min="15912" max="15913" width="21.88671875" style="3056" customWidth="1"/>
    <col min="15914" max="15914" width="6.21875" style="3056" customWidth="1"/>
    <col min="15915" max="15915" width="23" style="3056" customWidth="1"/>
    <col min="15916" max="15916" width="16.88671875" style="3056" customWidth="1"/>
    <col min="15917" max="15918" width="20.109375" style="3056" customWidth="1"/>
    <col min="15919" max="15919" width="7.88671875" style="3056" customWidth="1"/>
    <col min="15920" max="16128" width="9" style="3056"/>
    <col min="16129" max="16129" width="101.6640625" style="3056" customWidth="1"/>
    <col min="16130" max="16130" width="6.21875" style="3056" customWidth="1"/>
    <col min="16131" max="16131" width="11.77734375" style="3056" customWidth="1"/>
    <col min="16132" max="16132" width="7.88671875" style="3056" customWidth="1"/>
    <col min="16133" max="16133" width="17.88671875" style="3056" customWidth="1"/>
    <col min="16134" max="16134" width="86.88671875" style="3056" customWidth="1"/>
    <col min="16135" max="16135" width="21.109375" style="3056" customWidth="1"/>
    <col min="16136" max="16137" width="13.88671875" style="3056" customWidth="1"/>
    <col min="16138" max="16138" width="36" style="3056" customWidth="1"/>
    <col min="16139" max="16139" width="7.88671875" style="3056" customWidth="1"/>
    <col min="16140" max="16140" width="65.77734375" style="3056" customWidth="1"/>
    <col min="16141" max="16142" width="7.88671875" style="3056" customWidth="1"/>
    <col min="16143" max="16143" width="11.21875" style="3056" customWidth="1"/>
    <col min="16144" max="16144" width="31.21875" style="3056" customWidth="1"/>
    <col min="16145" max="16145" width="9.6640625" style="3056" customWidth="1"/>
    <col min="16146" max="16147" width="15.44140625" style="3056" customWidth="1"/>
    <col min="16148" max="16148" width="12.88671875" style="3056" customWidth="1"/>
    <col min="16149" max="16150" width="11.21875" style="3056" customWidth="1"/>
    <col min="16151" max="16151" width="17.88671875" style="3056" customWidth="1"/>
    <col min="16152" max="16152" width="7.88671875" style="3056" customWidth="1"/>
    <col min="16153" max="16156" width="9" style="3056" customWidth="1"/>
    <col min="16157" max="16157" width="21.109375" style="3056" customWidth="1"/>
    <col min="16158" max="16158" width="7.88671875" style="3056" customWidth="1"/>
    <col min="16159" max="16159" width="145" style="3056" customWidth="1"/>
    <col min="16160" max="16160" width="55" style="3056" customWidth="1"/>
    <col min="16161" max="16163" width="10.6640625" style="3056" customWidth="1"/>
    <col min="16164" max="16165" width="16" style="3056" customWidth="1"/>
    <col min="16166" max="16167" width="14.33203125" style="3056" customWidth="1"/>
    <col min="16168" max="16169" width="21.88671875" style="3056" customWidth="1"/>
    <col min="16170" max="16170" width="6.21875" style="3056" customWidth="1"/>
    <col min="16171" max="16171" width="23" style="3056" customWidth="1"/>
    <col min="16172" max="16172" width="16.88671875" style="3056" customWidth="1"/>
    <col min="16173" max="16174" width="20.109375" style="3056" customWidth="1"/>
    <col min="16175" max="16175" width="7.88671875" style="3056" customWidth="1"/>
    <col min="16176" max="16384" width="9" style="3056"/>
  </cols>
  <sheetData>
    <row r="1" spans="1:47">
      <c r="A1" s="3056" t="s">
        <v>3079</v>
      </c>
      <c r="B1" s="3056" t="s">
        <v>3080</v>
      </c>
      <c r="C1" s="3056" t="s">
        <v>3081</v>
      </c>
      <c r="D1" s="3056" t="s">
        <v>3082</v>
      </c>
      <c r="E1" s="3056" t="s">
        <v>3083</v>
      </c>
      <c r="F1" s="3056" t="s">
        <v>3084</v>
      </c>
      <c r="G1" s="3056" t="s">
        <v>3085</v>
      </c>
      <c r="H1" s="3056" t="s">
        <v>3086</v>
      </c>
      <c r="I1" s="3056" t="s">
        <v>3087</v>
      </c>
      <c r="J1" s="3056" t="s">
        <v>3088</v>
      </c>
      <c r="K1" s="3056" t="s">
        <v>3089</v>
      </c>
      <c r="L1" s="3056" t="s">
        <v>3090</v>
      </c>
      <c r="M1" s="3056" t="s">
        <v>3091</v>
      </c>
      <c r="N1" s="3056" t="s">
        <v>3092</v>
      </c>
      <c r="O1" s="3056" t="s">
        <v>3093</v>
      </c>
      <c r="P1" s="3056" t="s">
        <v>3094</v>
      </c>
      <c r="Q1" s="3056" t="s">
        <v>3095</v>
      </c>
      <c r="R1" s="3056" t="s">
        <v>3096</v>
      </c>
      <c r="S1" s="3056" t="s">
        <v>3097</v>
      </c>
      <c r="T1" s="3056" t="s">
        <v>3098</v>
      </c>
      <c r="U1" s="3056" t="s">
        <v>3099</v>
      </c>
      <c r="V1" s="3056" t="s">
        <v>3100</v>
      </c>
      <c r="W1" s="3056" t="s">
        <v>3101</v>
      </c>
      <c r="X1" s="3056" t="s">
        <v>3102</v>
      </c>
      <c r="Y1" s="3056" t="s">
        <v>3103</v>
      </c>
      <c r="Z1" s="3056" t="s">
        <v>3104</v>
      </c>
      <c r="AA1" s="3056" t="s">
        <v>3105</v>
      </c>
      <c r="AB1" s="3056" t="s">
        <v>3106</v>
      </c>
      <c r="AC1" s="3056" t="s">
        <v>3107</v>
      </c>
      <c r="AD1" s="3056" t="s">
        <v>3108</v>
      </c>
      <c r="AE1" s="3056" t="s">
        <v>3109</v>
      </c>
      <c r="AF1" s="3056" t="s">
        <v>3110</v>
      </c>
      <c r="AG1" s="3056" t="s">
        <v>3111</v>
      </c>
      <c r="AH1" s="3056" t="s">
        <v>3112</v>
      </c>
      <c r="AI1" s="3056" t="s">
        <v>3113</v>
      </c>
      <c r="AJ1" s="3056" t="s">
        <v>3114</v>
      </c>
      <c r="AK1" s="3056" t="s">
        <v>3115</v>
      </c>
      <c r="AL1" s="3056" t="s">
        <v>3116</v>
      </c>
      <c r="AM1" s="3056" t="s">
        <v>3117</v>
      </c>
      <c r="AN1" s="3056" t="s">
        <v>3118</v>
      </c>
      <c r="AO1" s="3056" t="s">
        <v>3119</v>
      </c>
      <c r="AP1" s="3056" t="s">
        <v>3120</v>
      </c>
      <c r="AQ1" s="3056" t="s">
        <v>3121</v>
      </c>
      <c r="AR1" s="3056" t="s">
        <v>3122</v>
      </c>
      <c r="AS1" s="3056" t="s">
        <v>3123</v>
      </c>
      <c r="AT1" s="3056" t="s">
        <v>3124</v>
      </c>
      <c r="AU1" s="3056" t="s">
        <v>3125</v>
      </c>
    </row>
    <row r="2" spans="1:47">
      <c r="A2" s="3056" t="s">
        <v>3126</v>
      </c>
      <c r="B2" s="3056" t="s">
        <v>3058</v>
      </c>
      <c r="C2" s="3056" t="s">
        <v>3127</v>
      </c>
      <c r="D2" s="3056" t="s">
        <v>3128</v>
      </c>
      <c r="E2" s="3056" t="s">
        <v>3129</v>
      </c>
      <c r="F2" s="3056" t="s">
        <v>3130</v>
      </c>
      <c r="G2" s="3056" t="s">
        <v>3131</v>
      </c>
      <c r="H2" s="3056">
        <v>17147.95</v>
      </c>
      <c r="I2" s="3056">
        <v>53158.65</v>
      </c>
      <c r="J2" s="3056" t="s">
        <v>3132</v>
      </c>
      <c r="K2" s="3056" t="s">
        <v>3133</v>
      </c>
      <c r="L2" s="3056" t="s">
        <v>3134</v>
      </c>
      <c r="M2" s="3056">
        <v>0</v>
      </c>
      <c r="N2" s="3056" t="s">
        <v>1298</v>
      </c>
      <c r="O2" s="3056" t="s">
        <v>1298</v>
      </c>
      <c r="P2" s="3056" t="s">
        <v>3135</v>
      </c>
      <c r="Q2" s="3056" t="s">
        <v>1298</v>
      </c>
      <c r="R2" s="3056" t="s">
        <v>1298</v>
      </c>
      <c r="S2" s="3056" t="s">
        <v>1298</v>
      </c>
      <c r="T2" s="3056" t="s">
        <v>1298</v>
      </c>
      <c r="U2" s="3056" t="s">
        <v>1298</v>
      </c>
      <c r="V2" s="3056" t="s">
        <v>1298</v>
      </c>
      <c r="W2" s="3056" t="s">
        <v>1298</v>
      </c>
      <c r="X2" s="3056" t="s">
        <v>3136</v>
      </c>
      <c r="Y2" s="3056" t="s">
        <v>3137</v>
      </c>
      <c r="Z2" s="3056" t="s">
        <v>3138</v>
      </c>
      <c r="AA2" s="3056" t="s">
        <v>3139</v>
      </c>
      <c r="AB2" s="3056" t="s">
        <v>3139</v>
      </c>
      <c r="AC2" s="3056" t="s">
        <v>3131</v>
      </c>
      <c r="AD2" s="3056" t="s">
        <v>3140</v>
      </c>
      <c r="AE2" s="3056" t="s">
        <v>3141</v>
      </c>
      <c r="AF2" s="3056" t="s">
        <v>3141</v>
      </c>
      <c r="AG2" s="3056">
        <v>14000</v>
      </c>
      <c r="AH2" s="3056">
        <v>69200</v>
      </c>
      <c r="AI2" s="3056">
        <v>69200</v>
      </c>
      <c r="AJ2" s="3056">
        <v>2690.31</v>
      </c>
      <c r="AK2" s="3056">
        <v>2690.31</v>
      </c>
      <c r="AL2" s="3056">
        <v>13017.63</v>
      </c>
      <c r="AM2" s="3056">
        <v>13017.63</v>
      </c>
      <c r="AN2" s="3056" t="s">
        <v>1298</v>
      </c>
      <c r="AO2" s="3056" t="s">
        <v>1298</v>
      </c>
      <c r="AP2" s="3056">
        <v>0</v>
      </c>
      <c r="AQ2" s="3056" t="s">
        <v>3142</v>
      </c>
      <c r="AR2" s="3056" t="s">
        <v>1298</v>
      </c>
      <c r="AS2" s="3056" t="s">
        <v>1298</v>
      </c>
      <c r="AT2" s="3056" t="s">
        <v>1298</v>
      </c>
      <c r="AU2" s="3056" t="s">
        <v>3143</v>
      </c>
    </row>
    <row r="3" spans="1:47">
      <c r="A3" s="3056" t="s">
        <v>3144</v>
      </c>
      <c r="B3" s="3056" t="s">
        <v>3058</v>
      </c>
      <c r="C3" s="3056" t="s">
        <v>3127</v>
      </c>
      <c r="D3" s="3056" t="s">
        <v>3128</v>
      </c>
      <c r="E3" s="3056" t="s">
        <v>3145</v>
      </c>
      <c r="F3" s="3056" t="s">
        <v>3144</v>
      </c>
      <c r="G3" s="3056" t="s">
        <v>3146</v>
      </c>
      <c r="H3" s="3056">
        <v>22058.78</v>
      </c>
      <c r="I3" s="3056">
        <v>47390</v>
      </c>
      <c r="J3" s="3056" t="s">
        <v>3147</v>
      </c>
      <c r="K3" s="3056" t="s">
        <v>3133</v>
      </c>
      <c r="L3" s="3056" t="s">
        <v>3148</v>
      </c>
      <c r="M3" s="3056">
        <v>0</v>
      </c>
      <c r="N3" s="3056" t="s">
        <v>1298</v>
      </c>
      <c r="O3" s="3056" t="s">
        <v>1298</v>
      </c>
      <c r="P3" s="3056" t="s">
        <v>3149</v>
      </c>
      <c r="Q3" s="3056" t="s">
        <v>1298</v>
      </c>
      <c r="R3" s="3056" t="s">
        <v>1298</v>
      </c>
      <c r="S3" s="3056" t="s">
        <v>1298</v>
      </c>
      <c r="T3" s="3056" t="s">
        <v>1298</v>
      </c>
      <c r="U3" s="3056" t="s">
        <v>1298</v>
      </c>
      <c r="V3" s="3056" t="s">
        <v>1298</v>
      </c>
      <c r="W3" s="3056" t="s">
        <v>1298</v>
      </c>
      <c r="X3" s="3056" t="s">
        <v>3136</v>
      </c>
      <c r="Y3" s="3056" t="s">
        <v>3150</v>
      </c>
      <c r="Z3" s="3056" t="s">
        <v>3151</v>
      </c>
      <c r="AA3" s="3056" t="s">
        <v>3152</v>
      </c>
      <c r="AB3" s="3056" t="s">
        <v>3152</v>
      </c>
      <c r="AC3" s="3056" t="s">
        <v>3146</v>
      </c>
      <c r="AD3" s="3056" t="s">
        <v>3140</v>
      </c>
      <c r="AE3" s="3056" t="s">
        <v>3153</v>
      </c>
      <c r="AF3" s="3056" t="s">
        <v>3154</v>
      </c>
      <c r="AG3" s="3056">
        <v>6600</v>
      </c>
      <c r="AH3" s="3056">
        <v>32700</v>
      </c>
      <c r="AI3" s="3056">
        <v>32700</v>
      </c>
      <c r="AJ3" s="3056">
        <v>988.27</v>
      </c>
      <c r="AK3" s="3056">
        <v>988.27</v>
      </c>
      <c r="AL3" s="3056">
        <v>6900.18</v>
      </c>
      <c r="AM3" s="3056">
        <v>6900.18</v>
      </c>
      <c r="AN3" s="3056" t="s">
        <v>1298</v>
      </c>
      <c r="AO3" s="3056" t="s">
        <v>1298</v>
      </c>
      <c r="AP3" s="3056">
        <v>0</v>
      </c>
      <c r="AQ3" s="3056" t="s">
        <v>3142</v>
      </c>
      <c r="AR3" s="3056" t="s">
        <v>1298</v>
      </c>
      <c r="AS3" s="3056" t="s">
        <v>1298</v>
      </c>
      <c r="AT3" s="3056" t="s">
        <v>1298</v>
      </c>
      <c r="AU3" s="3056" t="s">
        <v>3143</v>
      </c>
    </row>
    <row r="4" spans="1:47">
      <c r="A4" s="3056" t="s">
        <v>3155</v>
      </c>
      <c r="B4" s="3056" t="s">
        <v>3058</v>
      </c>
      <c r="C4" s="3056" t="s">
        <v>3127</v>
      </c>
      <c r="D4" s="3056" t="s">
        <v>3156</v>
      </c>
      <c r="E4" s="3056" t="s">
        <v>3157</v>
      </c>
      <c r="F4" s="3056" t="s">
        <v>3158</v>
      </c>
      <c r="G4" s="3056" t="s">
        <v>3159</v>
      </c>
      <c r="H4" s="3056">
        <v>1676.22</v>
      </c>
      <c r="I4" s="3056">
        <v>753.4</v>
      </c>
      <c r="J4" s="3056" t="s">
        <v>3160</v>
      </c>
      <c r="K4" s="3056" t="s">
        <v>3133</v>
      </c>
      <c r="L4" s="3056" t="s">
        <v>3161</v>
      </c>
      <c r="M4" s="3056">
        <v>0</v>
      </c>
      <c r="N4" s="3056" t="s">
        <v>1298</v>
      </c>
      <c r="O4" s="3056" t="s">
        <v>1298</v>
      </c>
      <c r="P4" s="3056" t="s">
        <v>3162</v>
      </c>
      <c r="Q4" s="3056" t="s">
        <v>1298</v>
      </c>
      <c r="R4" s="3056" t="s">
        <v>1298</v>
      </c>
      <c r="S4" s="3056" t="s">
        <v>1298</v>
      </c>
      <c r="T4" s="3056" t="s">
        <v>1298</v>
      </c>
      <c r="U4" s="3056" t="s">
        <v>1298</v>
      </c>
      <c r="V4" s="3056" t="s">
        <v>1298</v>
      </c>
      <c r="W4" s="3056" t="s">
        <v>1298</v>
      </c>
      <c r="X4" s="3056" t="s">
        <v>3136</v>
      </c>
      <c r="Y4" s="3056" t="s">
        <v>3163</v>
      </c>
      <c r="Z4" s="3056" t="s">
        <v>3164</v>
      </c>
      <c r="AA4" s="3056" t="s">
        <v>3165</v>
      </c>
      <c r="AB4" s="3056" t="s">
        <v>3165</v>
      </c>
      <c r="AC4" s="3056" t="s">
        <v>3159</v>
      </c>
      <c r="AD4" s="3056" t="s">
        <v>3140</v>
      </c>
      <c r="AE4" s="3056" t="s">
        <v>3166</v>
      </c>
      <c r="AF4" s="3056" t="s">
        <v>1298</v>
      </c>
      <c r="AG4" s="3056">
        <v>150</v>
      </c>
      <c r="AH4" s="3056">
        <v>550</v>
      </c>
      <c r="AI4" s="3056">
        <v>550</v>
      </c>
      <c r="AJ4" s="3056">
        <v>218.75</v>
      </c>
      <c r="AK4" s="3056">
        <v>218.75</v>
      </c>
      <c r="AL4" s="3056">
        <v>7300.23</v>
      </c>
      <c r="AM4" s="3056">
        <v>7300.23</v>
      </c>
      <c r="AN4" s="3056" t="s">
        <v>1298</v>
      </c>
      <c r="AO4" s="3056" t="s">
        <v>1298</v>
      </c>
      <c r="AP4" s="3056">
        <v>0</v>
      </c>
      <c r="AQ4" s="3056" t="s">
        <v>3167</v>
      </c>
      <c r="AR4" s="3056" t="s">
        <v>1298</v>
      </c>
      <c r="AS4" s="3056" t="s">
        <v>1298</v>
      </c>
      <c r="AT4" s="3056" t="s">
        <v>1298</v>
      </c>
      <c r="AU4" s="3056" t="s">
        <v>3168</v>
      </c>
    </row>
    <row r="5" spans="1:47">
      <c r="A5" s="3056" t="s">
        <v>3169</v>
      </c>
      <c r="B5" s="3056" t="s">
        <v>3058</v>
      </c>
      <c r="C5" s="3056" t="s">
        <v>3127</v>
      </c>
      <c r="D5" s="3056" t="s">
        <v>3170</v>
      </c>
      <c r="E5" s="3056" t="s">
        <v>3171</v>
      </c>
      <c r="F5" s="3056" t="s">
        <v>3172</v>
      </c>
      <c r="G5" s="3056" t="s">
        <v>3173</v>
      </c>
      <c r="H5" s="3056">
        <v>25224.15</v>
      </c>
      <c r="I5" s="3056">
        <v>75672.45</v>
      </c>
      <c r="J5" s="3056" t="s">
        <v>3174</v>
      </c>
      <c r="K5" s="3056" t="s">
        <v>3133</v>
      </c>
      <c r="L5" s="3056" t="s">
        <v>3148</v>
      </c>
      <c r="M5" s="3056">
        <v>0</v>
      </c>
      <c r="N5" s="3056" t="s">
        <v>1298</v>
      </c>
      <c r="O5" s="3056" t="s">
        <v>3175</v>
      </c>
      <c r="P5" s="3056" t="s">
        <v>3176</v>
      </c>
      <c r="Q5" s="3056" t="s">
        <v>1298</v>
      </c>
      <c r="R5" s="3056" t="s">
        <v>1298</v>
      </c>
      <c r="S5" s="3056" t="s">
        <v>1298</v>
      </c>
      <c r="T5" s="3056" t="s">
        <v>1298</v>
      </c>
      <c r="U5" s="3056" t="s">
        <v>1298</v>
      </c>
      <c r="V5" s="3056" t="s">
        <v>1298</v>
      </c>
      <c r="W5" s="3056" t="s">
        <v>1298</v>
      </c>
      <c r="X5" s="3056" t="s">
        <v>3136</v>
      </c>
      <c r="Y5" s="3056" t="s">
        <v>3177</v>
      </c>
      <c r="Z5" s="3056" t="s">
        <v>3178</v>
      </c>
      <c r="AA5" s="3056" t="s">
        <v>3179</v>
      </c>
      <c r="AB5" s="3056" t="s">
        <v>3179</v>
      </c>
      <c r="AC5" s="3056" t="s">
        <v>3173</v>
      </c>
      <c r="AD5" s="3056" t="s">
        <v>3140</v>
      </c>
      <c r="AE5" s="3056" t="s">
        <v>3180</v>
      </c>
      <c r="AF5" s="3056" t="s">
        <v>3141</v>
      </c>
      <c r="AG5" s="3056">
        <v>12200</v>
      </c>
      <c r="AH5" s="3056">
        <v>60800</v>
      </c>
      <c r="AI5" s="3056">
        <v>60800</v>
      </c>
      <c r="AJ5" s="3056">
        <v>1606.93</v>
      </c>
      <c r="AK5" s="3056">
        <v>1606.93</v>
      </c>
      <c r="AL5" s="3056">
        <v>8034.62</v>
      </c>
      <c r="AM5" s="3056">
        <v>8034.63</v>
      </c>
      <c r="AN5" s="3056" t="s">
        <v>1298</v>
      </c>
      <c r="AO5" s="3056" t="s">
        <v>1298</v>
      </c>
      <c r="AP5" s="3056">
        <v>0</v>
      </c>
      <c r="AQ5" s="3056" t="s">
        <v>3167</v>
      </c>
      <c r="AR5" s="3056" t="s">
        <v>1298</v>
      </c>
      <c r="AS5" s="3056" t="s">
        <v>1298</v>
      </c>
      <c r="AT5" s="3056" t="s">
        <v>1298</v>
      </c>
      <c r="AU5" s="3056" t="s">
        <v>3143</v>
      </c>
    </row>
    <row r="6" spans="1:47">
      <c r="A6" s="3056" t="s">
        <v>3181</v>
      </c>
      <c r="B6" s="3056" t="s">
        <v>3058</v>
      </c>
      <c r="C6" s="3056" t="s">
        <v>3127</v>
      </c>
      <c r="D6" s="3056" t="s">
        <v>3182</v>
      </c>
      <c r="E6" s="3056" t="s">
        <v>3183</v>
      </c>
      <c r="F6" s="3056" t="s">
        <v>3184</v>
      </c>
      <c r="G6" s="3056" t="s">
        <v>3185</v>
      </c>
      <c r="H6" s="3056">
        <v>28676.63</v>
      </c>
      <c r="I6" s="3056">
        <v>114706.51</v>
      </c>
      <c r="J6" s="3056" t="s">
        <v>3186</v>
      </c>
      <c r="K6" s="3056" t="s">
        <v>3133</v>
      </c>
      <c r="L6" s="3056" t="s">
        <v>3161</v>
      </c>
      <c r="M6" s="3056">
        <v>0</v>
      </c>
      <c r="N6" s="3056" t="s">
        <v>1298</v>
      </c>
      <c r="O6" s="3056" t="s">
        <v>1298</v>
      </c>
      <c r="P6" s="3056" t="s">
        <v>3187</v>
      </c>
      <c r="Q6" s="3056" t="s">
        <v>1298</v>
      </c>
      <c r="R6" s="3056" t="s">
        <v>1298</v>
      </c>
      <c r="S6" s="3056" t="s">
        <v>1298</v>
      </c>
      <c r="T6" s="3056" t="s">
        <v>1298</v>
      </c>
      <c r="U6" s="3056" t="s">
        <v>1298</v>
      </c>
      <c r="V6" s="3056" t="s">
        <v>1298</v>
      </c>
      <c r="W6" s="3056" t="s">
        <v>1298</v>
      </c>
      <c r="X6" s="3056" t="s">
        <v>3136</v>
      </c>
      <c r="Y6" s="3056" t="s">
        <v>3188</v>
      </c>
      <c r="Z6" s="3056" t="s">
        <v>3189</v>
      </c>
      <c r="AA6" s="3056" t="s">
        <v>3178</v>
      </c>
      <c r="AB6" s="3056" t="s">
        <v>3178</v>
      </c>
      <c r="AC6" s="3056" t="s">
        <v>3185</v>
      </c>
      <c r="AD6" s="3056" t="s">
        <v>3140</v>
      </c>
      <c r="AE6" s="3056" t="s">
        <v>3190</v>
      </c>
      <c r="AF6" s="3056" t="s">
        <v>3191</v>
      </c>
      <c r="AG6" s="3056">
        <v>35500</v>
      </c>
      <c r="AH6" s="3056">
        <v>175500</v>
      </c>
      <c r="AI6" s="3056">
        <v>175500</v>
      </c>
      <c r="AJ6" s="3056">
        <v>4079.98</v>
      </c>
      <c r="AK6" s="3056">
        <v>4079.98</v>
      </c>
      <c r="AL6" s="3056">
        <v>15299.91</v>
      </c>
      <c r="AM6" s="3056">
        <v>15299.92</v>
      </c>
      <c r="AN6" s="3056" t="s">
        <v>1298</v>
      </c>
      <c r="AO6" s="3056" t="s">
        <v>1298</v>
      </c>
      <c r="AP6" s="3056">
        <v>0</v>
      </c>
      <c r="AQ6" s="3056" t="s">
        <v>3167</v>
      </c>
      <c r="AR6" s="3056" t="s">
        <v>1298</v>
      </c>
      <c r="AS6" s="3056" t="s">
        <v>1298</v>
      </c>
      <c r="AT6" s="3056" t="s">
        <v>1298</v>
      </c>
      <c r="AU6" s="3056" t="s">
        <v>3192</v>
      </c>
    </row>
    <row r="7" spans="1:47">
      <c r="A7" s="3056" t="s">
        <v>3193</v>
      </c>
      <c r="B7" s="3056" t="s">
        <v>3058</v>
      </c>
      <c r="C7" s="3056" t="s">
        <v>3127</v>
      </c>
      <c r="D7" s="3056" t="s">
        <v>3194</v>
      </c>
      <c r="E7" s="3056" t="s">
        <v>3195</v>
      </c>
      <c r="F7" s="3056" t="s">
        <v>3196</v>
      </c>
      <c r="G7" s="3056" t="s">
        <v>3197</v>
      </c>
      <c r="H7" s="3056">
        <v>26197.17</v>
      </c>
      <c r="I7" s="3056">
        <v>26500</v>
      </c>
      <c r="J7" s="3056" t="s">
        <v>3198</v>
      </c>
      <c r="K7" s="3056" t="s">
        <v>3199</v>
      </c>
      <c r="L7" s="3056" t="s">
        <v>3148</v>
      </c>
      <c r="M7" s="3056">
        <v>0</v>
      </c>
      <c r="N7" s="3056" t="s">
        <v>1298</v>
      </c>
      <c r="O7" s="3056" t="s">
        <v>3200</v>
      </c>
      <c r="P7" s="3056" t="s">
        <v>3201</v>
      </c>
      <c r="Q7" s="3056" t="s">
        <v>1298</v>
      </c>
      <c r="R7" s="3056" t="s">
        <v>1298</v>
      </c>
      <c r="S7" s="3056" t="s">
        <v>1298</v>
      </c>
      <c r="T7" s="3056" t="s">
        <v>1298</v>
      </c>
      <c r="U7" s="3056" t="s">
        <v>1298</v>
      </c>
      <c r="V7" s="3056" t="s">
        <v>1298</v>
      </c>
      <c r="W7" s="3056" t="s">
        <v>1298</v>
      </c>
      <c r="X7" s="3056" t="s">
        <v>3136</v>
      </c>
      <c r="Y7" s="3056" t="s">
        <v>3177</v>
      </c>
      <c r="Z7" s="3056" t="s">
        <v>3202</v>
      </c>
      <c r="AA7" s="3056" t="s">
        <v>3202</v>
      </c>
      <c r="AB7" s="3056" t="s">
        <v>3203</v>
      </c>
      <c r="AC7" s="3056" t="s">
        <v>3197</v>
      </c>
      <c r="AD7" s="3056" t="s">
        <v>3140</v>
      </c>
      <c r="AE7" s="3056" t="s">
        <v>3204</v>
      </c>
      <c r="AF7" s="3056" t="s">
        <v>3205</v>
      </c>
      <c r="AG7" s="3056">
        <v>4200</v>
      </c>
      <c r="AH7" s="3056" t="s">
        <v>1298</v>
      </c>
      <c r="AI7" s="3056">
        <v>20986.79</v>
      </c>
      <c r="AJ7" s="3056" t="s">
        <v>1298</v>
      </c>
      <c r="AK7" s="3056">
        <v>534.07000000000005</v>
      </c>
      <c r="AL7" s="3056" t="s">
        <v>1298</v>
      </c>
      <c r="AM7" s="3056">
        <v>7919.55</v>
      </c>
      <c r="AN7" s="3056" t="s">
        <v>1298</v>
      </c>
      <c r="AO7" s="3056" t="s">
        <v>1298</v>
      </c>
      <c r="AP7" s="3056" t="s">
        <v>1298</v>
      </c>
      <c r="AQ7" s="3056" t="s">
        <v>3167</v>
      </c>
      <c r="AR7" s="3056" t="s">
        <v>1298</v>
      </c>
      <c r="AS7" s="3056" t="s">
        <v>1298</v>
      </c>
      <c r="AT7" s="3056" t="s">
        <v>1298</v>
      </c>
      <c r="AU7" s="3056" t="s">
        <v>3206</v>
      </c>
    </row>
    <row r="8" spans="1:47" s="3058" customFormat="1">
      <c r="A8" s="3058" t="s">
        <v>3207</v>
      </c>
      <c r="B8" s="3058" t="s">
        <v>3058</v>
      </c>
      <c r="C8" s="3058" t="s">
        <v>3127</v>
      </c>
      <c r="D8" s="3058" t="s">
        <v>3208</v>
      </c>
      <c r="E8" s="3058" t="s">
        <v>3209</v>
      </c>
      <c r="F8" s="3058" t="s">
        <v>3210</v>
      </c>
      <c r="G8" s="3058" t="s">
        <v>3211</v>
      </c>
      <c r="H8" s="3058">
        <v>51788.13</v>
      </c>
      <c r="I8" s="3058">
        <v>184800</v>
      </c>
      <c r="J8" s="3058" t="s">
        <v>3212</v>
      </c>
      <c r="K8" s="3058" t="s">
        <v>3133</v>
      </c>
      <c r="L8" s="3058" t="s">
        <v>3213</v>
      </c>
      <c r="M8" s="3058">
        <v>0</v>
      </c>
      <c r="N8" s="3058" t="s">
        <v>1298</v>
      </c>
      <c r="O8" s="3058" t="s">
        <v>1298</v>
      </c>
      <c r="P8" s="3058" t="s">
        <v>3214</v>
      </c>
      <c r="Q8" s="3058" t="s">
        <v>1298</v>
      </c>
      <c r="R8" s="3058" t="s">
        <v>1298</v>
      </c>
      <c r="S8" s="3058" t="s">
        <v>1298</v>
      </c>
      <c r="T8" s="3058" t="s">
        <v>1298</v>
      </c>
      <c r="U8" s="3058" t="s">
        <v>1298</v>
      </c>
      <c r="V8" s="3058" t="s">
        <v>1298</v>
      </c>
      <c r="W8" s="3058" t="s">
        <v>1298</v>
      </c>
      <c r="X8" s="3058" t="s">
        <v>3136</v>
      </c>
      <c r="Y8" s="3058" t="s">
        <v>3215</v>
      </c>
      <c r="Z8" s="3058" t="s">
        <v>3216</v>
      </c>
      <c r="AA8" s="3058" t="s">
        <v>3217</v>
      </c>
      <c r="AB8" s="3058" t="s">
        <v>3217</v>
      </c>
      <c r="AC8" s="3058" t="s">
        <v>3211</v>
      </c>
      <c r="AD8" s="3058" t="s">
        <v>3140</v>
      </c>
      <c r="AE8" s="3058" t="s">
        <v>3218</v>
      </c>
      <c r="AF8" s="3058" t="s">
        <v>3218</v>
      </c>
      <c r="AG8" s="3058">
        <v>115000</v>
      </c>
      <c r="AH8" s="3058">
        <v>570500</v>
      </c>
      <c r="AI8" s="3058">
        <v>579500</v>
      </c>
      <c r="AJ8" s="3058">
        <v>7344.03</v>
      </c>
      <c r="AK8" s="3058">
        <v>7459.88</v>
      </c>
      <c r="AL8" s="3058">
        <v>30871.21</v>
      </c>
      <c r="AM8" s="3058">
        <v>31358.22</v>
      </c>
      <c r="AN8" s="3058" t="s">
        <v>1298</v>
      </c>
      <c r="AO8" s="3058" t="s">
        <v>1298</v>
      </c>
      <c r="AP8" s="3058">
        <v>1.58</v>
      </c>
      <c r="AQ8" s="3058" t="s">
        <v>3167</v>
      </c>
      <c r="AR8" s="3058" t="s">
        <v>1298</v>
      </c>
      <c r="AS8" s="3058" t="s">
        <v>1298</v>
      </c>
      <c r="AT8" s="3058" t="s">
        <v>1298</v>
      </c>
      <c r="AU8" s="3058" t="s">
        <v>3192</v>
      </c>
    </row>
    <row r="9" spans="1:47">
      <c r="A9" s="3056" t="s">
        <v>3219</v>
      </c>
      <c r="B9" s="3056" t="s">
        <v>3058</v>
      </c>
      <c r="C9" s="3056" t="s">
        <v>3127</v>
      </c>
      <c r="D9" s="3056" t="s">
        <v>3156</v>
      </c>
      <c r="E9" s="3056" t="s">
        <v>3157</v>
      </c>
      <c r="F9" s="3056" t="s">
        <v>3220</v>
      </c>
      <c r="G9" s="3056" t="s">
        <v>3221</v>
      </c>
      <c r="H9" s="3056">
        <v>63225.37</v>
      </c>
      <c r="I9" s="3056">
        <v>120200</v>
      </c>
      <c r="J9" s="3056" t="s">
        <v>3222</v>
      </c>
      <c r="K9" s="3056" t="s">
        <v>3133</v>
      </c>
      <c r="L9" s="3056" t="s">
        <v>3148</v>
      </c>
      <c r="M9" s="3056">
        <v>0</v>
      </c>
      <c r="N9" s="3056" t="s">
        <v>1298</v>
      </c>
      <c r="O9" s="3056" t="s">
        <v>1298</v>
      </c>
      <c r="P9" s="3056" t="s">
        <v>1298</v>
      </c>
      <c r="Q9" s="3056" t="s">
        <v>1298</v>
      </c>
      <c r="R9" s="3056" t="s">
        <v>1298</v>
      </c>
      <c r="S9" s="3056" t="s">
        <v>1298</v>
      </c>
      <c r="T9" s="3056" t="s">
        <v>1298</v>
      </c>
      <c r="U9" s="3056" t="s">
        <v>1298</v>
      </c>
      <c r="V9" s="3056" t="s">
        <v>1298</v>
      </c>
      <c r="W9" s="3056" t="s">
        <v>1298</v>
      </c>
      <c r="X9" s="3056" t="s">
        <v>3223</v>
      </c>
      <c r="Y9" s="3056" t="s">
        <v>3224</v>
      </c>
      <c r="Z9" s="3056" t="s">
        <v>3225</v>
      </c>
      <c r="AA9" s="3056" t="s">
        <v>3226</v>
      </c>
      <c r="AB9" s="3056" t="s">
        <v>3226</v>
      </c>
      <c r="AC9" s="3056" t="s">
        <v>3221</v>
      </c>
      <c r="AD9" s="3056" t="s">
        <v>3140</v>
      </c>
      <c r="AE9" s="3056" t="s">
        <v>3227</v>
      </c>
      <c r="AF9" s="3056" t="s">
        <v>3228</v>
      </c>
      <c r="AG9" s="3056">
        <v>17700</v>
      </c>
      <c r="AH9" s="3056">
        <v>88100</v>
      </c>
      <c r="AI9" s="3056">
        <v>88100</v>
      </c>
      <c r="AJ9" s="3056">
        <v>928.95</v>
      </c>
      <c r="AK9" s="3056">
        <v>928.95</v>
      </c>
      <c r="AL9" s="3056">
        <v>7329.45</v>
      </c>
      <c r="AM9" s="3056">
        <v>7329.44</v>
      </c>
      <c r="AN9" s="3056" t="s">
        <v>1298</v>
      </c>
      <c r="AO9" s="3056" t="s">
        <v>1298</v>
      </c>
      <c r="AP9" s="3056">
        <v>0</v>
      </c>
      <c r="AQ9" s="3056" t="s">
        <v>3167</v>
      </c>
      <c r="AR9" s="3056" t="s">
        <v>1298</v>
      </c>
      <c r="AS9" s="3056" t="s">
        <v>1298</v>
      </c>
      <c r="AT9" s="3056" t="s">
        <v>1298</v>
      </c>
      <c r="AU9" s="3056" t="s">
        <v>3206</v>
      </c>
    </row>
    <row r="10" spans="1:47">
      <c r="A10" s="3056" t="s">
        <v>3229</v>
      </c>
      <c r="B10" s="3056" t="s">
        <v>3058</v>
      </c>
      <c r="C10" s="3056" t="s">
        <v>3127</v>
      </c>
      <c r="D10" s="3056" t="s">
        <v>3156</v>
      </c>
      <c r="E10" s="3056" t="s">
        <v>3230</v>
      </c>
      <c r="F10" s="3056" t="s">
        <v>3158</v>
      </c>
      <c r="G10" s="3056" t="s">
        <v>3231</v>
      </c>
      <c r="H10" s="3056">
        <v>5352.65</v>
      </c>
      <c r="I10" s="3056">
        <v>843</v>
      </c>
      <c r="J10" s="3056" t="s">
        <v>3232</v>
      </c>
      <c r="K10" s="3056" t="s">
        <v>3133</v>
      </c>
      <c r="L10" s="3056" t="s">
        <v>3161</v>
      </c>
      <c r="M10" s="3056">
        <v>0</v>
      </c>
      <c r="N10" s="3056" t="s">
        <v>1298</v>
      </c>
      <c r="O10" s="3056" t="s">
        <v>1298</v>
      </c>
      <c r="P10" s="3056" t="s">
        <v>3233</v>
      </c>
      <c r="Q10" s="3056" t="s">
        <v>1298</v>
      </c>
      <c r="R10" s="3056" t="s">
        <v>1298</v>
      </c>
      <c r="S10" s="3056" t="s">
        <v>1298</v>
      </c>
      <c r="T10" s="3056" t="s">
        <v>1298</v>
      </c>
      <c r="U10" s="3056" t="s">
        <v>1298</v>
      </c>
      <c r="V10" s="3056" t="s">
        <v>1298</v>
      </c>
      <c r="W10" s="3056" t="s">
        <v>1298</v>
      </c>
      <c r="X10" s="3056" t="s">
        <v>3223</v>
      </c>
      <c r="Y10" s="3056" t="s">
        <v>3234</v>
      </c>
      <c r="Z10" s="3056" t="s">
        <v>3235</v>
      </c>
      <c r="AA10" s="3056" t="s">
        <v>3236</v>
      </c>
      <c r="AB10" s="3056" t="s">
        <v>3236</v>
      </c>
      <c r="AC10" s="3056" t="s">
        <v>3231</v>
      </c>
      <c r="AD10" s="3056" t="s">
        <v>3140</v>
      </c>
      <c r="AE10" s="3056" t="s">
        <v>3166</v>
      </c>
      <c r="AF10" s="3056" t="s">
        <v>1298</v>
      </c>
      <c r="AG10" s="3056">
        <v>300</v>
      </c>
      <c r="AH10" s="3056">
        <v>1310</v>
      </c>
      <c r="AI10" s="3056">
        <v>1310</v>
      </c>
      <c r="AJ10" s="3056">
        <v>163.16</v>
      </c>
      <c r="AK10" s="3056">
        <v>163.16</v>
      </c>
      <c r="AL10" s="3056">
        <v>15539.73</v>
      </c>
      <c r="AM10" s="3056">
        <v>15539.73</v>
      </c>
      <c r="AN10" s="3056" t="s">
        <v>1298</v>
      </c>
      <c r="AO10" s="3056" t="s">
        <v>1298</v>
      </c>
      <c r="AP10" s="3056">
        <v>0</v>
      </c>
      <c r="AQ10" s="3056" t="s">
        <v>3167</v>
      </c>
      <c r="AR10" s="3056" t="s">
        <v>1298</v>
      </c>
      <c r="AS10" s="3056" t="s">
        <v>1298</v>
      </c>
      <c r="AT10" s="3056" t="s">
        <v>1298</v>
      </c>
      <c r="AU10" s="3056" t="s">
        <v>3168</v>
      </c>
    </row>
    <row r="11" spans="1:47">
      <c r="A11" s="3056" t="s">
        <v>3237</v>
      </c>
      <c r="B11" s="3056" t="s">
        <v>3058</v>
      </c>
      <c r="C11" s="3056" t="s">
        <v>3127</v>
      </c>
      <c r="D11" s="3056" t="s">
        <v>3156</v>
      </c>
      <c r="E11" s="3056" t="s">
        <v>3230</v>
      </c>
      <c r="F11" s="3056" t="s">
        <v>3158</v>
      </c>
      <c r="G11" s="3056" t="s">
        <v>3238</v>
      </c>
      <c r="H11" s="3056">
        <v>36823.82</v>
      </c>
      <c r="I11" s="3056">
        <v>25187</v>
      </c>
      <c r="J11" s="3056" t="s">
        <v>3239</v>
      </c>
      <c r="K11" s="3056" t="s">
        <v>3133</v>
      </c>
      <c r="L11" s="3056" t="s">
        <v>3148</v>
      </c>
      <c r="M11" s="3056">
        <v>0</v>
      </c>
      <c r="N11" s="3056" t="s">
        <v>1298</v>
      </c>
      <c r="O11" s="3056" t="s">
        <v>1298</v>
      </c>
      <c r="P11" s="3056" t="s">
        <v>3240</v>
      </c>
      <c r="Q11" s="3056" t="s">
        <v>1298</v>
      </c>
      <c r="R11" s="3056" t="s">
        <v>1298</v>
      </c>
      <c r="S11" s="3056" t="s">
        <v>1298</v>
      </c>
      <c r="T11" s="3056" t="s">
        <v>1298</v>
      </c>
      <c r="U11" s="3056" t="s">
        <v>1298</v>
      </c>
      <c r="V11" s="3056" t="s">
        <v>1298</v>
      </c>
      <c r="W11" s="3056" t="s">
        <v>1298</v>
      </c>
      <c r="X11" s="3056" t="s">
        <v>3223</v>
      </c>
      <c r="Y11" s="3056" t="s">
        <v>3234</v>
      </c>
      <c r="Z11" s="3056" t="s">
        <v>3235</v>
      </c>
      <c r="AA11" s="3056" t="s">
        <v>3236</v>
      </c>
      <c r="AB11" s="3056" t="s">
        <v>3236</v>
      </c>
      <c r="AC11" s="3056" t="s">
        <v>3238</v>
      </c>
      <c r="AD11" s="3056" t="s">
        <v>3140</v>
      </c>
      <c r="AE11" s="3056" t="s">
        <v>3241</v>
      </c>
      <c r="AF11" s="3056" t="s">
        <v>3205</v>
      </c>
      <c r="AG11" s="3056">
        <v>6000</v>
      </c>
      <c r="AH11" s="3056">
        <v>29500</v>
      </c>
      <c r="AI11" s="3056">
        <v>29500</v>
      </c>
      <c r="AJ11" s="3056">
        <v>534.07000000000005</v>
      </c>
      <c r="AK11" s="3056">
        <v>534.07000000000005</v>
      </c>
      <c r="AL11" s="3056">
        <v>11712.39</v>
      </c>
      <c r="AM11" s="3056">
        <v>11712.38</v>
      </c>
      <c r="AN11" s="3056" t="s">
        <v>1298</v>
      </c>
      <c r="AO11" s="3056" t="s">
        <v>1298</v>
      </c>
      <c r="AP11" s="3056">
        <v>0</v>
      </c>
      <c r="AQ11" s="3056" t="s">
        <v>3167</v>
      </c>
      <c r="AR11" s="3056" t="s">
        <v>1298</v>
      </c>
      <c r="AS11" s="3056" t="s">
        <v>1298</v>
      </c>
      <c r="AT11" s="3056" t="s">
        <v>1298</v>
      </c>
      <c r="AU11" s="3056" t="s">
        <v>3168</v>
      </c>
    </row>
    <row r="12" spans="1:47">
      <c r="A12" s="3056" t="s">
        <v>3242</v>
      </c>
      <c r="B12" s="3056" t="s">
        <v>3058</v>
      </c>
      <c r="C12" s="3056" t="s">
        <v>3127</v>
      </c>
      <c r="D12" s="3056" t="s">
        <v>3243</v>
      </c>
      <c r="E12" s="3056" t="s">
        <v>3244</v>
      </c>
      <c r="F12" s="3056" t="s">
        <v>3245</v>
      </c>
      <c r="G12" s="3056" t="s">
        <v>3246</v>
      </c>
      <c r="H12" s="3056">
        <v>265269.8</v>
      </c>
      <c r="I12" s="3056">
        <v>665975.69999999995</v>
      </c>
      <c r="J12" s="3435" t="s">
        <v>3247</v>
      </c>
      <c r="K12" s="3056" t="s">
        <v>3133</v>
      </c>
      <c r="L12" s="3056" t="s">
        <v>3148</v>
      </c>
      <c r="M12" s="3056">
        <v>0</v>
      </c>
      <c r="N12" s="3056" t="s">
        <v>1298</v>
      </c>
      <c r="O12" s="3056" t="s">
        <v>3248</v>
      </c>
      <c r="P12" s="3056" t="s">
        <v>3249</v>
      </c>
      <c r="Q12" s="3056" t="s">
        <v>1298</v>
      </c>
      <c r="R12" s="3056" t="s">
        <v>1298</v>
      </c>
      <c r="S12" s="3056" t="s">
        <v>1298</v>
      </c>
      <c r="T12" s="3056" t="s">
        <v>1298</v>
      </c>
      <c r="U12" s="3056" t="s">
        <v>1298</v>
      </c>
      <c r="V12" s="3056" t="s">
        <v>1298</v>
      </c>
      <c r="W12" s="3056" t="s">
        <v>1298</v>
      </c>
      <c r="X12" s="3056" t="s">
        <v>3223</v>
      </c>
      <c r="Y12" s="3056" t="s">
        <v>3250</v>
      </c>
      <c r="Z12" s="3056" t="s">
        <v>3251</v>
      </c>
      <c r="AA12" s="3056" t="s">
        <v>3252</v>
      </c>
      <c r="AB12" s="3056" t="s">
        <v>3252</v>
      </c>
      <c r="AC12" s="3056" t="s">
        <v>3246</v>
      </c>
      <c r="AD12" s="3056" t="s">
        <v>3140</v>
      </c>
      <c r="AE12" s="3056" t="s">
        <v>3253</v>
      </c>
      <c r="AF12" s="3056" t="s">
        <v>3254</v>
      </c>
      <c r="AG12" s="3056">
        <v>139900</v>
      </c>
      <c r="AH12" s="3056">
        <v>699300</v>
      </c>
      <c r="AI12" s="3056">
        <v>699300</v>
      </c>
      <c r="AJ12" s="3056">
        <v>1757.46</v>
      </c>
      <c r="AK12" s="3056">
        <v>1757.46</v>
      </c>
      <c r="AL12" s="3056">
        <v>10500.38</v>
      </c>
      <c r="AM12" s="3056">
        <v>10500.37</v>
      </c>
      <c r="AN12" s="3056" t="s">
        <v>1298</v>
      </c>
      <c r="AO12" s="3056" t="s">
        <v>1298</v>
      </c>
      <c r="AP12" s="3056">
        <v>0</v>
      </c>
      <c r="AQ12" s="3056" t="s">
        <v>3167</v>
      </c>
      <c r="AR12" s="3056" t="s">
        <v>1298</v>
      </c>
      <c r="AS12" s="3056" t="s">
        <v>1298</v>
      </c>
      <c r="AT12" s="3056" t="s">
        <v>1298</v>
      </c>
      <c r="AU12" s="3056" t="s">
        <v>3255</v>
      </c>
    </row>
    <row r="13" spans="1:47">
      <c r="A13" s="3056" t="s">
        <v>3256</v>
      </c>
      <c r="B13" s="3056" t="s">
        <v>3058</v>
      </c>
      <c r="C13" s="3056" t="s">
        <v>3127</v>
      </c>
      <c r="D13" s="3056" t="s">
        <v>3257</v>
      </c>
      <c r="E13" s="3056" t="s">
        <v>3258</v>
      </c>
      <c r="F13" s="3056" t="s">
        <v>3259</v>
      </c>
      <c r="G13" s="3056" t="s">
        <v>3260</v>
      </c>
      <c r="H13" s="3056">
        <v>7289.19</v>
      </c>
      <c r="I13" s="3056">
        <v>21867.57</v>
      </c>
      <c r="J13" s="3056" t="s">
        <v>3174</v>
      </c>
      <c r="K13" s="3056" t="s">
        <v>3133</v>
      </c>
      <c r="L13" s="3056" t="s">
        <v>3261</v>
      </c>
      <c r="M13" s="3056">
        <v>0</v>
      </c>
      <c r="N13" s="3056" t="s">
        <v>1298</v>
      </c>
      <c r="O13" s="3056" t="s">
        <v>3262</v>
      </c>
      <c r="P13" s="3056" t="s">
        <v>3187</v>
      </c>
      <c r="Q13" s="3056" t="s">
        <v>1298</v>
      </c>
      <c r="R13" s="3056" t="s">
        <v>1298</v>
      </c>
      <c r="S13" s="3056" t="s">
        <v>1298</v>
      </c>
      <c r="T13" s="3056" t="s">
        <v>1298</v>
      </c>
      <c r="U13" s="3056" t="s">
        <v>1298</v>
      </c>
      <c r="V13" s="3056" t="s">
        <v>1298</v>
      </c>
      <c r="W13" s="3056" t="s">
        <v>1298</v>
      </c>
      <c r="X13" s="3056" t="s">
        <v>3223</v>
      </c>
      <c r="Y13" s="3056" t="s">
        <v>3263</v>
      </c>
      <c r="Z13" s="3056" t="s">
        <v>3264</v>
      </c>
      <c r="AA13" s="3056" t="s">
        <v>3265</v>
      </c>
      <c r="AB13" s="3056" t="s">
        <v>3265</v>
      </c>
      <c r="AC13" s="3056" t="s">
        <v>3260</v>
      </c>
      <c r="AD13" s="3056" t="s">
        <v>3140</v>
      </c>
      <c r="AE13" s="3056" t="s">
        <v>3266</v>
      </c>
      <c r="AF13" s="3056" t="s">
        <v>3267</v>
      </c>
      <c r="AG13" s="3056">
        <v>7100</v>
      </c>
      <c r="AH13" s="3056">
        <v>35200</v>
      </c>
      <c r="AI13" s="3056">
        <v>35200</v>
      </c>
      <c r="AJ13" s="3056">
        <v>3219.38</v>
      </c>
      <c r="AK13" s="3056">
        <v>3219.38</v>
      </c>
      <c r="AL13" s="3056">
        <v>16096.89</v>
      </c>
      <c r="AM13" s="3056">
        <v>16096.89</v>
      </c>
      <c r="AN13" s="3056" t="s">
        <v>1298</v>
      </c>
      <c r="AO13" s="3056" t="s">
        <v>1298</v>
      </c>
      <c r="AP13" s="3056">
        <v>0</v>
      </c>
      <c r="AQ13" s="3056" t="s">
        <v>3167</v>
      </c>
      <c r="AR13" s="3056" t="s">
        <v>1298</v>
      </c>
      <c r="AS13" s="3056" t="s">
        <v>1298</v>
      </c>
      <c r="AT13" s="3056" t="s">
        <v>1298</v>
      </c>
      <c r="AU13" s="3056" t="s">
        <v>3192</v>
      </c>
    </row>
    <row r="14" spans="1:47">
      <c r="A14" s="3056" t="s">
        <v>3268</v>
      </c>
      <c r="B14" s="3056" t="s">
        <v>3058</v>
      </c>
      <c r="C14" s="3056" t="s">
        <v>3127</v>
      </c>
      <c r="D14" s="3056" t="s">
        <v>3269</v>
      </c>
      <c r="E14" s="3056" t="s">
        <v>3270</v>
      </c>
      <c r="F14" s="3056" t="s">
        <v>3271</v>
      </c>
      <c r="G14" s="3056" t="s">
        <v>3272</v>
      </c>
      <c r="H14" s="3056">
        <v>12501.51</v>
      </c>
      <c r="I14" s="3056">
        <v>37505</v>
      </c>
      <c r="J14" s="3056" t="s">
        <v>3174</v>
      </c>
      <c r="K14" s="3056" t="s">
        <v>3133</v>
      </c>
      <c r="L14" s="3056" t="s">
        <v>3148</v>
      </c>
      <c r="M14" s="3056">
        <v>0</v>
      </c>
      <c r="N14" s="3056" t="s">
        <v>1298</v>
      </c>
      <c r="O14" s="3056" t="s">
        <v>1298</v>
      </c>
      <c r="P14" s="3056" t="s">
        <v>3176</v>
      </c>
      <c r="Q14" s="3056" t="s">
        <v>1298</v>
      </c>
      <c r="R14" s="3056" t="s">
        <v>1298</v>
      </c>
      <c r="S14" s="3056" t="s">
        <v>1298</v>
      </c>
      <c r="T14" s="3056" t="s">
        <v>1298</v>
      </c>
      <c r="U14" s="3056" t="s">
        <v>1298</v>
      </c>
      <c r="V14" s="3056" t="s">
        <v>1298</v>
      </c>
      <c r="W14" s="3056" t="s">
        <v>1298</v>
      </c>
      <c r="X14" s="3056" t="s">
        <v>3223</v>
      </c>
      <c r="Y14" s="3056" t="s">
        <v>3263</v>
      </c>
      <c r="Z14" s="3056" t="s">
        <v>3264</v>
      </c>
      <c r="AA14" s="3056" t="s">
        <v>3265</v>
      </c>
      <c r="AB14" s="3056" t="s">
        <v>3265</v>
      </c>
      <c r="AC14" s="3056" t="s">
        <v>3272</v>
      </c>
      <c r="AD14" s="3056" t="s">
        <v>3140</v>
      </c>
      <c r="AE14" s="3056" t="s">
        <v>3273</v>
      </c>
      <c r="AF14" s="3056" t="s">
        <v>3273</v>
      </c>
      <c r="AG14" s="3056">
        <v>11200</v>
      </c>
      <c r="AH14" s="3056">
        <v>56000</v>
      </c>
      <c r="AI14" s="3056">
        <v>56000</v>
      </c>
      <c r="AJ14" s="3056">
        <v>2986.31</v>
      </c>
      <c r="AK14" s="3056">
        <v>2986.31</v>
      </c>
      <c r="AL14" s="3056">
        <v>14931.34</v>
      </c>
      <c r="AM14" s="3056">
        <v>14931.34</v>
      </c>
      <c r="AN14" s="3056" t="s">
        <v>1298</v>
      </c>
      <c r="AO14" s="3056" t="s">
        <v>1298</v>
      </c>
      <c r="AP14" s="3056">
        <v>0</v>
      </c>
      <c r="AQ14" s="3056" t="s">
        <v>3167</v>
      </c>
      <c r="AR14" s="3056" t="s">
        <v>1298</v>
      </c>
      <c r="AS14" s="3056" t="s">
        <v>1298</v>
      </c>
      <c r="AT14" s="3056" t="s">
        <v>1298</v>
      </c>
      <c r="AU14" s="3056" t="s">
        <v>3143</v>
      </c>
    </row>
    <row r="15" spans="1:47">
      <c r="A15" s="3056" t="s">
        <v>3274</v>
      </c>
      <c r="B15" s="3056" t="s">
        <v>3058</v>
      </c>
      <c r="C15" s="3056" t="s">
        <v>3127</v>
      </c>
      <c r="D15" s="3056" t="s">
        <v>3182</v>
      </c>
      <c r="E15" s="3056" t="s">
        <v>3183</v>
      </c>
      <c r="F15" s="3056" t="s">
        <v>3275</v>
      </c>
      <c r="G15" s="3056" t="s">
        <v>3276</v>
      </c>
      <c r="H15" s="3056">
        <v>30159.25</v>
      </c>
      <c r="I15" s="3056">
        <v>138421</v>
      </c>
      <c r="J15" s="3056" t="s">
        <v>3277</v>
      </c>
      <c r="K15" s="3056" t="s">
        <v>3133</v>
      </c>
      <c r="L15" s="3056" t="s">
        <v>3213</v>
      </c>
      <c r="M15" s="3056">
        <v>0</v>
      </c>
      <c r="N15" s="3056" t="s">
        <v>1298</v>
      </c>
      <c r="O15" s="3056" t="s">
        <v>3175</v>
      </c>
      <c r="P15" s="3056" t="s">
        <v>3278</v>
      </c>
      <c r="Q15" s="3056" t="s">
        <v>1298</v>
      </c>
      <c r="R15" s="3056" t="s">
        <v>1298</v>
      </c>
      <c r="S15" s="3056" t="s">
        <v>1298</v>
      </c>
      <c r="T15" s="3056" t="s">
        <v>1298</v>
      </c>
      <c r="U15" s="3056" t="s">
        <v>1298</v>
      </c>
      <c r="V15" s="3056" t="s">
        <v>1298</v>
      </c>
      <c r="W15" s="3056" t="s">
        <v>1298</v>
      </c>
      <c r="X15" s="3056" t="s">
        <v>3223</v>
      </c>
      <c r="Y15" s="3056" t="s">
        <v>3279</v>
      </c>
      <c r="Z15" s="3056" t="s">
        <v>3280</v>
      </c>
      <c r="AA15" s="3056" t="s">
        <v>3281</v>
      </c>
      <c r="AB15" s="3056" t="s">
        <v>3281</v>
      </c>
      <c r="AC15" s="3056" t="s">
        <v>3276</v>
      </c>
      <c r="AD15" s="3056" t="s">
        <v>3140</v>
      </c>
      <c r="AE15" s="3056" t="s">
        <v>3282</v>
      </c>
      <c r="AF15" s="3056" t="s">
        <v>3283</v>
      </c>
      <c r="AG15" s="3056">
        <v>46100</v>
      </c>
      <c r="AH15" s="3056">
        <v>230100</v>
      </c>
      <c r="AI15" s="3056">
        <v>230100</v>
      </c>
      <c r="AJ15" s="3056">
        <v>5086.33</v>
      </c>
      <c r="AK15" s="3056">
        <v>5086.33</v>
      </c>
      <c r="AL15" s="3056">
        <v>16623.2</v>
      </c>
      <c r="AM15" s="3056">
        <v>16623.2</v>
      </c>
      <c r="AN15" s="3056" t="s">
        <v>1298</v>
      </c>
      <c r="AO15" s="3056" t="s">
        <v>1298</v>
      </c>
      <c r="AP15" s="3056">
        <v>0</v>
      </c>
      <c r="AQ15" s="3056" t="s">
        <v>3167</v>
      </c>
      <c r="AR15" s="3056" t="s">
        <v>1298</v>
      </c>
      <c r="AS15" s="3056" t="s">
        <v>1298</v>
      </c>
      <c r="AT15" s="3056" t="s">
        <v>1298</v>
      </c>
      <c r="AU15" s="3056" t="s">
        <v>3143</v>
      </c>
    </row>
    <row r="16" spans="1:47">
      <c r="A16" s="3056" t="s">
        <v>3284</v>
      </c>
      <c r="B16" s="3056" t="s">
        <v>3058</v>
      </c>
      <c r="C16" s="3056" t="s">
        <v>3127</v>
      </c>
      <c r="D16" s="3056" t="s">
        <v>3182</v>
      </c>
      <c r="E16" s="3056" t="s">
        <v>3183</v>
      </c>
      <c r="F16" s="3056" t="s">
        <v>3275</v>
      </c>
      <c r="G16" s="3056" t="s">
        <v>3285</v>
      </c>
      <c r="H16" s="3056">
        <v>35629.120000000003</v>
      </c>
      <c r="I16" s="3056">
        <v>100429</v>
      </c>
      <c r="J16" s="3056" t="s">
        <v>3286</v>
      </c>
      <c r="K16" s="3056" t="s">
        <v>3133</v>
      </c>
      <c r="L16" s="3056" t="s">
        <v>3287</v>
      </c>
      <c r="M16" s="3056">
        <v>0</v>
      </c>
      <c r="N16" s="3056" t="s">
        <v>1298</v>
      </c>
      <c r="O16" s="3056" t="s">
        <v>3175</v>
      </c>
      <c r="P16" s="3056" t="s">
        <v>3288</v>
      </c>
      <c r="Q16" s="3056" t="s">
        <v>1298</v>
      </c>
      <c r="R16" s="3056" t="s">
        <v>1298</v>
      </c>
      <c r="S16" s="3056" t="s">
        <v>1298</v>
      </c>
      <c r="T16" s="3056" t="s">
        <v>1298</v>
      </c>
      <c r="U16" s="3056" t="s">
        <v>1298</v>
      </c>
      <c r="V16" s="3056" t="s">
        <v>1298</v>
      </c>
      <c r="W16" s="3056" t="s">
        <v>1298</v>
      </c>
      <c r="X16" s="3056" t="s">
        <v>3223</v>
      </c>
      <c r="Y16" s="3056" t="s">
        <v>3279</v>
      </c>
      <c r="Z16" s="3056" t="s">
        <v>3280</v>
      </c>
      <c r="AA16" s="3056" t="s">
        <v>3281</v>
      </c>
      <c r="AB16" s="3056" t="s">
        <v>3281</v>
      </c>
      <c r="AC16" s="3056" t="s">
        <v>3285</v>
      </c>
      <c r="AD16" s="3056" t="s">
        <v>3140</v>
      </c>
      <c r="AE16" s="3056" t="s">
        <v>3282</v>
      </c>
      <c r="AF16" s="3056" t="s">
        <v>3283</v>
      </c>
      <c r="AG16" s="3056">
        <v>33400</v>
      </c>
      <c r="AH16" s="3056">
        <v>166700</v>
      </c>
      <c r="AI16" s="3056">
        <v>166700</v>
      </c>
      <c r="AJ16" s="3056">
        <v>3119.17</v>
      </c>
      <c r="AK16" s="3056">
        <v>3119.17</v>
      </c>
      <c r="AL16" s="3056">
        <v>16598.79</v>
      </c>
      <c r="AM16" s="3056">
        <v>16598.79</v>
      </c>
      <c r="AN16" s="3056" t="s">
        <v>1298</v>
      </c>
      <c r="AO16" s="3056" t="s">
        <v>1298</v>
      </c>
      <c r="AP16" s="3056">
        <v>0</v>
      </c>
      <c r="AQ16" s="3056" t="s">
        <v>3167</v>
      </c>
      <c r="AR16" s="3056" t="s">
        <v>1298</v>
      </c>
      <c r="AS16" s="3056" t="s">
        <v>1298</v>
      </c>
      <c r="AT16" s="3056" t="s">
        <v>1298</v>
      </c>
      <c r="AU16" s="3056" t="s">
        <v>3192</v>
      </c>
    </row>
    <row r="17" spans="1:47" s="3057" customFormat="1">
      <c r="A17" s="3057" t="s">
        <v>3289</v>
      </c>
      <c r="B17" s="3057" t="s">
        <v>3058</v>
      </c>
      <c r="C17" s="3057" t="s">
        <v>3127</v>
      </c>
      <c r="D17" s="3057" t="s">
        <v>3208</v>
      </c>
      <c r="E17" s="3057" t="s">
        <v>3290</v>
      </c>
      <c r="F17" s="3057" t="s">
        <v>3291</v>
      </c>
      <c r="G17" s="3057" t="s">
        <v>3292</v>
      </c>
      <c r="H17" s="3057">
        <v>70601.070000000007</v>
      </c>
      <c r="I17" s="3057">
        <v>285523</v>
      </c>
      <c r="J17" s="3057" t="s">
        <v>3293</v>
      </c>
      <c r="K17" s="3057" t="s">
        <v>3199</v>
      </c>
      <c r="L17" s="3057" t="s">
        <v>3294</v>
      </c>
      <c r="M17" s="3057">
        <v>0</v>
      </c>
      <c r="N17" s="3057" t="s">
        <v>1298</v>
      </c>
      <c r="O17" s="3057" t="s">
        <v>1298</v>
      </c>
      <c r="P17" s="3057" t="s">
        <v>1298</v>
      </c>
      <c r="Q17" s="3057" t="s">
        <v>1298</v>
      </c>
      <c r="R17" s="3057" t="s">
        <v>1298</v>
      </c>
      <c r="S17" s="3057" t="s">
        <v>1298</v>
      </c>
      <c r="T17" s="3057" t="s">
        <v>1298</v>
      </c>
      <c r="U17" s="3057" t="s">
        <v>1298</v>
      </c>
      <c r="V17" s="3057" t="s">
        <v>1298</v>
      </c>
      <c r="W17" s="3057" t="s">
        <v>1298</v>
      </c>
      <c r="X17" s="3057" t="s">
        <v>3223</v>
      </c>
      <c r="Y17" s="3057" t="s">
        <v>3295</v>
      </c>
      <c r="Z17" s="3057" t="s">
        <v>3296</v>
      </c>
      <c r="AA17" s="3057" t="s">
        <v>3297</v>
      </c>
      <c r="AB17" s="3057" t="s">
        <v>3297</v>
      </c>
      <c r="AC17" s="3057" t="s">
        <v>3292</v>
      </c>
      <c r="AD17" s="3057" t="s">
        <v>3140</v>
      </c>
      <c r="AE17" s="3057" t="s">
        <v>3298</v>
      </c>
      <c r="AF17" s="3057" t="s">
        <v>3299</v>
      </c>
      <c r="AG17" s="3057">
        <v>131000</v>
      </c>
      <c r="AH17" s="3057" t="s">
        <v>1298</v>
      </c>
      <c r="AI17" s="3057">
        <v>660900</v>
      </c>
      <c r="AJ17" s="3057" t="s">
        <v>1298</v>
      </c>
      <c r="AK17" s="3057">
        <v>6240.7</v>
      </c>
      <c r="AL17" s="3057" t="s">
        <v>1298</v>
      </c>
      <c r="AM17" s="3057">
        <v>23147</v>
      </c>
      <c r="AN17" s="3057" t="s">
        <v>1298</v>
      </c>
      <c r="AO17" s="3057" t="s">
        <v>1298</v>
      </c>
      <c r="AP17" s="3057" t="s">
        <v>1298</v>
      </c>
      <c r="AQ17" s="3057" t="s">
        <v>3167</v>
      </c>
      <c r="AR17" s="3057" t="s">
        <v>1298</v>
      </c>
      <c r="AS17" s="3057" t="s">
        <v>1298</v>
      </c>
      <c r="AT17" s="3057" t="s">
        <v>1298</v>
      </c>
      <c r="AU17" s="3057" t="s">
        <v>3192</v>
      </c>
    </row>
    <row r="18" spans="1:47">
      <c r="A18" s="3056" t="s">
        <v>3300</v>
      </c>
      <c r="B18" s="3056" t="s">
        <v>3058</v>
      </c>
      <c r="C18" s="3056" t="s">
        <v>3127</v>
      </c>
      <c r="D18" s="3056" t="s">
        <v>3128</v>
      </c>
      <c r="E18" s="3056" t="s">
        <v>3129</v>
      </c>
      <c r="F18" s="3056" t="s">
        <v>3301</v>
      </c>
      <c r="G18" s="3056" t="s">
        <v>3302</v>
      </c>
      <c r="H18" s="3056">
        <v>28003.32</v>
      </c>
      <c r="I18" s="3056">
        <v>70008</v>
      </c>
      <c r="J18" s="3056" t="s">
        <v>3303</v>
      </c>
      <c r="K18" s="3056" t="s">
        <v>3133</v>
      </c>
      <c r="L18" s="3056" t="s">
        <v>3148</v>
      </c>
      <c r="M18" s="3056">
        <v>0</v>
      </c>
      <c r="N18" s="3056" t="s">
        <v>1298</v>
      </c>
      <c r="O18" s="3056" t="s">
        <v>3304</v>
      </c>
      <c r="P18" s="3056" t="s">
        <v>3305</v>
      </c>
      <c r="Q18" s="3056" t="s">
        <v>1298</v>
      </c>
      <c r="R18" s="3056" t="s">
        <v>1298</v>
      </c>
      <c r="S18" s="3056" t="s">
        <v>1298</v>
      </c>
      <c r="T18" s="3056" t="s">
        <v>1298</v>
      </c>
      <c r="U18" s="3056" t="s">
        <v>1298</v>
      </c>
      <c r="V18" s="3056" t="s">
        <v>1298</v>
      </c>
      <c r="W18" s="3056" t="s">
        <v>1298</v>
      </c>
      <c r="X18" s="3056" t="s">
        <v>3223</v>
      </c>
      <c r="Y18" s="3056" t="s">
        <v>3306</v>
      </c>
      <c r="Z18" s="3056" t="s">
        <v>3307</v>
      </c>
      <c r="AA18" s="3056" t="s">
        <v>3308</v>
      </c>
      <c r="AB18" s="3056" t="s">
        <v>3308</v>
      </c>
      <c r="AC18" s="3056" t="s">
        <v>3302</v>
      </c>
      <c r="AD18" s="3056" t="s">
        <v>3140</v>
      </c>
      <c r="AE18" s="3056" t="s">
        <v>3309</v>
      </c>
      <c r="AF18" s="3056" t="s">
        <v>3310</v>
      </c>
      <c r="AG18" s="3056">
        <v>19500</v>
      </c>
      <c r="AH18" s="3056">
        <v>96800</v>
      </c>
      <c r="AI18" s="3056">
        <v>97800</v>
      </c>
      <c r="AJ18" s="3056">
        <v>2304.4899999999998</v>
      </c>
      <c r="AK18" s="3056">
        <v>2328.3000000000002</v>
      </c>
      <c r="AL18" s="3056">
        <v>13826.99</v>
      </c>
      <c r="AM18" s="3056">
        <v>13969.82</v>
      </c>
      <c r="AN18" s="3056" t="s">
        <v>1298</v>
      </c>
      <c r="AO18" s="3056" t="s">
        <v>1298</v>
      </c>
      <c r="AP18" s="3056">
        <v>1.03</v>
      </c>
      <c r="AQ18" s="3056" t="s">
        <v>3311</v>
      </c>
      <c r="AR18" s="3056" t="s">
        <v>1298</v>
      </c>
      <c r="AS18" s="3056" t="s">
        <v>1298</v>
      </c>
      <c r="AT18" s="3056" t="s">
        <v>1298</v>
      </c>
      <c r="AU18" s="3056" t="s">
        <v>3143</v>
      </c>
    </row>
    <row r="19" spans="1:47">
      <c r="A19" s="3056" t="s">
        <v>3312</v>
      </c>
      <c r="B19" s="3056" t="s">
        <v>3058</v>
      </c>
      <c r="C19" s="3056" t="s">
        <v>3127</v>
      </c>
      <c r="D19" s="3056" t="s">
        <v>3243</v>
      </c>
      <c r="E19" s="3056" t="s">
        <v>3313</v>
      </c>
      <c r="F19" s="3056" t="s">
        <v>3314</v>
      </c>
      <c r="G19" s="3056" t="s">
        <v>3315</v>
      </c>
      <c r="H19" s="3056">
        <v>42276.47</v>
      </c>
      <c r="I19" s="3056">
        <v>84552.93</v>
      </c>
      <c r="J19" s="3435" t="s">
        <v>3316</v>
      </c>
      <c r="K19" s="3056" t="s">
        <v>3133</v>
      </c>
      <c r="L19" s="3056" t="s">
        <v>3213</v>
      </c>
      <c r="M19" s="3056">
        <v>0</v>
      </c>
      <c r="N19" s="3056" t="s">
        <v>1298</v>
      </c>
      <c r="O19" s="3056" t="s">
        <v>3175</v>
      </c>
      <c r="P19" s="3056" t="s">
        <v>3317</v>
      </c>
      <c r="Q19" s="3056" t="s">
        <v>1298</v>
      </c>
      <c r="R19" s="3056" t="s">
        <v>1298</v>
      </c>
      <c r="S19" s="3056" t="s">
        <v>1298</v>
      </c>
      <c r="T19" s="3056" t="s">
        <v>1298</v>
      </c>
      <c r="U19" s="3056" t="s">
        <v>1298</v>
      </c>
      <c r="V19" s="3056" t="s">
        <v>1298</v>
      </c>
      <c r="W19" s="3056" t="s">
        <v>1298</v>
      </c>
      <c r="X19" s="3056" t="s">
        <v>3223</v>
      </c>
      <c r="Y19" s="3056" t="s">
        <v>3318</v>
      </c>
      <c r="Z19" s="3056" t="s">
        <v>3319</v>
      </c>
      <c r="AA19" s="3056" t="s">
        <v>3320</v>
      </c>
      <c r="AB19" s="3056" t="s">
        <v>3320</v>
      </c>
      <c r="AC19" s="3056" t="s">
        <v>3315</v>
      </c>
      <c r="AD19" s="3056" t="s">
        <v>3140</v>
      </c>
      <c r="AE19" s="3056" t="s">
        <v>3321</v>
      </c>
      <c r="AF19" s="3056" t="s">
        <v>3322</v>
      </c>
      <c r="AG19" s="3056">
        <v>19000</v>
      </c>
      <c r="AH19" s="3056">
        <v>95000</v>
      </c>
      <c r="AI19" s="3056">
        <v>96500</v>
      </c>
      <c r="AJ19" s="3056">
        <v>1498.08</v>
      </c>
      <c r="AK19" s="3056">
        <v>1521.73</v>
      </c>
      <c r="AL19" s="3056">
        <v>11235.56</v>
      </c>
      <c r="AM19" s="3056">
        <v>11412.96</v>
      </c>
      <c r="AN19" s="3056" t="s">
        <v>1298</v>
      </c>
      <c r="AO19" s="3056" t="s">
        <v>1298</v>
      </c>
      <c r="AP19" s="3056">
        <v>1.58</v>
      </c>
      <c r="AQ19" s="3056" t="s">
        <v>3323</v>
      </c>
      <c r="AR19" s="3056" t="s">
        <v>1298</v>
      </c>
      <c r="AS19" s="3056" t="s">
        <v>1298</v>
      </c>
      <c r="AT19" s="3056" t="s">
        <v>1298</v>
      </c>
      <c r="AU19" s="3056" t="s">
        <v>3255</v>
      </c>
    </row>
    <row r="20" spans="1:47" s="3058" customFormat="1">
      <c r="A20" s="3058" t="s">
        <v>3324</v>
      </c>
      <c r="B20" s="3058" t="s">
        <v>3058</v>
      </c>
      <c r="C20" s="3058" t="s">
        <v>3127</v>
      </c>
      <c r="D20" s="3058" t="s">
        <v>3208</v>
      </c>
      <c r="E20" s="3058" t="s">
        <v>3325</v>
      </c>
      <c r="F20" s="3058" t="s">
        <v>3326</v>
      </c>
      <c r="G20" s="3058" t="s">
        <v>3327</v>
      </c>
      <c r="H20" s="3058">
        <v>22035.93</v>
      </c>
      <c r="I20" s="3058">
        <v>61700.6</v>
      </c>
      <c r="J20" s="3058" t="s">
        <v>3328</v>
      </c>
      <c r="K20" s="3058" t="s">
        <v>3133</v>
      </c>
      <c r="L20" s="3058" t="s">
        <v>3213</v>
      </c>
      <c r="M20" s="3058">
        <v>0</v>
      </c>
      <c r="N20" s="3058" t="s">
        <v>1298</v>
      </c>
      <c r="O20" s="3058" t="s">
        <v>3304</v>
      </c>
      <c r="P20" s="3058" t="s">
        <v>3187</v>
      </c>
      <c r="Q20" s="3058" t="s">
        <v>1298</v>
      </c>
      <c r="R20" s="3058" t="s">
        <v>1298</v>
      </c>
      <c r="S20" s="3058" t="s">
        <v>1298</v>
      </c>
      <c r="T20" s="3058" t="s">
        <v>1298</v>
      </c>
      <c r="U20" s="3058" t="s">
        <v>1298</v>
      </c>
      <c r="V20" s="3058" t="s">
        <v>1298</v>
      </c>
      <c r="W20" s="3058" t="s">
        <v>1298</v>
      </c>
      <c r="X20" s="3058" t="s">
        <v>3223</v>
      </c>
      <c r="Y20" s="3058" t="s">
        <v>3329</v>
      </c>
      <c r="Z20" s="3058" t="s">
        <v>3330</v>
      </c>
      <c r="AA20" s="3058" t="s">
        <v>3331</v>
      </c>
      <c r="AB20" s="3058" t="s">
        <v>3331</v>
      </c>
      <c r="AC20" s="3058" t="s">
        <v>3327</v>
      </c>
      <c r="AD20" s="3058" t="s">
        <v>3140</v>
      </c>
      <c r="AE20" s="3058" t="s">
        <v>3332</v>
      </c>
      <c r="AF20" s="3058" t="s">
        <v>3333</v>
      </c>
      <c r="AG20" s="3058">
        <v>21000</v>
      </c>
      <c r="AH20" s="3058">
        <v>103700</v>
      </c>
      <c r="AI20" s="3058">
        <v>103700</v>
      </c>
      <c r="AJ20" s="3058">
        <v>3137.3</v>
      </c>
      <c r="AK20" s="3058">
        <v>3137.3</v>
      </c>
      <c r="AL20" s="3058">
        <v>16806.96</v>
      </c>
      <c r="AM20" s="3058">
        <v>16806.97</v>
      </c>
      <c r="AN20" s="3058" t="s">
        <v>1298</v>
      </c>
      <c r="AO20" s="3058" t="s">
        <v>1298</v>
      </c>
      <c r="AP20" s="3058">
        <v>0</v>
      </c>
      <c r="AQ20" s="3058" t="s">
        <v>3167</v>
      </c>
      <c r="AR20" s="3058" t="s">
        <v>1298</v>
      </c>
      <c r="AS20" s="3058" t="s">
        <v>1298</v>
      </c>
      <c r="AT20" s="3058" t="s">
        <v>1298</v>
      </c>
      <c r="AU20" s="3058" t="s">
        <v>3192</v>
      </c>
    </row>
    <row r="21" spans="1:47" s="3057" customFormat="1">
      <c r="A21" s="3057" t="s">
        <v>3334</v>
      </c>
      <c r="B21" s="3057" t="s">
        <v>3058</v>
      </c>
      <c r="C21" s="3057" t="s">
        <v>3127</v>
      </c>
      <c r="D21" s="3057" t="s">
        <v>3208</v>
      </c>
      <c r="E21" s="3057" t="s">
        <v>3335</v>
      </c>
      <c r="F21" s="3057" t="s">
        <v>3336</v>
      </c>
      <c r="G21" s="3057" t="s">
        <v>3337</v>
      </c>
      <c r="H21" s="3057">
        <v>32158.94</v>
      </c>
      <c r="I21" s="3057">
        <v>96476.82</v>
      </c>
      <c r="J21" s="3057" t="s">
        <v>3174</v>
      </c>
      <c r="K21" s="3057" t="s">
        <v>3133</v>
      </c>
      <c r="L21" s="3057" t="s">
        <v>3161</v>
      </c>
      <c r="M21" s="3057">
        <v>0</v>
      </c>
      <c r="N21" s="3057" t="s">
        <v>1298</v>
      </c>
      <c r="O21" s="3057" t="s">
        <v>3262</v>
      </c>
      <c r="P21" s="3057" t="s">
        <v>3338</v>
      </c>
      <c r="Q21" s="3057" t="s">
        <v>1298</v>
      </c>
      <c r="R21" s="3057" t="s">
        <v>1298</v>
      </c>
      <c r="S21" s="3057" t="s">
        <v>1298</v>
      </c>
      <c r="T21" s="3057" t="s">
        <v>1298</v>
      </c>
      <c r="U21" s="3057" t="s">
        <v>1298</v>
      </c>
      <c r="V21" s="3057" t="s">
        <v>1298</v>
      </c>
      <c r="W21" s="3057" t="s">
        <v>1298</v>
      </c>
      <c r="X21" s="3057" t="s">
        <v>3223</v>
      </c>
      <c r="Y21" s="3057" t="s">
        <v>3339</v>
      </c>
      <c r="Z21" s="3057" t="s">
        <v>3340</v>
      </c>
      <c r="AA21" s="3057" t="s">
        <v>3341</v>
      </c>
      <c r="AB21" s="3057" t="s">
        <v>3341</v>
      </c>
      <c r="AC21" s="3057" t="s">
        <v>3337</v>
      </c>
      <c r="AD21" s="3057" t="s">
        <v>3140</v>
      </c>
      <c r="AE21" s="3057" t="s">
        <v>3342</v>
      </c>
      <c r="AF21" s="3057" t="s">
        <v>3342</v>
      </c>
      <c r="AG21" s="3057">
        <v>53000</v>
      </c>
      <c r="AH21" s="3057">
        <v>263800</v>
      </c>
      <c r="AI21" s="3057">
        <v>263800</v>
      </c>
      <c r="AJ21" s="3057">
        <v>5468.67</v>
      </c>
      <c r="AK21" s="3057">
        <v>5468.67</v>
      </c>
      <c r="AL21" s="3057">
        <v>27343.35</v>
      </c>
      <c r="AM21" s="3057">
        <v>27343.360000000001</v>
      </c>
      <c r="AN21" s="3057" t="s">
        <v>1298</v>
      </c>
      <c r="AO21" s="3057" t="s">
        <v>1298</v>
      </c>
      <c r="AP21" s="3057">
        <v>0</v>
      </c>
      <c r="AQ21" s="3057" t="s">
        <v>3167</v>
      </c>
      <c r="AR21" s="3057" t="s">
        <v>1298</v>
      </c>
      <c r="AS21" s="3057" t="s">
        <v>1298</v>
      </c>
      <c r="AT21" s="3057" t="s">
        <v>1298</v>
      </c>
      <c r="AU21" s="3057" t="s">
        <v>3143</v>
      </c>
    </row>
    <row r="22" spans="1:47">
      <c r="A22" s="3056" t="s">
        <v>3343</v>
      </c>
      <c r="B22" s="3056" t="s">
        <v>3058</v>
      </c>
      <c r="C22" s="3056" t="s">
        <v>3127</v>
      </c>
      <c r="D22" s="3056" t="s">
        <v>3243</v>
      </c>
      <c r="E22" s="3056" t="s">
        <v>3344</v>
      </c>
      <c r="F22" s="3056" t="s">
        <v>3345</v>
      </c>
      <c r="G22" s="3056" t="s">
        <v>3346</v>
      </c>
      <c r="H22" s="3056">
        <v>51736.9</v>
      </c>
      <c r="I22" s="3056">
        <v>81600.05</v>
      </c>
      <c r="J22" s="3435" t="s">
        <v>3347</v>
      </c>
      <c r="K22" s="3056" t="s">
        <v>3133</v>
      </c>
      <c r="L22" s="3056" t="s">
        <v>3148</v>
      </c>
      <c r="M22" s="3056">
        <v>0</v>
      </c>
      <c r="N22" s="3056" t="s">
        <v>1298</v>
      </c>
      <c r="O22" s="3056" t="s">
        <v>3175</v>
      </c>
      <c r="P22" s="3056" t="s">
        <v>3338</v>
      </c>
      <c r="Q22" s="3056" t="s">
        <v>1298</v>
      </c>
      <c r="R22" s="3056" t="s">
        <v>1298</v>
      </c>
      <c r="S22" s="3056" t="s">
        <v>1298</v>
      </c>
      <c r="T22" s="3056" t="s">
        <v>1298</v>
      </c>
      <c r="U22" s="3056" t="s">
        <v>1298</v>
      </c>
      <c r="V22" s="3056" t="s">
        <v>1298</v>
      </c>
      <c r="W22" s="3056" t="s">
        <v>1298</v>
      </c>
      <c r="X22" s="3056" t="s">
        <v>3223</v>
      </c>
      <c r="Y22" s="3056" t="s">
        <v>3339</v>
      </c>
      <c r="Z22" s="3056" t="s">
        <v>3340</v>
      </c>
      <c r="AA22" s="3056" t="s">
        <v>3341</v>
      </c>
      <c r="AB22" s="3056" t="s">
        <v>3341</v>
      </c>
      <c r="AC22" s="3056" t="s">
        <v>3346</v>
      </c>
      <c r="AD22" s="3056" t="s">
        <v>3140</v>
      </c>
      <c r="AE22" s="3056" t="s">
        <v>3348</v>
      </c>
      <c r="AF22" s="3056" t="s">
        <v>3348</v>
      </c>
      <c r="AG22" s="3056">
        <v>30000</v>
      </c>
      <c r="AH22" s="3056">
        <v>150000</v>
      </c>
      <c r="AI22" s="3056">
        <v>150000</v>
      </c>
      <c r="AJ22" s="3056">
        <v>1932.86</v>
      </c>
      <c r="AK22" s="3056">
        <v>1932.86</v>
      </c>
      <c r="AL22" s="3056">
        <v>18382.34</v>
      </c>
      <c r="AM22" s="3056">
        <v>18382.34</v>
      </c>
      <c r="AN22" s="3056" t="s">
        <v>1298</v>
      </c>
      <c r="AO22" s="3056" t="s">
        <v>1298</v>
      </c>
      <c r="AP22" s="3056">
        <v>0</v>
      </c>
      <c r="AQ22" s="3056" t="s">
        <v>3167</v>
      </c>
      <c r="AR22" s="3056" t="s">
        <v>1298</v>
      </c>
      <c r="AS22" s="3056" t="s">
        <v>1298</v>
      </c>
      <c r="AT22" s="3056" t="s">
        <v>1298</v>
      </c>
      <c r="AU22" s="3056" t="s">
        <v>3255</v>
      </c>
    </row>
    <row r="23" spans="1:47">
      <c r="A23" s="3056" t="s">
        <v>3349</v>
      </c>
      <c r="B23" s="3056" t="s">
        <v>3058</v>
      </c>
      <c r="C23" s="3056" t="s">
        <v>3127</v>
      </c>
      <c r="D23" s="3056" t="s">
        <v>3269</v>
      </c>
      <c r="E23" s="3056" t="s">
        <v>3270</v>
      </c>
      <c r="F23" s="3056" t="s">
        <v>3350</v>
      </c>
      <c r="G23" s="3056" t="s">
        <v>3351</v>
      </c>
      <c r="H23" s="3056">
        <v>28622.32</v>
      </c>
      <c r="I23" s="3056">
        <v>71556</v>
      </c>
      <c r="J23" s="3056">
        <v>2.5</v>
      </c>
      <c r="K23" s="3056" t="s">
        <v>3133</v>
      </c>
      <c r="L23" s="3056" t="s">
        <v>3213</v>
      </c>
      <c r="M23" s="3056">
        <v>0</v>
      </c>
      <c r="N23" s="3056" t="s">
        <v>1298</v>
      </c>
      <c r="O23" s="3056" t="s">
        <v>3262</v>
      </c>
      <c r="P23" s="3056" t="s">
        <v>3352</v>
      </c>
      <c r="Q23" s="3056" t="s">
        <v>1298</v>
      </c>
      <c r="R23" s="3056" t="s">
        <v>1298</v>
      </c>
      <c r="S23" s="3056" t="s">
        <v>1298</v>
      </c>
      <c r="T23" s="3056" t="s">
        <v>1298</v>
      </c>
      <c r="U23" s="3056" t="s">
        <v>3353</v>
      </c>
      <c r="V23" s="3056" t="s">
        <v>3353</v>
      </c>
      <c r="W23" s="3056" t="s">
        <v>1298</v>
      </c>
      <c r="X23" s="3056" t="s">
        <v>3223</v>
      </c>
      <c r="Y23" s="3056" t="s">
        <v>3354</v>
      </c>
      <c r="Z23" s="3056" t="s">
        <v>3355</v>
      </c>
      <c r="AA23" s="3056" t="s">
        <v>3356</v>
      </c>
      <c r="AB23" s="3056" t="s">
        <v>3356</v>
      </c>
      <c r="AC23" s="3056" t="s">
        <v>3351</v>
      </c>
      <c r="AD23" s="3056" t="s">
        <v>3140</v>
      </c>
      <c r="AE23" s="3056" t="s">
        <v>3357</v>
      </c>
      <c r="AF23" s="3056" t="s">
        <v>3358</v>
      </c>
      <c r="AG23" s="3056">
        <v>26400</v>
      </c>
      <c r="AH23" s="3056">
        <v>132000</v>
      </c>
      <c r="AI23" s="3056">
        <v>132000</v>
      </c>
      <c r="AJ23" s="3056">
        <v>3074.52</v>
      </c>
      <c r="AK23" s="3056">
        <v>3074.52</v>
      </c>
      <c r="AL23" s="3056">
        <v>18447.09</v>
      </c>
      <c r="AM23" s="3056">
        <v>18447.09</v>
      </c>
      <c r="AN23" s="3056" t="s">
        <v>1298</v>
      </c>
      <c r="AO23" s="3056" t="s">
        <v>1298</v>
      </c>
      <c r="AP23" s="3056">
        <v>0</v>
      </c>
      <c r="AQ23" s="3056" t="s">
        <v>3167</v>
      </c>
      <c r="AR23" s="3056" t="s">
        <v>1298</v>
      </c>
      <c r="AS23" s="3056" t="s">
        <v>1298</v>
      </c>
      <c r="AT23" s="3056" t="s">
        <v>1298</v>
      </c>
      <c r="AU23" s="3056" t="s">
        <v>3143</v>
      </c>
    </row>
    <row r="24" spans="1:47">
      <c r="A24" s="3056" t="s">
        <v>3359</v>
      </c>
      <c r="B24" s="3056" t="s">
        <v>3058</v>
      </c>
      <c r="C24" s="3056" t="s">
        <v>3127</v>
      </c>
      <c r="D24" s="3056" t="s">
        <v>3194</v>
      </c>
      <c r="E24" s="3056" t="s">
        <v>3360</v>
      </c>
      <c r="F24" s="3056" t="s">
        <v>3361</v>
      </c>
      <c r="G24" s="3056" t="s">
        <v>3362</v>
      </c>
      <c r="H24" s="3056">
        <v>28725.47</v>
      </c>
      <c r="I24" s="3056">
        <v>71814</v>
      </c>
      <c r="J24" s="3056">
        <v>2.5</v>
      </c>
      <c r="K24" s="3056" t="s">
        <v>3199</v>
      </c>
      <c r="L24" s="3056" t="s">
        <v>3213</v>
      </c>
      <c r="M24" s="3056">
        <v>0</v>
      </c>
      <c r="N24" s="3056" t="s">
        <v>1298</v>
      </c>
      <c r="O24" s="3056" t="s">
        <v>3363</v>
      </c>
      <c r="P24" s="3056" t="s">
        <v>3364</v>
      </c>
      <c r="Q24" s="3056" t="s">
        <v>1298</v>
      </c>
      <c r="R24" s="3056" t="s">
        <v>1298</v>
      </c>
      <c r="S24" s="3056" t="s">
        <v>1298</v>
      </c>
      <c r="T24" s="3056" t="s">
        <v>1298</v>
      </c>
      <c r="U24" s="3056" t="s">
        <v>3353</v>
      </c>
      <c r="V24" s="3056" t="s">
        <v>3353</v>
      </c>
      <c r="W24" s="3056" t="s">
        <v>1298</v>
      </c>
      <c r="X24" s="3056" t="s">
        <v>3223</v>
      </c>
      <c r="Y24" s="3056" t="s">
        <v>3354</v>
      </c>
      <c r="Z24" s="3056" t="s">
        <v>3365</v>
      </c>
      <c r="AA24" s="3056" t="s">
        <v>3365</v>
      </c>
      <c r="AB24" s="3056" t="s">
        <v>3365</v>
      </c>
      <c r="AC24" s="3056" t="s">
        <v>3362</v>
      </c>
      <c r="AD24" s="3056" t="s">
        <v>3140</v>
      </c>
      <c r="AE24" s="3056" t="s">
        <v>3366</v>
      </c>
      <c r="AF24" s="3056" t="s">
        <v>3367</v>
      </c>
      <c r="AG24" s="3056">
        <v>6300</v>
      </c>
      <c r="AH24" s="3056" t="s">
        <v>1298</v>
      </c>
      <c r="AI24" s="3056">
        <v>32000</v>
      </c>
      <c r="AJ24" s="3056" t="s">
        <v>1298</v>
      </c>
      <c r="AK24" s="3056">
        <v>742.66</v>
      </c>
      <c r="AL24" s="3056" t="s">
        <v>1298</v>
      </c>
      <c r="AM24" s="3056">
        <v>4455.96</v>
      </c>
      <c r="AN24" s="3056" t="s">
        <v>1298</v>
      </c>
      <c r="AO24" s="3056" t="s">
        <v>1298</v>
      </c>
      <c r="AP24" s="3056" t="s">
        <v>1298</v>
      </c>
      <c r="AQ24" s="3056" t="s">
        <v>3167</v>
      </c>
      <c r="AR24" s="3056" t="s">
        <v>1298</v>
      </c>
      <c r="AS24" s="3056" t="s">
        <v>1298</v>
      </c>
      <c r="AT24" s="3056" t="s">
        <v>1298</v>
      </c>
      <c r="AU24" s="3056" t="s">
        <v>3143</v>
      </c>
    </row>
    <row r="25" spans="1:47">
      <c r="A25" s="3056" t="s">
        <v>3368</v>
      </c>
      <c r="B25" s="3056" t="s">
        <v>3058</v>
      </c>
      <c r="C25" s="3056" t="s">
        <v>3127</v>
      </c>
      <c r="D25" s="3056" t="s">
        <v>3257</v>
      </c>
      <c r="E25" s="3056" t="s">
        <v>3369</v>
      </c>
      <c r="F25" s="3056" t="s">
        <v>3370</v>
      </c>
      <c r="G25" s="3056" t="s">
        <v>3371</v>
      </c>
      <c r="H25" s="3056">
        <v>138746.29999999999</v>
      </c>
      <c r="I25" s="3056">
        <v>486596</v>
      </c>
      <c r="J25" s="3056">
        <v>3.51</v>
      </c>
      <c r="K25" s="3056" t="s">
        <v>3133</v>
      </c>
      <c r="L25" s="3056" t="s">
        <v>3287</v>
      </c>
      <c r="M25" s="3056">
        <v>0</v>
      </c>
      <c r="N25" s="3056" t="s">
        <v>1298</v>
      </c>
      <c r="O25" s="3056" t="s">
        <v>1298</v>
      </c>
      <c r="P25" s="3056" t="s">
        <v>3372</v>
      </c>
      <c r="Q25" s="3056" t="s">
        <v>1298</v>
      </c>
      <c r="R25" s="3056" t="s">
        <v>1298</v>
      </c>
      <c r="S25" s="3056" t="s">
        <v>1298</v>
      </c>
      <c r="T25" s="3056" t="s">
        <v>1298</v>
      </c>
      <c r="U25" s="3056" t="s">
        <v>3353</v>
      </c>
      <c r="V25" s="3056" t="s">
        <v>3353</v>
      </c>
      <c r="W25" s="3056" t="s">
        <v>1298</v>
      </c>
      <c r="X25" s="3056" t="s">
        <v>3373</v>
      </c>
      <c r="Y25" s="3056" t="s">
        <v>3374</v>
      </c>
      <c r="Z25" s="3056" t="s">
        <v>3375</v>
      </c>
      <c r="AA25" s="3056" t="s">
        <v>3376</v>
      </c>
      <c r="AB25" s="3056" t="s">
        <v>3376</v>
      </c>
      <c r="AC25" s="3056" t="s">
        <v>3371</v>
      </c>
      <c r="AD25" s="3056" t="s">
        <v>3140</v>
      </c>
      <c r="AE25" s="3056" t="s">
        <v>3377</v>
      </c>
      <c r="AF25" s="3056" t="s">
        <v>3378</v>
      </c>
      <c r="AG25" s="3056">
        <v>174000</v>
      </c>
      <c r="AH25" s="3056">
        <v>866300</v>
      </c>
      <c r="AI25" s="3056">
        <v>866300</v>
      </c>
      <c r="AJ25" s="3056">
        <v>4162.51</v>
      </c>
      <c r="AK25" s="3056">
        <v>4162.51</v>
      </c>
      <c r="AL25" s="3056">
        <v>17803.27</v>
      </c>
      <c r="AM25" s="3056">
        <v>17803.27</v>
      </c>
      <c r="AN25" s="3056" t="s">
        <v>1298</v>
      </c>
      <c r="AO25" s="3056" t="s">
        <v>1298</v>
      </c>
      <c r="AP25" s="3056">
        <v>0</v>
      </c>
      <c r="AQ25" s="3056" t="s">
        <v>3167</v>
      </c>
      <c r="AR25" s="3056" t="s">
        <v>1298</v>
      </c>
      <c r="AS25" s="3056" t="s">
        <v>1298</v>
      </c>
      <c r="AT25" s="3056" t="s">
        <v>1298</v>
      </c>
      <c r="AU25" s="3056" t="s">
        <v>3192</v>
      </c>
    </row>
    <row r="26" spans="1:47" s="3057" customFormat="1">
      <c r="A26" s="3057" t="s">
        <v>3379</v>
      </c>
      <c r="B26" s="3057" t="s">
        <v>3058</v>
      </c>
      <c r="C26" s="3057" t="s">
        <v>3127</v>
      </c>
      <c r="D26" s="3057" t="s">
        <v>3380</v>
      </c>
      <c r="E26" s="3057" t="s">
        <v>3381</v>
      </c>
      <c r="F26" s="3057" t="s">
        <v>3382</v>
      </c>
      <c r="G26" s="3057" t="s">
        <v>3383</v>
      </c>
      <c r="H26" s="3057">
        <v>39410.74</v>
      </c>
      <c r="I26" s="3057">
        <v>120000</v>
      </c>
      <c r="J26" s="3057">
        <v>3.04</v>
      </c>
      <c r="K26" s="3057" t="s">
        <v>3199</v>
      </c>
      <c r="L26" s="3057" t="s">
        <v>3148</v>
      </c>
      <c r="M26" s="3057">
        <v>0</v>
      </c>
      <c r="N26" s="3057" t="s">
        <v>1298</v>
      </c>
      <c r="O26" s="3057" t="s">
        <v>3175</v>
      </c>
      <c r="P26" s="3057" t="s">
        <v>3384</v>
      </c>
      <c r="Q26" s="3057" t="s">
        <v>1298</v>
      </c>
      <c r="R26" s="3057" t="s">
        <v>1298</v>
      </c>
      <c r="S26" s="3057" t="s">
        <v>1298</v>
      </c>
      <c r="T26" s="3057" t="s">
        <v>1298</v>
      </c>
      <c r="U26" s="3057" t="s">
        <v>3353</v>
      </c>
      <c r="V26" s="3057" t="s">
        <v>3353</v>
      </c>
      <c r="W26" s="3057" t="s">
        <v>1298</v>
      </c>
      <c r="X26" s="3057" t="s">
        <v>3373</v>
      </c>
      <c r="Y26" s="3057" t="s">
        <v>3385</v>
      </c>
      <c r="Z26" s="3057" t="s">
        <v>3386</v>
      </c>
      <c r="AA26" s="3057" t="s">
        <v>3386</v>
      </c>
      <c r="AB26" s="3057" t="s">
        <v>3386</v>
      </c>
      <c r="AC26" s="3057" t="s">
        <v>3383</v>
      </c>
      <c r="AD26" s="3057" t="s">
        <v>3140</v>
      </c>
      <c r="AE26" s="3057" t="s">
        <v>3387</v>
      </c>
      <c r="AF26" s="3057" t="s">
        <v>3388</v>
      </c>
      <c r="AG26" s="3057">
        <v>85000</v>
      </c>
      <c r="AH26" s="3057" t="s">
        <v>1298</v>
      </c>
      <c r="AI26" s="3057">
        <v>318758</v>
      </c>
      <c r="AJ26" s="3057" t="s">
        <v>1298</v>
      </c>
      <c r="AK26" s="3057">
        <v>5392.07</v>
      </c>
      <c r="AL26" s="3057" t="s">
        <v>1298</v>
      </c>
      <c r="AM26" s="3057">
        <v>26563.16</v>
      </c>
      <c r="AN26" s="3057" t="s">
        <v>1298</v>
      </c>
      <c r="AO26" s="3057" t="s">
        <v>1298</v>
      </c>
      <c r="AP26" s="3057" t="s">
        <v>1298</v>
      </c>
      <c r="AQ26" s="3057" t="s">
        <v>3167</v>
      </c>
      <c r="AR26" s="3057" t="s">
        <v>1298</v>
      </c>
      <c r="AS26" s="3057" t="s">
        <v>1298</v>
      </c>
      <c r="AT26" s="3057" t="s">
        <v>1298</v>
      </c>
      <c r="AU26" s="3057" t="s">
        <v>3192</v>
      </c>
    </row>
    <row r="27" spans="1:47">
      <c r="A27" s="3056" t="s">
        <v>3389</v>
      </c>
      <c r="B27" s="3056" t="s">
        <v>3058</v>
      </c>
      <c r="C27" s="3056" t="s">
        <v>3127</v>
      </c>
      <c r="D27" s="3056" t="s">
        <v>3170</v>
      </c>
      <c r="E27" s="3056" t="s">
        <v>3390</v>
      </c>
      <c r="F27" s="3056" t="s">
        <v>3391</v>
      </c>
      <c r="G27" s="3056" t="s">
        <v>3392</v>
      </c>
      <c r="H27" s="3056">
        <v>113768</v>
      </c>
      <c r="I27" s="3056">
        <v>119494</v>
      </c>
      <c r="J27" s="3056">
        <v>1.05</v>
      </c>
      <c r="K27" s="3056" t="s">
        <v>3133</v>
      </c>
      <c r="L27" s="3056" t="s">
        <v>3148</v>
      </c>
      <c r="M27" s="3056">
        <v>0</v>
      </c>
      <c r="N27" s="3056" t="s">
        <v>1298</v>
      </c>
      <c r="O27" s="3056" t="s">
        <v>3372</v>
      </c>
      <c r="P27" s="3056" t="s">
        <v>3372</v>
      </c>
      <c r="Q27" s="3056" t="s">
        <v>1298</v>
      </c>
      <c r="R27" s="3056" t="s">
        <v>1298</v>
      </c>
      <c r="S27" s="3056" t="s">
        <v>1298</v>
      </c>
      <c r="T27" s="3056" t="s">
        <v>1298</v>
      </c>
      <c r="U27" s="3056" t="s">
        <v>3353</v>
      </c>
      <c r="V27" s="3056" t="s">
        <v>3353</v>
      </c>
      <c r="W27" s="3056" t="s">
        <v>1298</v>
      </c>
      <c r="X27" s="3056" t="s">
        <v>3373</v>
      </c>
      <c r="Y27" s="3056" t="s">
        <v>3393</v>
      </c>
      <c r="Z27" s="3056" t="s">
        <v>3394</v>
      </c>
      <c r="AA27" s="3056" t="s">
        <v>3395</v>
      </c>
      <c r="AB27" s="3056" t="s">
        <v>3395</v>
      </c>
      <c r="AC27" s="3056" t="s">
        <v>3392</v>
      </c>
      <c r="AD27" s="3056" t="s">
        <v>3140</v>
      </c>
      <c r="AE27" s="3056" t="s">
        <v>3396</v>
      </c>
      <c r="AF27" s="3056" t="s">
        <v>3397</v>
      </c>
      <c r="AG27" s="3056">
        <v>22000</v>
      </c>
      <c r="AH27" s="3056" t="s">
        <v>1298</v>
      </c>
      <c r="AI27" s="3056">
        <v>74000</v>
      </c>
      <c r="AJ27" s="3056" t="s">
        <v>1298</v>
      </c>
      <c r="AK27" s="3056">
        <v>433.63</v>
      </c>
      <c r="AL27" s="3056" t="s">
        <v>1298</v>
      </c>
      <c r="AM27" s="3056">
        <v>6192.77</v>
      </c>
      <c r="AN27" s="3056" t="s">
        <v>1298</v>
      </c>
      <c r="AO27" s="3056" t="s">
        <v>1298</v>
      </c>
      <c r="AP27" s="3056" t="s">
        <v>1298</v>
      </c>
      <c r="AQ27" s="3056" t="s">
        <v>3167</v>
      </c>
      <c r="AR27" s="3056" t="s">
        <v>1298</v>
      </c>
      <c r="AS27" s="3056" t="s">
        <v>1298</v>
      </c>
      <c r="AT27" s="3056" t="s">
        <v>1298</v>
      </c>
      <c r="AU27" s="3056" t="s">
        <v>3168</v>
      </c>
    </row>
    <row r="28" spans="1:47">
      <c r="A28" s="3056" t="s">
        <v>3398</v>
      </c>
      <c r="B28" s="3056" t="s">
        <v>3058</v>
      </c>
      <c r="C28" s="3056" t="s">
        <v>3127</v>
      </c>
      <c r="D28" s="3056" t="s">
        <v>3243</v>
      </c>
      <c r="E28" s="3056" t="s">
        <v>3244</v>
      </c>
      <c r="F28" s="3056" t="s">
        <v>3398</v>
      </c>
      <c r="G28" s="3056" t="s">
        <v>3399</v>
      </c>
      <c r="H28" s="3056">
        <v>33071.620000000003</v>
      </c>
      <c r="I28" s="3056">
        <v>122423.9</v>
      </c>
      <c r="J28" s="3435">
        <v>3.7</v>
      </c>
      <c r="K28" s="3056" t="s">
        <v>3133</v>
      </c>
      <c r="L28" s="3056" t="s">
        <v>3400</v>
      </c>
      <c r="M28" s="3056">
        <v>0</v>
      </c>
      <c r="N28" s="3056" t="s">
        <v>1298</v>
      </c>
      <c r="O28" s="3056" t="s">
        <v>3372</v>
      </c>
      <c r="P28" s="3056" t="s">
        <v>3372</v>
      </c>
      <c r="Q28" s="3056" t="s">
        <v>1298</v>
      </c>
      <c r="R28" s="3056" t="s">
        <v>1298</v>
      </c>
      <c r="S28" s="3056" t="s">
        <v>1298</v>
      </c>
      <c r="T28" s="3056" t="s">
        <v>1298</v>
      </c>
      <c r="U28" s="3056" t="s">
        <v>3353</v>
      </c>
      <c r="V28" s="3056" t="s">
        <v>3353</v>
      </c>
      <c r="W28" s="3056" t="s">
        <v>1298</v>
      </c>
      <c r="X28" s="3056" t="s">
        <v>3373</v>
      </c>
      <c r="Y28" s="3056" t="s">
        <v>3401</v>
      </c>
      <c r="Z28" s="3056" t="s">
        <v>3385</v>
      </c>
      <c r="AA28" s="3056" t="s">
        <v>3402</v>
      </c>
      <c r="AB28" s="3056" t="s">
        <v>3402</v>
      </c>
      <c r="AC28" s="3056" t="s">
        <v>3399</v>
      </c>
      <c r="AD28" s="3056" t="s">
        <v>3140</v>
      </c>
      <c r="AE28" s="3056" t="s">
        <v>3403</v>
      </c>
      <c r="AF28" s="3056" t="s">
        <v>3404</v>
      </c>
      <c r="AG28" s="3056">
        <v>55000</v>
      </c>
      <c r="AH28" s="3056">
        <v>183000</v>
      </c>
      <c r="AI28" s="3056">
        <v>183000</v>
      </c>
      <c r="AJ28" s="3056">
        <v>3688.96</v>
      </c>
      <c r="AK28" s="3056">
        <v>3688.96</v>
      </c>
      <c r="AL28" s="3056">
        <v>14948.06</v>
      </c>
      <c r="AM28" s="3056">
        <v>14948.05</v>
      </c>
      <c r="AN28" s="3056" t="s">
        <v>1298</v>
      </c>
      <c r="AO28" s="3056" t="s">
        <v>1298</v>
      </c>
      <c r="AP28" s="3056">
        <v>0</v>
      </c>
      <c r="AQ28" s="3056" t="s">
        <v>3323</v>
      </c>
      <c r="AR28" s="3056" t="s">
        <v>1298</v>
      </c>
      <c r="AS28" s="3056" t="s">
        <v>1298</v>
      </c>
      <c r="AT28" s="3056" t="s">
        <v>1298</v>
      </c>
      <c r="AU28" s="3056" t="s">
        <v>3255</v>
      </c>
    </row>
    <row r="29" spans="1:47">
      <c r="A29" s="3056" t="s">
        <v>3405</v>
      </c>
      <c r="B29" s="3056" t="s">
        <v>3058</v>
      </c>
      <c r="C29" s="3056" t="s">
        <v>3127</v>
      </c>
      <c r="D29" s="3056" t="s">
        <v>3194</v>
      </c>
      <c r="E29" s="3056" t="s">
        <v>3195</v>
      </c>
      <c r="F29" s="3056" t="s">
        <v>3406</v>
      </c>
      <c r="G29" s="3056" t="s">
        <v>3407</v>
      </c>
      <c r="H29" s="3056">
        <v>338760.2</v>
      </c>
      <c r="I29" s="3056">
        <v>232306.7</v>
      </c>
      <c r="J29" s="3056">
        <v>0.69</v>
      </c>
      <c r="K29" s="3056" t="s">
        <v>3199</v>
      </c>
      <c r="L29" s="3056" t="s">
        <v>3408</v>
      </c>
      <c r="M29" s="3056">
        <v>0</v>
      </c>
      <c r="N29" s="3056" t="s">
        <v>1298</v>
      </c>
      <c r="O29" s="3056" t="s">
        <v>1298</v>
      </c>
      <c r="P29" s="3056" t="s">
        <v>1298</v>
      </c>
      <c r="Q29" s="3056" t="s">
        <v>1298</v>
      </c>
      <c r="R29" s="3056" t="s">
        <v>1298</v>
      </c>
      <c r="S29" s="3056" t="s">
        <v>1298</v>
      </c>
      <c r="T29" s="3056" t="s">
        <v>1298</v>
      </c>
      <c r="U29" s="3056" t="s">
        <v>1298</v>
      </c>
      <c r="V29" s="3056" t="s">
        <v>1298</v>
      </c>
      <c r="W29" s="3056" t="s">
        <v>1298</v>
      </c>
      <c r="X29" s="3056" t="s">
        <v>3373</v>
      </c>
      <c r="Y29" s="3056" t="s">
        <v>3409</v>
      </c>
      <c r="Z29" s="3056" t="s">
        <v>3410</v>
      </c>
      <c r="AA29" s="3056" t="s">
        <v>3410</v>
      </c>
      <c r="AB29" s="3056" t="s">
        <v>3410</v>
      </c>
      <c r="AC29" s="3056" t="s">
        <v>3407</v>
      </c>
      <c r="AD29" s="3056" t="s">
        <v>3140</v>
      </c>
      <c r="AE29" s="3056" t="s">
        <v>3411</v>
      </c>
      <c r="AF29" s="3056" t="s">
        <v>3412</v>
      </c>
      <c r="AG29" s="3056">
        <v>27000</v>
      </c>
      <c r="AH29" s="3056" t="s">
        <v>1298</v>
      </c>
      <c r="AI29" s="3056">
        <v>89500</v>
      </c>
      <c r="AJ29" s="3056" t="s">
        <v>1298</v>
      </c>
      <c r="AK29" s="3056">
        <v>176.13</v>
      </c>
      <c r="AL29" s="3056" t="s">
        <v>1298</v>
      </c>
      <c r="AM29" s="3056">
        <v>3852.67</v>
      </c>
      <c r="AN29" s="3056" t="s">
        <v>1298</v>
      </c>
      <c r="AO29" s="3056" t="s">
        <v>1298</v>
      </c>
      <c r="AP29" s="3056" t="s">
        <v>1298</v>
      </c>
      <c r="AQ29" s="3056" t="s">
        <v>3167</v>
      </c>
      <c r="AR29" s="3056" t="s">
        <v>1298</v>
      </c>
      <c r="AS29" s="3056" t="s">
        <v>1298</v>
      </c>
      <c r="AT29" s="3056" t="s">
        <v>1298</v>
      </c>
      <c r="AU29" s="3056" t="s">
        <v>3206</v>
      </c>
    </row>
    <row r="30" spans="1:47">
      <c r="A30" s="3056" t="s">
        <v>3413</v>
      </c>
      <c r="B30" s="3056" t="s">
        <v>3058</v>
      </c>
      <c r="C30" s="3056" t="s">
        <v>3127</v>
      </c>
      <c r="D30" s="3056" t="s">
        <v>3414</v>
      </c>
      <c r="E30" s="3056" t="s">
        <v>3415</v>
      </c>
      <c r="F30" s="3056" t="s">
        <v>3416</v>
      </c>
      <c r="G30" s="3056" t="s">
        <v>3417</v>
      </c>
      <c r="H30" s="3056">
        <v>18015.060000000001</v>
      </c>
      <c r="I30" s="3056">
        <v>54046</v>
      </c>
      <c r="J30" s="3056">
        <v>3</v>
      </c>
      <c r="K30" s="3056" t="s">
        <v>3133</v>
      </c>
      <c r="L30" s="3056" t="s">
        <v>3213</v>
      </c>
      <c r="M30" s="3056">
        <v>0</v>
      </c>
      <c r="N30" s="3056" t="s">
        <v>1298</v>
      </c>
      <c r="O30" s="3056" t="s">
        <v>3418</v>
      </c>
      <c r="P30" s="3056" t="s">
        <v>3419</v>
      </c>
      <c r="Q30" s="3056" t="s">
        <v>1298</v>
      </c>
      <c r="R30" s="3056" t="s">
        <v>1298</v>
      </c>
      <c r="S30" s="3056" t="s">
        <v>1298</v>
      </c>
      <c r="T30" s="3056" t="s">
        <v>1298</v>
      </c>
      <c r="U30" s="3056" t="s">
        <v>3353</v>
      </c>
      <c r="V30" s="3056" t="s">
        <v>3353</v>
      </c>
      <c r="W30" s="3056" t="s">
        <v>1298</v>
      </c>
      <c r="X30" s="3056" t="s">
        <v>3373</v>
      </c>
      <c r="Y30" s="3056" t="s">
        <v>3420</v>
      </c>
      <c r="Z30" s="3056" t="s">
        <v>3421</v>
      </c>
      <c r="AA30" s="3056" t="s">
        <v>3422</v>
      </c>
      <c r="AB30" s="3056" t="s">
        <v>3422</v>
      </c>
      <c r="AC30" s="3056" t="s">
        <v>3417</v>
      </c>
      <c r="AD30" s="3056" t="s">
        <v>3140</v>
      </c>
      <c r="AE30" s="3056" t="s">
        <v>3423</v>
      </c>
      <c r="AF30" s="3056" t="s">
        <v>3424</v>
      </c>
      <c r="AG30" s="3056">
        <v>18000</v>
      </c>
      <c r="AH30" s="3056">
        <v>60000</v>
      </c>
      <c r="AI30" s="3056">
        <v>60000</v>
      </c>
      <c r="AJ30" s="3056">
        <v>2220.36</v>
      </c>
      <c r="AK30" s="3056">
        <v>2220.36</v>
      </c>
      <c r="AL30" s="3056">
        <v>11101.65</v>
      </c>
      <c r="AM30" s="3056">
        <v>11101.64</v>
      </c>
      <c r="AN30" s="3056" t="s">
        <v>1298</v>
      </c>
      <c r="AO30" s="3056" t="s">
        <v>1298</v>
      </c>
      <c r="AP30" s="3056">
        <v>0</v>
      </c>
      <c r="AQ30" s="3056" t="s">
        <v>3167</v>
      </c>
      <c r="AR30" s="3056" t="s">
        <v>1298</v>
      </c>
      <c r="AS30" s="3056" t="s">
        <v>1298</v>
      </c>
      <c r="AT30" s="3056" t="s">
        <v>1298</v>
      </c>
      <c r="AU30" s="3056" t="s">
        <v>3143</v>
      </c>
    </row>
    <row r="31" spans="1:47">
      <c r="A31" s="3056" t="s">
        <v>3425</v>
      </c>
      <c r="B31" s="3056" t="s">
        <v>3058</v>
      </c>
      <c r="C31" s="3056" t="s">
        <v>3127</v>
      </c>
      <c r="D31" s="3056" t="s">
        <v>3182</v>
      </c>
      <c r="E31" s="3056" t="s">
        <v>3335</v>
      </c>
      <c r="F31" s="3056" t="s">
        <v>3426</v>
      </c>
      <c r="G31" s="3056" t="s">
        <v>3427</v>
      </c>
      <c r="H31" s="3056">
        <v>59747.77</v>
      </c>
      <c r="I31" s="3056">
        <v>89622</v>
      </c>
      <c r="J31" s="3056">
        <v>1.5</v>
      </c>
      <c r="K31" s="3056" t="s">
        <v>3133</v>
      </c>
      <c r="L31" s="3056" t="s">
        <v>3428</v>
      </c>
      <c r="M31" s="3056">
        <v>0</v>
      </c>
      <c r="N31" s="3056" t="s">
        <v>1298</v>
      </c>
      <c r="O31" s="3056" t="s">
        <v>3429</v>
      </c>
      <c r="P31" s="3056" t="s">
        <v>3430</v>
      </c>
      <c r="Q31" s="3056" t="s">
        <v>1298</v>
      </c>
      <c r="R31" s="3056" t="s">
        <v>1298</v>
      </c>
      <c r="S31" s="3056" t="s">
        <v>1298</v>
      </c>
      <c r="T31" s="3056" t="s">
        <v>1298</v>
      </c>
      <c r="U31" s="3056" t="s">
        <v>3353</v>
      </c>
      <c r="V31" s="3056" t="s">
        <v>3353</v>
      </c>
      <c r="W31" s="3056" t="s">
        <v>1298</v>
      </c>
      <c r="X31" s="3056" t="s">
        <v>3373</v>
      </c>
      <c r="Y31" s="3056" t="s">
        <v>3431</v>
      </c>
      <c r="Z31" s="3056" t="s">
        <v>3432</v>
      </c>
      <c r="AA31" s="3056" t="s">
        <v>3433</v>
      </c>
      <c r="AB31" s="3056" t="s">
        <v>3433</v>
      </c>
      <c r="AC31" s="3056" t="s">
        <v>3427</v>
      </c>
      <c r="AD31" s="3056" t="s">
        <v>3140</v>
      </c>
      <c r="AE31" s="3056" t="s">
        <v>3434</v>
      </c>
      <c r="AF31" s="3056" t="s">
        <v>3435</v>
      </c>
      <c r="AG31" s="3056">
        <v>44000</v>
      </c>
      <c r="AH31" s="3056">
        <v>146800</v>
      </c>
      <c r="AI31" s="3056">
        <v>146800</v>
      </c>
      <c r="AJ31" s="3056">
        <v>1638</v>
      </c>
      <c r="AK31" s="3056">
        <v>1638</v>
      </c>
      <c r="AL31" s="3056">
        <v>16379.9</v>
      </c>
      <c r="AM31" s="3056">
        <v>16379.9</v>
      </c>
      <c r="AN31" s="3056" t="s">
        <v>1298</v>
      </c>
      <c r="AO31" s="3056" t="s">
        <v>1298</v>
      </c>
      <c r="AP31" s="3056">
        <v>0</v>
      </c>
      <c r="AQ31" s="3056" t="s">
        <v>3436</v>
      </c>
      <c r="AR31" s="3056" t="s">
        <v>1298</v>
      </c>
      <c r="AS31" s="3056" t="s">
        <v>1298</v>
      </c>
      <c r="AT31" s="3056" t="s">
        <v>1298</v>
      </c>
      <c r="AU31" s="3056" t="s">
        <v>3143</v>
      </c>
    </row>
    <row r="32" spans="1:47">
      <c r="A32" s="3056" t="s">
        <v>3437</v>
      </c>
      <c r="B32" s="3056" t="s">
        <v>3058</v>
      </c>
      <c r="C32" s="3056" t="s">
        <v>3127</v>
      </c>
      <c r="D32" s="3056" t="s">
        <v>3182</v>
      </c>
      <c r="E32" s="3056" t="s">
        <v>3335</v>
      </c>
      <c r="F32" s="3056" t="s">
        <v>3426</v>
      </c>
      <c r="G32" s="3056" t="s">
        <v>3438</v>
      </c>
      <c r="H32" s="3056">
        <v>31420.65</v>
      </c>
      <c r="I32" s="3056">
        <v>65983</v>
      </c>
      <c r="J32" s="3056">
        <v>2.1</v>
      </c>
      <c r="K32" s="3056" t="s">
        <v>3133</v>
      </c>
      <c r="L32" s="3056" t="s">
        <v>3428</v>
      </c>
      <c r="M32" s="3056">
        <v>0</v>
      </c>
      <c r="N32" s="3056" t="s">
        <v>1298</v>
      </c>
      <c r="O32" s="3056" t="s">
        <v>3429</v>
      </c>
      <c r="P32" s="3056" t="s">
        <v>3439</v>
      </c>
      <c r="Q32" s="3056" t="s">
        <v>1298</v>
      </c>
      <c r="R32" s="3056" t="s">
        <v>1298</v>
      </c>
      <c r="S32" s="3056" t="s">
        <v>1298</v>
      </c>
      <c r="T32" s="3056" t="s">
        <v>1298</v>
      </c>
      <c r="U32" s="3056" t="s">
        <v>3353</v>
      </c>
      <c r="V32" s="3056" t="s">
        <v>3353</v>
      </c>
      <c r="W32" s="3056" t="s">
        <v>1298</v>
      </c>
      <c r="X32" s="3056" t="s">
        <v>3373</v>
      </c>
      <c r="Y32" s="3056" t="s">
        <v>3431</v>
      </c>
      <c r="Z32" s="3056" t="s">
        <v>3432</v>
      </c>
      <c r="AA32" s="3056" t="s">
        <v>3433</v>
      </c>
      <c r="AB32" s="3056" t="s">
        <v>3433</v>
      </c>
      <c r="AC32" s="3056" t="s">
        <v>3438</v>
      </c>
      <c r="AD32" s="3056" t="s">
        <v>3140</v>
      </c>
      <c r="AE32" s="3056" t="s">
        <v>3440</v>
      </c>
      <c r="AF32" s="3056" t="s">
        <v>3441</v>
      </c>
      <c r="AG32" s="3056">
        <v>33000</v>
      </c>
      <c r="AH32" s="3056">
        <v>108100</v>
      </c>
      <c r="AI32" s="3056">
        <v>108100</v>
      </c>
      <c r="AJ32" s="3056">
        <v>2293.61</v>
      </c>
      <c r="AK32" s="3056">
        <v>2293.61</v>
      </c>
      <c r="AL32" s="3056">
        <v>16383</v>
      </c>
      <c r="AM32" s="3056">
        <v>16383.01</v>
      </c>
      <c r="AN32" s="3056" t="s">
        <v>1298</v>
      </c>
      <c r="AO32" s="3056" t="s">
        <v>1298</v>
      </c>
      <c r="AP32" s="3056">
        <v>0</v>
      </c>
      <c r="AQ32" s="3056" t="s">
        <v>3436</v>
      </c>
      <c r="AR32" s="3056" t="s">
        <v>1298</v>
      </c>
      <c r="AS32" s="3056" t="s">
        <v>1298</v>
      </c>
      <c r="AT32" s="3056" t="s">
        <v>1298</v>
      </c>
      <c r="AU32" s="3056" t="s">
        <v>3255</v>
      </c>
    </row>
    <row r="33" spans="1:47">
      <c r="A33" s="3056" t="s">
        <v>3442</v>
      </c>
      <c r="B33" s="3056" t="s">
        <v>3058</v>
      </c>
      <c r="C33" s="3056" t="s">
        <v>3127</v>
      </c>
      <c r="D33" s="3056" t="s">
        <v>3443</v>
      </c>
      <c r="E33" s="3056" t="s">
        <v>3444</v>
      </c>
      <c r="F33" s="3056" t="s">
        <v>3445</v>
      </c>
      <c r="G33" s="3056" t="s">
        <v>3446</v>
      </c>
      <c r="H33" s="3056">
        <v>176099.5</v>
      </c>
      <c r="I33" s="3056">
        <v>153071</v>
      </c>
      <c r="J33" s="3056">
        <v>0.86899999999999999</v>
      </c>
      <c r="K33" s="3056" t="s">
        <v>3133</v>
      </c>
      <c r="L33" s="3056" t="s">
        <v>3161</v>
      </c>
      <c r="M33" s="3056">
        <v>0</v>
      </c>
      <c r="N33" s="3056" t="s">
        <v>1298</v>
      </c>
      <c r="O33" s="3056" t="s">
        <v>3372</v>
      </c>
      <c r="P33" s="3056" t="s">
        <v>3372</v>
      </c>
      <c r="Q33" s="3056" t="s">
        <v>1298</v>
      </c>
      <c r="R33" s="3056" t="s">
        <v>1298</v>
      </c>
      <c r="S33" s="3056" t="s">
        <v>1298</v>
      </c>
      <c r="T33" s="3056" t="s">
        <v>1298</v>
      </c>
      <c r="U33" s="3056" t="s">
        <v>3353</v>
      </c>
      <c r="V33" s="3056" t="s">
        <v>3353</v>
      </c>
      <c r="W33" s="3056" t="s">
        <v>1298</v>
      </c>
      <c r="X33" s="3056" t="s">
        <v>3373</v>
      </c>
      <c r="Y33" s="3056" t="s">
        <v>3447</v>
      </c>
      <c r="Z33" s="3056" t="s">
        <v>3448</v>
      </c>
      <c r="AA33" s="3056" t="s">
        <v>3449</v>
      </c>
      <c r="AB33" s="3056" t="s">
        <v>3449</v>
      </c>
      <c r="AC33" s="3056" t="s">
        <v>3446</v>
      </c>
      <c r="AD33" s="3056" t="s">
        <v>3140</v>
      </c>
      <c r="AE33" s="3056" t="s">
        <v>3450</v>
      </c>
      <c r="AF33" s="3056" t="s">
        <v>3451</v>
      </c>
      <c r="AG33" s="3056">
        <v>23000</v>
      </c>
      <c r="AH33" s="3056" t="s">
        <v>1298</v>
      </c>
      <c r="AI33" s="3056">
        <v>93800</v>
      </c>
      <c r="AJ33" s="3056" t="s">
        <v>1298</v>
      </c>
      <c r="AK33" s="3056">
        <v>355.1</v>
      </c>
      <c r="AL33" s="3056" t="s">
        <v>1298</v>
      </c>
      <c r="AM33" s="3056">
        <v>6127.88</v>
      </c>
      <c r="AN33" s="3056" t="s">
        <v>1298</v>
      </c>
      <c r="AO33" s="3056" t="s">
        <v>1298</v>
      </c>
      <c r="AP33" s="3056" t="s">
        <v>1298</v>
      </c>
      <c r="AQ33" s="3056" t="s">
        <v>3167</v>
      </c>
      <c r="AR33" s="3056" t="s">
        <v>1298</v>
      </c>
      <c r="AS33" s="3056" t="s">
        <v>1298</v>
      </c>
      <c r="AT33" s="3056" t="s">
        <v>1298</v>
      </c>
      <c r="AU33" s="3056" t="s">
        <v>3206</v>
      </c>
    </row>
    <row r="34" spans="1:47" s="3058" customFormat="1">
      <c r="A34" s="3058" t="s">
        <v>3452</v>
      </c>
      <c r="B34" s="3058" t="s">
        <v>3058</v>
      </c>
      <c r="C34" s="3058" t="s">
        <v>3127</v>
      </c>
      <c r="D34" s="3058" t="s">
        <v>3208</v>
      </c>
      <c r="E34" s="3058" t="s">
        <v>3209</v>
      </c>
      <c r="F34" s="3058" t="s">
        <v>3210</v>
      </c>
      <c r="G34" s="3058" t="s">
        <v>3453</v>
      </c>
      <c r="H34" s="3058">
        <v>15240.2</v>
      </c>
      <c r="I34" s="3058">
        <v>86800</v>
      </c>
      <c r="J34" s="3058">
        <v>5.6955</v>
      </c>
      <c r="K34" s="3058" t="s">
        <v>3133</v>
      </c>
      <c r="L34" s="3058" t="s">
        <v>3213</v>
      </c>
      <c r="M34" s="3058">
        <v>0</v>
      </c>
      <c r="N34" s="3058" t="s">
        <v>1298</v>
      </c>
      <c r="O34" s="3058" t="s">
        <v>1298</v>
      </c>
      <c r="P34" s="3058" t="s">
        <v>1298</v>
      </c>
      <c r="Q34" s="3058" t="s">
        <v>1298</v>
      </c>
      <c r="R34" s="3058" t="s">
        <v>1298</v>
      </c>
      <c r="S34" s="3058" t="s">
        <v>1298</v>
      </c>
      <c r="T34" s="3058" t="s">
        <v>1298</v>
      </c>
      <c r="U34" s="3058" t="s">
        <v>3353</v>
      </c>
      <c r="V34" s="3058" t="s">
        <v>3353</v>
      </c>
      <c r="W34" s="3058" t="s">
        <v>1298</v>
      </c>
      <c r="X34" s="3058" t="s">
        <v>3373</v>
      </c>
      <c r="Y34" s="3058" t="s">
        <v>3454</v>
      </c>
      <c r="Z34" s="3058" t="s">
        <v>3455</v>
      </c>
      <c r="AA34" s="3058" t="s">
        <v>3456</v>
      </c>
      <c r="AB34" s="3058" t="s">
        <v>3456</v>
      </c>
      <c r="AC34" s="3058" t="s">
        <v>3453</v>
      </c>
      <c r="AD34" s="3058" t="s">
        <v>3140</v>
      </c>
      <c r="AE34" s="3058" t="s">
        <v>3457</v>
      </c>
      <c r="AF34" s="3058" t="s">
        <v>1298</v>
      </c>
      <c r="AG34" s="3058">
        <v>72000</v>
      </c>
      <c r="AH34" s="3058">
        <v>237500</v>
      </c>
      <c r="AI34" s="3058">
        <v>242500</v>
      </c>
      <c r="AJ34" s="3058">
        <v>10389.19</v>
      </c>
      <c r="AK34" s="3058">
        <v>10607.91</v>
      </c>
      <c r="AL34" s="3058">
        <v>27361.75</v>
      </c>
      <c r="AM34" s="3058">
        <v>27937.79</v>
      </c>
      <c r="AN34" s="3058" t="s">
        <v>1298</v>
      </c>
      <c r="AO34" s="3058" t="s">
        <v>1298</v>
      </c>
      <c r="AP34" s="3058">
        <v>2.11</v>
      </c>
      <c r="AQ34" s="3058" t="s">
        <v>3167</v>
      </c>
      <c r="AR34" s="3058" t="s">
        <v>1298</v>
      </c>
      <c r="AS34" s="3058" t="s">
        <v>1298</v>
      </c>
      <c r="AT34" s="3058" t="s">
        <v>1298</v>
      </c>
      <c r="AU34" s="3058" t="s">
        <v>3192</v>
      </c>
    </row>
    <row r="35" spans="1:47">
      <c r="A35" s="3056" t="s">
        <v>3458</v>
      </c>
      <c r="B35" s="3056" t="s">
        <v>3058</v>
      </c>
      <c r="C35" s="3056" t="s">
        <v>3127</v>
      </c>
      <c r="D35" s="3056" t="s">
        <v>3182</v>
      </c>
      <c r="E35" s="3056" t="s">
        <v>3459</v>
      </c>
      <c r="F35" s="3056" t="s">
        <v>3460</v>
      </c>
      <c r="G35" s="3056" t="s">
        <v>3461</v>
      </c>
      <c r="H35" s="3056">
        <v>16863.939999999999</v>
      </c>
      <c r="I35" s="3056">
        <v>87923.61</v>
      </c>
      <c r="J35" s="3056">
        <v>5.2137000000000002</v>
      </c>
      <c r="K35" s="3056" t="s">
        <v>3133</v>
      </c>
      <c r="L35" s="3056" t="s">
        <v>3213</v>
      </c>
      <c r="M35" s="3056">
        <v>0</v>
      </c>
      <c r="N35" s="3056" t="s">
        <v>1298</v>
      </c>
      <c r="O35" s="3056" t="s">
        <v>3262</v>
      </c>
      <c r="P35" s="3056" t="s">
        <v>3462</v>
      </c>
      <c r="Q35" s="3056" t="s">
        <v>1298</v>
      </c>
      <c r="R35" s="3056" t="s">
        <v>1298</v>
      </c>
      <c r="S35" s="3056" t="s">
        <v>1298</v>
      </c>
      <c r="T35" s="3056" t="s">
        <v>1298</v>
      </c>
      <c r="U35" s="3056" t="s">
        <v>3353</v>
      </c>
      <c r="V35" s="3056" t="s">
        <v>3353</v>
      </c>
      <c r="W35" s="3056" t="s">
        <v>1298</v>
      </c>
      <c r="X35" s="3056" t="s">
        <v>3373</v>
      </c>
      <c r="Y35" s="3056" t="s">
        <v>3463</v>
      </c>
      <c r="Z35" s="3056" t="s">
        <v>3464</v>
      </c>
      <c r="AA35" s="3056" t="s">
        <v>3465</v>
      </c>
      <c r="AB35" s="3056" t="s">
        <v>3465</v>
      </c>
      <c r="AC35" s="3056" t="s">
        <v>3461</v>
      </c>
      <c r="AD35" s="3056" t="s">
        <v>3140</v>
      </c>
      <c r="AE35" s="3056" t="s">
        <v>3466</v>
      </c>
      <c r="AF35" s="3056" t="s">
        <v>1298</v>
      </c>
      <c r="AG35" s="3056">
        <v>64000</v>
      </c>
      <c r="AH35" s="3056">
        <v>211000</v>
      </c>
      <c r="AI35" s="3056">
        <v>211000</v>
      </c>
      <c r="AJ35" s="3056">
        <v>8341.27</v>
      </c>
      <c r="AK35" s="3056">
        <v>8341.27</v>
      </c>
      <c r="AL35" s="3056">
        <v>23998.1</v>
      </c>
      <c r="AM35" s="3056">
        <v>23998.09</v>
      </c>
      <c r="AN35" s="3056" t="s">
        <v>1298</v>
      </c>
      <c r="AO35" s="3056" t="s">
        <v>1298</v>
      </c>
      <c r="AP35" s="3056">
        <v>0</v>
      </c>
      <c r="AQ35" s="3056" t="s">
        <v>3167</v>
      </c>
      <c r="AR35" s="3056" t="s">
        <v>1298</v>
      </c>
      <c r="AS35" s="3056" t="s">
        <v>1298</v>
      </c>
      <c r="AT35" s="3056" t="s">
        <v>1298</v>
      </c>
      <c r="AU35" s="3056" t="s">
        <v>3192</v>
      </c>
    </row>
    <row r="36" spans="1:47">
      <c r="A36" s="3056" t="s">
        <v>3467</v>
      </c>
      <c r="B36" s="3056" t="s">
        <v>3058</v>
      </c>
      <c r="C36" s="3056" t="s">
        <v>3127</v>
      </c>
      <c r="D36" s="3056" t="s">
        <v>3380</v>
      </c>
      <c r="E36" s="3056" t="s">
        <v>3381</v>
      </c>
      <c r="F36" s="3056" t="s">
        <v>3382</v>
      </c>
      <c r="G36" s="3056" t="s">
        <v>3468</v>
      </c>
      <c r="H36" s="3056">
        <v>14089.17</v>
      </c>
      <c r="I36" s="3056">
        <v>105000</v>
      </c>
      <c r="J36" s="3056">
        <v>7.4525300000000003</v>
      </c>
      <c r="K36" s="3056" t="s">
        <v>3133</v>
      </c>
      <c r="L36" s="3056" t="s">
        <v>3213</v>
      </c>
      <c r="M36" s="3056">
        <v>0</v>
      </c>
      <c r="N36" s="3056" t="s">
        <v>1298</v>
      </c>
      <c r="O36" s="3056" t="s">
        <v>3175</v>
      </c>
      <c r="P36" s="3056" t="s">
        <v>3469</v>
      </c>
      <c r="Q36" s="3056" t="s">
        <v>1298</v>
      </c>
      <c r="R36" s="3056" t="s">
        <v>1298</v>
      </c>
      <c r="S36" s="3056" t="s">
        <v>1298</v>
      </c>
      <c r="T36" s="3056" t="s">
        <v>1298</v>
      </c>
      <c r="U36" s="3056" t="s">
        <v>3353</v>
      </c>
      <c r="V36" s="3056" t="s">
        <v>3353</v>
      </c>
      <c r="W36" s="3056" t="s">
        <v>1298</v>
      </c>
      <c r="X36" s="3056" t="s">
        <v>3373</v>
      </c>
      <c r="Y36" s="3056" t="s">
        <v>3463</v>
      </c>
      <c r="Z36" s="3056" t="s">
        <v>3464</v>
      </c>
      <c r="AA36" s="3056" t="s">
        <v>3465</v>
      </c>
      <c r="AB36" s="3056" t="s">
        <v>3465</v>
      </c>
      <c r="AC36" s="3056" t="s">
        <v>3468</v>
      </c>
      <c r="AD36" s="3056" t="s">
        <v>3140</v>
      </c>
      <c r="AE36" s="3056" t="s">
        <v>3470</v>
      </c>
      <c r="AF36" s="3056" t="s">
        <v>3471</v>
      </c>
      <c r="AG36" s="3056">
        <v>76000</v>
      </c>
      <c r="AH36" s="3056">
        <v>252000</v>
      </c>
      <c r="AI36" s="3056">
        <v>355000</v>
      </c>
      <c r="AJ36" s="3056">
        <v>11924.05</v>
      </c>
      <c r="AK36" s="3056">
        <v>16797.77</v>
      </c>
      <c r="AL36" s="3056">
        <v>24000</v>
      </c>
      <c r="AM36" s="3056">
        <v>33809.51</v>
      </c>
      <c r="AN36" s="3056" t="s">
        <v>1298</v>
      </c>
      <c r="AO36" s="3056" t="s">
        <v>1298</v>
      </c>
      <c r="AP36" s="3056">
        <v>40.869999999999997</v>
      </c>
      <c r="AQ36" s="3056" t="s">
        <v>3167</v>
      </c>
      <c r="AR36" s="3056" t="s">
        <v>1298</v>
      </c>
      <c r="AS36" s="3056" t="s">
        <v>1298</v>
      </c>
      <c r="AT36" s="3056" t="s">
        <v>1298</v>
      </c>
      <c r="AU36" s="3056" t="s">
        <v>3192</v>
      </c>
    </row>
    <row r="37" spans="1:47">
      <c r="A37" s="3056" t="s">
        <v>3472</v>
      </c>
      <c r="B37" s="3056" t="s">
        <v>3058</v>
      </c>
      <c r="C37" s="3056" t="s">
        <v>3127</v>
      </c>
      <c r="D37" s="3056" t="s">
        <v>3414</v>
      </c>
      <c r="E37" s="3056" t="s">
        <v>3473</v>
      </c>
      <c r="F37" s="3056" t="s">
        <v>3474</v>
      </c>
      <c r="G37" s="3056" t="s">
        <v>3475</v>
      </c>
      <c r="H37" s="3056">
        <v>5237.16</v>
      </c>
      <c r="I37" s="3056">
        <v>10474</v>
      </c>
      <c r="J37" s="3056">
        <v>2</v>
      </c>
      <c r="K37" s="3056" t="s">
        <v>3133</v>
      </c>
      <c r="L37" s="3056" t="s">
        <v>3134</v>
      </c>
      <c r="M37" s="3056">
        <v>0</v>
      </c>
      <c r="N37" s="3056" t="s">
        <v>1298</v>
      </c>
      <c r="O37" s="3056" t="s">
        <v>3304</v>
      </c>
      <c r="P37" s="3056" t="s">
        <v>3364</v>
      </c>
      <c r="Q37" s="3056" t="s">
        <v>1298</v>
      </c>
      <c r="R37" s="3056" t="s">
        <v>1298</v>
      </c>
      <c r="S37" s="3056" t="s">
        <v>1298</v>
      </c>
      <c r="T37" s="3056" t="s">
        <v>1298</v>
      </c>
      <c r="U37" s="3056" t="s">
        <v>3353</v>
      </c>
      <c r="V37" s="3056" t="s">
        <v>3353</v>
      </c>
      <c r="W37" s="3056" t="s">
        <v>1298</v>
      </c>
      <c r="X37" s="3056" t="s">
        <v>3373</v>
      </c>
      <c r="Y37" s="3056" t="s">
        <v>3476</v>
      </c>
      <c r="Z37" s="3056" t="s">
        <v>3477</v>
      </c>
      <c r="AA37" s="3056" t="s">
        <v>3478</v>
      </c>
      <c r="AB37" s="3056" t="s">
        <v>3478</v>
      </c>
      <c r="AC37" s="3056" t="s">
        <v>3475</v>
      </c>
      <c r="AD37" s="3056" t="s">
        <v>3140</v>
      </c>
      <c r="AE37" s="3056" t="s">
        <v>3479</v>
      </c>
      <c r="AF37" s="3056" t="s">
        <v>3479</v>
      </c>
      <c r="AG37" s="3056">
        <v>13000</v>
      </c>
      <c r="AH37" s="3056">
        <v>13000</v>
      </c>
      <c r="AI37" s="3056">
        <v>13700</v>
      </c>
      <c r="AJ37" s="3056">
        <v>1654.84</v>
      </c>
      <c r="AK37" s="3056">
        <v>1743.95</v>
      </c>
      <c r="AL37" s="3056">
        <v>12411.68</v>
      </c>
      <c r="AM37" s="3056">
        <v>13080.01</v>
      </c>
      <c r="AN37" s="3056" t="s">
        <v>1298</v>
      </c>
      <c r="AO37" s="3056" t="s">
        <v>1298</v>
      </c>
      <c r="AP37" s="3056">
        <v>5.38</v>
      </c>
      <c r="AQ37" s="3056" t="s">
        <v>3167</v>
      </c>
      <c r="AR37" s="3056" t="s">
        <v>1298</v>
      </c>
      <c r="AS37" s="3056" t="s">
        <v>1298</v>
      </c>
      <c r="AT37" s="3056" t="s">
        <v>1298</v>
      </c>
      <c r="AU37" s="3056" t="s">
        <v>3255</v>
      </c>
    </row>
    <row r="38" spans="1:47">
      <c r="A38" s="3056" t="s">
        <v>3480</v>
      </c>
      <c r="B38" s="3056" t="s">
        <v>3058</v>
      </c>
      <c r="C38" s="3056" t="s">
        <v>3127</v>
      </c>
      <c r="D38" s="3056" t="s">
        <v>3243</v>
      </c>
      <c r="E38" s="3056" t="s">
        <v>3244</v>
      </c>
      <c r="F38" s="3056" t="s">
        <v>3481</v>
      </c>
      <c r="G38" s="3056" t="s">
        <v>3482</v>
      </c>
      <c r="H38" s="3056">
        <v>66237.2</v>
      </c>
      <c r="I38" s="3056">
        <v>264058.7</v>
      </c>
      <c r="J38" s="3435">
        <v>3.99</v>
      </c>
      <c r="K38" s="3056" t="s">
        <v>3133</v>
      </c>
      <c r="L38" s="3056" t="s">
        <v>3400</v>
      </c>
      <c r="M38" s="3056">
        <v>0</v>
      </c>
      <c r="N38" s="3056" t="s">
        <v>1298</v>
      </c>
      <c r="O38" s="3056" t="s">
        <v>3175</v>
      </c>
      <c r="P38" s="3056" t="s">
        <v>1298</v>
      </c>
      <c r="Q38" s="3056" t="s">
        <v>1298</v>
      </c>
      <c r="R38" s="3056" t="s">
        <v>1298</v>
      </c>
      <c r="S38" s="3056" t="s">
        <v>1298</v>
      </c>
      <c r="T38" s="3056" t="s">
        <v>1298</v>
      </c>
      <c r="U38" s="3056" t="s">
        <v>3353</v>
      </c>
      <c r="V38" s="3056" t="s">
        <v>3353</v>
      </c>
      <c r="W38" s="3056" t="s">
        <v>1298</v>
      </c>
      <c r="X38" s="3056" t="s">
        <v>3373</v>
      </c>
      <c r="Y38" s="3056" t="s">
        <v>3483</v>
      </c>
      <c r="Z38" s="3056" t="s">
        <v>3484</v>
      </c>
      <c r="AA38" s="3056" t="s">
        <v>3485</v>
      </c>
      <c r="AB38" s="3056" t="s">
        <v>3485</v>
      </c>
      <c r="AC38" s="3056" t="s">
        <v>3482</v>
      </c>
      <c r="AD38" s="3056" t="s">
        <v>3140</v>
      </c>
      <c r="AE38" s="3056" t="s">
        <v>3486</v>
      </c>
      <c r="AF38" s="3056" t="s">
        <v>1298</v>
      </c>
      <c r="AG38" s="3056">
        <v>115500</v>
      </c>
      <c r="AH38" s="3056">
        <v>385000</v>
      </c>
      <c r="AI38" s="3056">
        <v>385000</v>
      </c>
      <c r="AJ38" s="3056">
        <v>3874.96</v>
      </c>
      <c r="AK38" s="3056">
        <v>3874.96</v>
      </c>
      <c r="AL38" s="3056">
        <v>14580.09</v>
      </c>
      <c r="AM38" s="3056">
        <v>14580.09</v>
      </c>
      <c r="AN38" s="3056" t="s">
        <v>1298</v>
      </c>
      <c r="AO38" s="3056" t="s">
        <v>1298</v>
      </c>
      <c r="AP38" s="3056">
        <v>0</v>
      </c>
      <c r="AQ38" s="3056" t="s">
        <v>3323</v>
      </c>
      <c r="AR38" s="3056" t="s">
        <v>1298</v>
      </c>
      <c r="AS38" s="3056" t="s">
        <v>1298</v>
      </c>
      <c r="AT38" s="3056" t="s">
        <v>1298</v>
      </c>
      <c r="AU38" s="3056" t="s">
        <v>3255</v>
      </c>
    </row>
    <row r="39" spans="1:47">
      <c r="A39" s="3056" t="s">
        <v>3487</v>
      </c>
      <c r="B39" s="3056" t="s">
        <v>3058</v>
      </c>
      <c r="C39" s="3056" t="s">
        <v>3127</v>
      </c>
      <c r="D39" s="3056" t="s">
        <v>3380</v>
      </c>
      <c r="E39" s="3056" t="s">
        <v>3381</v>
      </c>
      <c r="F39" s="3056" t="s">
        <v>3382</v>
      </c>
      <c r="G39" s="3056" t="s">
        <v>3488</v>
      </c>
      <c r="H39" s="3056">
        <v>27295.08</v>
      </c>
      <c r="I39" s="3056">
        <v>160000</v>
      </c>
      <c r="J39" s="3056">
        <v>5.8</v>
      </c>
      <c r="K39" s="3056" t="s">
        <v>3133</v>
      </c>
      <c r="L39" s="3056" t="s">
        <v>3148</v>
      </c>
      <c r="M39" s="3056">
        <v>0</v>
      </c>
      <c r="N39" s="3056" t="s">
        <v>1298</v>
      </c>
      <c r="O39" s="3056" t="s">
        <v>1298</v>
      </c>
      <c r="P39" s="3056" t="s">
        <v>1298</v>
      </c>
      <c r="Q39" s="3056" t="s">
        <v>1298</v>
      </c>
      <c r="R39" s="3056" t="s">
        <v>1298</v>
      </c>
      <c r="S39" s="3056" t="s">
        <v>1298</v>
      </c>
      <c r="T39" s="3056" t="s">
        <v>1298</v>
      </c>
      <c r="U39" s="3056" t="s">
        <v>3353</v>
      </c>
      <c r="V39" s="3056" t="s">
        <v>3353</v>
      </c>
      <c r="W39" s="3056" t="s">
        <v>1298</v>
      </c>
      <c r="X39" s="3056" t="s">
        <v>3373</v>
      </c>
      <c r="Y39" s="3056" t="s">
        <v>3489</v>
      </c>
      <c r="Z39" s="3056" t="s">
        <v>3490</v>
      </c>
      <c r="AA39" s="3056" t="s">
        <v>3491</v>
      </c>
      <c r="AB39" s="3056" t="s">
        <v>3491</v>
      </c>
      <c r="AC39" s="3056" t="s">
        <v>3488</v>
      </c>
      <c r="AD39" s="3056" t="s">
        <v>3140</v>
      </c>
      <c r="AE39" s="3056" t="s">
        <v>3492</v>
      </c>
      <c r="AF39" s="3056" t="s">
        <v>3493</v>
      </c>
      <c r="AG39" s="3056">
        <v>130000</v>
      </c>
      <c r="AH39" s="3056">
        <v>432000</v>
      </c>
      <c r="AI39" s="3056">
        <v>434000</v>
      </c>
      <c r="AJ39" s="3056">
        <v>10551.35</v>
      </c>
      <c r="AK39" s="3056">
        <v>10600.2</v>
      </c>
      <c r="AL39" s="3056">
        <v>27000</v>
      </c>
      <c r="AM39" s="3056">
        <v>27125</v>
      </c>
      <c r="AN39" s="3056" t="s">
        <v>1298</v>
      </c>
      <c r="AO39" s="3056" t="s">
        <v>1298</v>
      </c>
      <c r="AP39" s="3056">
        <v>0.46</v>
      </c>
      <c r="AQ39" s="3056" t="s">
        <v>3311</v>
      </c>
      <c r="AR39" s="3056" t="s">
        <v>1298</v>
      </c>
      <c r="AS39" s="3056" t="s">
        <v>1298</v>
      </c>
      <c r="AT39" s="3056" t="s">
        <v>1298</v>
      </c>
      <c r="AU39" s="3056" t="s">
        <v>3192</v>
      </c>
    </row>
    <row r="40" spans="1:47">
      <c r="A40" s="3056" t="s">
        <v>3494</v>
      </c>
      <c r="B40" s="3056" t="s">
        <v>3058</v>
      </c>
      <c r="C40" s="3056" t="s">
        <v>3127</v>
      </c>
      <c r="D40" s="3056" t="s">
        <v>3128</v>
      </c>
      <c r="E40" s="3056" t="s">
        <v>3495</v>
      </c>
      <c r="F40" s="3056" t="s">
        <v>3496</v>
      </c>
      <c r="G40" s="3056" t="s">
        <v>3497</v>
      </c>
      <c r="H40" s="3056">
        <v>35230.230000000003</v>
      </c>
      <c r="I40" s="3056">
        <v>88076</v>
      </c>
      <c r="J40" s="3056">
        <v>2.5</v>
      </c>
      <c r="K40" s="3056" t="s">
        <v>3133</v>
      </c>
      <c r="L40" s="3056" t="s">
        <v>3148</v>
      </c>
      <c r="M40" s="3056">
        <v>0</v>
      </c>
      <c r="N40" s="3056" t="s">
        <v>1298</v>
      </c>
      <c r="O40" s="3056" t="s">
        <v>1298</v>
      </c>
      <c r="P40" s="3056" t="s">
        <v>1298</v>
      </c>
      <c r="Q40" s="3056" t="s">
        <v>1298</v>
      </c>
      <c r="R40" s="3056" t="s">
        <v>1298</v>
      </c>
      <c r="S40" s="3056" t="s">
        <v>1298</v>
      </c>
      <c r="T40" s="3056" t="s">
        <v>1298</v>
      </c>
      <c r="U40" s="3056" t="s">
        <v>1298</v>
      </c>
      <c r="V40" s="3056" t="s">
        <v>1298</v>
      </c>
      <c r="W40" s="3056" t="s">
        <v>1298</v>
      </c>
      <c r="X40" s="3056" t="s">
        <v>3373</v>
      </c>
      <c r="Y40" s="3056" t="s">
        <v>3498</v>
      </c>
      <c r="Z40" s="3056" t="s">
        <v>3499</v>
      </c>
      <c r="AA40" s="3056" t="s">
        <v>3500</v>
      </c>
      <c r="AB40" s="3056" t="s">
        <v>3500</v>
      </c>
      <c r="AC40" s="3056" t="s">
        <v>3497</v>
      </c>
      <c r="AD40" s="3056" t="s">
        <v>3140</v>
      </c>
      <c r="AE40" s="3056" t="s">
        <v>3501</v>
      </c>
      <c r="AF40" s="3056" t="s">
        <v>1298</v>
      </c>
      <c r="AG40" s="3056">
        <v>18600</v>
      </c>
      <c r="AH40" s="3056">
        <v>62000</v>
      </c>
      <c r="AI40" s="3056">
        <v>62000</v>
      </c>
      <c r="AJ40" s="3056">
        <v>1173.23</v>
      </c>
      <c r="AK40" s="3056">
        <v>1173.23</v>
      </c>
      <c r="AL40" s="3056">
        <v>7039.37</v>
      </c>
      <c r="AM40" s="3056">
        <v>7039.38</v>
      </c>
      <c r="AN40" s="3056" t="s">
        <v>1298</v>
      </c>
      <c r="AO40" s="3056" t="s">
        <v>1298</v>
      </c>
      <c r="AP40" s="3056">
        <v>0</v>
      </c>
      <c r="AQ40" s="3056" t="s">
        <v>3311</v>
      </c>
      <c r="AR40" s="3056" t="s">
        <v>1298</v>
      </c>
      <c r="AS40" s="3056" t="s">
        <v>1298</v>
      </c>
      <c r="AT40" s="3056" t="s">
        <v>1298</v>
      </c>
      <c r="AU40" s="3056" t="s">
        <v>3206</v>
      </c>
    </row>
    <row r="41" spans="1:47">
      <c r="A41" s="3056" t="s">
        <v>3502</v>
      </c>
      <c r="B41" s="3056" t="s">
        <v>3058</v>
      </c>
      <c r="C41" s="3056" t="s">
        <v>3127</v>
      </c>
      <c r="D41" s="3056" t="s">
        <v>3503</v>
      </c>
      <c r="E41" s="3056" t="s">
        <v>3504</v>
      </c>
      <c r="F41" s="3056" t="s">
        <v>3505</v>
      </c>
      <c r="G41" s="3056" t="s">
        <v>3506</v>
      </c>
      <c r="H41" s="3056">
        <v>170200.2</v>
      </c>
      <c r="I41" s="3056">
        <v>255301</v>
      </c>
      <c r="J41" s="3056">
        <v>1.5</v>
      </c>
      <c r="K41" s="3056" t="s">
        <v>3133</v>
      </c>
      <c r="L41" s="3056" t="s">
        <v>3148</v>
      </c>
      <c r="M41" s="3056">
        <v>0</v>
      </c>
      <c r="N41" s="3056" t="s">
        <v>1298</v>
      </c>
      <c r="O41" s="3056" t="s">
        <v>1298</v>
      </c>
      <c r="P41" s="3056" t="s">
        <v>1298</v>
      </c>
      <c r="Q41" s="3056" t="s">
        <v>1298</v>
      </c>
      <c r="R41" s="3056" t="s">
        <v>1298</v>
      </c>
      <c r="S41" s="3056" t="s">
        <v>1298</v>
      </c>
      <c r="T41" s="3056" t="s">
        <v>1298</v>
      </c>
      <c r="U41" s="3056" t="s">
        <v>3353</v>
      </c>
      <c r="V41" s="3056" t="s">
        <v>3353</v>
      </c>
      <c r="W41" s="3056" t="s">
        <v>1298</v>
      </c>
      <c r="X41" s="3056" t="s">
        <v>3373</v>
      </c>
      <c r="Y41" s="3056" t="s">
        <v>3507</v>
      </c>
      <c r="Z41" s="3056" t="s">
        <v>3508</v>
      </c>
      <c r="AA41" s="3056" t="s">
        <v>3509</v>
      </c>
      <c r="AB41" s="3056" t="s">
        <v>3509</v>
      </c>
      <c r="AC41" s="3056" t="s">
        <v>3506</v>
      </c>
      <c r="AD41" s="3056" t="s">
        <v>3140</v>
      </c>
      <c r="AE41" s="3056" t="s">
        <v>3510</v>
      </c>
      <c r="AF41" s="3056" t="s">
        <v>3511</v>
      </c>
      <c r="AG41" s="3056">
        <v>77000</v>
      </c>
      <c r="AH41" s="3056">
        <v>255000</v>
      </c>
      <c r="AI41" s="3056">
        <v>259500</v>
      </c>
      <c r="AJ41" s="3056">
        <v>998.82</v>
      </c>
      <c r="AK41" s="3056">
        <v>1016.45</v>
      </c>
      <c r="AL41" s="3056">
        <v>9988.2000000000007</v>
      </c>
      <c r="AM41" s="3056">
        <v>10164.459999999999</v>
      </c>
      <c r="AN41" s="3056" t="s">
        <v>1298</v>
      </c>
      <c r="AO41" s="3056" t="s">
        <v>1298</v>
      </c>
      <c r="AP41" s="3056">
        <v>1.76</v>
      </c>
      <c r="AQ41" s="3056" t="s">
        <v>3311</v>
      </c>
      <c r="AR41" s="3056" t="s">
        <v>1298</v>
      </c>
      <c r="AS41" s="3056" t="s">
        <v>1298</v>
      </c>
      <c r="AT41" s="3056" t="s">
        <v>1298</v>
      </c>
      <c r="AU41" s="3056" t="s">
        <v>3168</v>
      </c>
    </row>
    <row r="42" spans="1:47">
      <c r="A42" s="3056" t="s">
        <v>3512</v>
      </c>
      <c r="B42" s="3056" t="s">
        <v>3058</v>
      </c>
      <c r="C42" s="3056" t="s">
        <v>3127</v>
      </c>
      <c r="D42" s="3056" t="s">
        <v>3170</v>
      </c>
      <c r="E42" s="3056" t="s">
        <v>3171</v>
      </c>
      <c r="F42" s="3056" t="s">
        <v>3513</v>
      </c>
      <c r="G42" s="3056" t="s">
        <v>3514</v>
      </c>
      <c r="H42" s="3056">
        <v>120885</v>
      </c>
      <c r="I42" s="3056">
        <v>256512</v>
      </c>
      <c r="J42" s="3056" t="s">
        <v>1298</v>
      </c>
      <c r="K42" s="3056" t="s">
        <v>3133</v>
      </c>
      <c r="L42" s="3056" t="s">
        <v>3515</v>
      </c>
      <c r="M42" s="3056">
        <v>0</v>
      </c>
      <c r="N42" s="3056" t="s">
        <v>1298</v>
      </c>
      <c r="O42" s="3056" t="s">
        <v>1298</v>
      </c>
      <c r="P42" s="3056" t="s">
        <v>1298</v>
      </c>
      <c r="Q42" s="3056" t="s">
        <v>1298</v>
      </c>
      <c r="R42" s="3056" t="s">
        <v>1298</v>
      </c>
      <c r="S42" s="3056" t="s">
        <v>1298</v>
      </c>
      <c r="T42" s="3056" t="s">
        <v>1298</v>
      </c>
      <c r="U42" s="3056" t="s">
        <v>3353</v>
      </c>
      <c r="V42" s="3056" t="s">
        <v>3353</v>
      </c>
      <c r="W42" s="3056" t="s">
        <v>1298</v>
      </c>
      <c r="X42" s="3056" t="s">
        <v>3373</v>
      </c>
      <c r="Y42" s="3056" t="s">
        <v>3507</v>
      </c>
      <c r="Z42" s="3056" t="s">
        <v>3508</v>
      </c>
      <c r="AA42" s="3056" t="s">
        <v>3509</v>
      </c>
      <c r="AB42" s="3056" t="s">
        <v>3509</v>
      </c>
      <c r="AC42" s="3056" t="s">
        <v>3514</v>
      </c>
      <c r="AD42" s="3056" t="s">
        <v>3140</v>
      </c>
      <c r="AE42" s="3056" t="s">
        <v>3516</v>
      </c>
      <c r="AF42" s="3056" t="s">
        <v>1298</v>
      </c>
      <c r="AG42" s="3056">
        <v>75000</v>
      </c>
      <c r="AH42" s="3056">
        <v>250000</v>
      </c>
      <c r="AI42" s="3056">
        <v>250000</v>
      </c>
      <c r="AJ42" s="3056">
        <v>1378.72</v>
      </c>
      <c r="AK42" s="3056">
        <v>1378.72</v>
      </c>
      <c r="AL42" s="3056">
        <v>9746.1299999999992</v>
      </c>
      <c r="AM42" s="3056">
        <v>9746.1200000000008</v>
      </c>
      <c r="AN42" s="3056" t="s">
        <v>1298</v>
      </c>
      <c r="AO42" s="3056" t="s">
        <v>1298</v>
      </c>
      <c r="AP42" s="3056">
        <v>0</v>
      </c>
      <c r="AQ42" s="3056" t="s">
        <v>3311</v>
      </c>
      <c r="AR42" s="3056" t="s">
        <v>1298</v>
      </c>
      <c r="AS42" s="3056" t="s">
        <v>1298</v>
      </c>
      <c r="AT42" s="3056" t="s">
        <v>1298</v>
      </c>
      <c r="AU42" s="3056" t="s">
        <v>3255</v>
      </c>
    </row>
    <row r="43" spans="1:47">
      <c r="A43" s="3056" t="s">
        <v>3517</v>
      </c>
      <c r="B43" s="3056" t="s">
        <v>3058</v>
      </c>
      <c r="C43" s="3056" t="s">
        <v>3127</v>
      </c>
      <c r="D43" s="3056" t="s">
        <v>3257</v>
      </c>
      <c r="E43" s="3056" t="s">
        <v>3518</v>
      </c>
      <c r="F43" s="3056" t="s">
        <v>3519</v>
      </c>
      <c r="G43" s="3056" t="s">
        <v>3520</v>
      </c>
      <c r="H43" s="3056">
        <v>39744.120000000003</v>
      </c>
      <c r="I43" s="3056">
        <v>119232</v>
      </c>
      <c r="J43" s="3056">
        <v>3</v>
      </c>
      <c r="K43" s="3056" t="s">
        <v>3133</v>
      </c>
      <c r="L43" s="3056" t="s">
        <v>3161</v>
      </c>
      <c r="M43" s="3056">
        <v>0</v>
      </c>
      <c r="N43" s="3056" t="s">
        <v>1298</v>
      </c>
      <c r="O43" s="3056" t="s">
        <v>3521</v>
      </c>
      <c r="P43" s="3056" t="s">
        <v>3522</v>
      </c>
      <c r="Q43" s="3056" t="s">
        <v>1298</v>
      </c>
      <c r="R43" s="3056" t="s">
        <v>1298</v>
      </c>
      <c r="S43" s="3056" t="s">
        <v>1298</v>
      </c>
      <c r="T43" s="3056" t="s">
        <v>1298</v>
      </c>
      <c r="U43" s="3056" t="s">
        <v>1298</v>
      </c>
      <c r="V43" s="3056" t="s">
        <v>1298</v>
      </c>
      <c r="W43" s="3056" t="s">
        <v>1298</v>
      </c>
      <c r="X43" s="3056" t="s">
        <v>3373</v>
      </c>
      <c r="Y43" s="3056" t="s">
        <v>3523</v>
      </c>
      <c r="Z43" s="3056" t="s">
        <v>3524</v>
      </c>
      <c r="AA43" s="3056" t="s">
        <v>3489</v>
      </c>
      <c r="AB43" s="3056" t="s">
        <v>3489</v>
      </c>
      <c r="AC43" s="3056" t="s">
        <v>3525</v>
      </c>
      <c r="AD43" s="3056" t="s">
        <v>3140</v>
      </c>
      <c r="AE43" s="3056" t="s">
        <v>3526</v>
      </c>
      <c r="AF43" s="3056" t="s">
        <v>3527</v>
      </c>
      <c r="AG43" s="3056">
        <v>68500</v>
      </c>
      <c r="AH43" s="3056">
        <v>227000</v>
      </c>
      <c r="AI43" s="3056">
        <v>292000</v>
      </c>
      <c r="AJ43" s="3056">
        <v>3807.69</v>
      </c>
      <c r="AK43" s="3056">
        <v>4898</v>
      </c>
      <c r="AL43" s="3056">
        <v>19038.509999999998</v>
      </c>
      <c r="AM43" s="3056">
        <v>24490.06</v>
      </c>
      <c r="AN43" s="3056" t="s">
        <v>1298</v>
      </c>
      <c r="AO43" s="3056" t="s">
        <v>1298</v>
      </c>
      <c r="AP43" s="3056">
        <v>28.63</v>
      </c>
      <c r="AQ43" s="3056" t="s">
        <v>3142</v>
      </c>
      <c r="AR43" s="3056" t="s">
        <v>1298</v>
      </c>
      <c r="AS43" s="3056" t="s">
        <v>1298</v>
      </c>
      <c r="AT43" s="3056" t="s">
        <v>1298</v>
      </c>
      <c r="AU43" s="3056" t="s">
        <v>3143</v>
      </c>
    </row>
    <row r="44" spans="1:47">
      <c r="A44" s="3056" t="s">
        <v>3528</v>
      </c>
      <c r="B44" s="3056" t="s">
        <v>3058</v>
      </c>
      <c r="C44" s="3056" t="s">
        <v>3127</v>
      </c>
      <c r="D44" s="3056" t="s">
        <v>3257</v>
      </c>
      <c r="E44" s="3056" t="s">
        <v>3529</v>
      </c>
      <c r="F44" s="3056" t="s">
        <v>3530</v>
      </c>
      <c r="G44" s="3056" t="s">
        <v>3531</v>
      </c>
      <c r="H44" s="3056">
        <v>92055.95</v>
      </c>
      <c r="I44" s="3056">
        <v>92056</v>
      </c>
      <c r="J44" s="3056">
        <v>1</v>
      </c>
      <c r="K44" s="3056" t="s">
        <v>3199</v>
      </c>
      <c r="L44" s="3056" t="s">
        <v>3213</v>
      </c>
      <c r="M44" s="3056">
        <v>0</v>
      </c>
      <c r="N44" s="3056" t="s">
        <v>1298</v>
      </c>
      <c r="O44" s="3056">
        <v>50</v>
      </c>
      <c r="P44" s="3056">
        <v>12</v>
      </c>
      <c r="Q44" s="3056" t="s">
        <v>1298</v>
      </c>
      <c r="R44" s="3056" t="s">
        <v>1298</v>
      </c>
      <c r="S44" s="3056" t="s">
        <v>1298</v>
      </c>
      <c r="T44" s="3056" t="s">
        <v>1298</v>
      </c>
      <c r="U44" s="3056" t="s">
        <v>1298</v>
      </c>
      <c r="V44" s="3056" t="s">
        <v>1298</v>
      </c>
      <c r="W44" s="3056" t="s">
        <v>1298</v>
      </c>
      <c r="X44" s="3056" t="s">
        <v>3373</v>
      </c>
      <c r="Y44" s="3056" t="s">
        <v>3532</v>
      </c>
      <c r="Z44" s="3056" t="s">
        <v>3533</v>
      </c>
      <c r="AA44" s="3056" t="s">
        <v>3534</v>
      </c>
      <c r="AB44" s="3056" t="s">
        <v>3534</v>
      </c>
      <c r="AC44" s="3056" t="s">
        <v>3531</v>
      </c>
      <c r="AD44" s="3056" t="s">
        <v>3140</v>
      </c>
      <c r="AE44" s="3056" t="s">
        <v>3535</v>
      </c>
      <c r="AF44" s="3056" t="s">
        <v>3536</v>
      </c>
      <c r="AG44" s="3056">
        <v>57000</v>
      </c>
      <c r="AH44" s="3056" t="s">
        <v>1298</v>
      </c>
      <c r="AI44" s="3056">
        <v>285373.59000000003</v>
      </c>
      <c r="AJ44" s="3056" t="s">
        <v>1298</v>
      </c>
      <c r="AK44" s="3056">
        <v>2066.67</v>
      </c>
      <c r="AL44" s="3056" t="s">
        <v>1298</v>
      </c>
      <c r="AM44" s="3056">
        <v>31000</v>
      </c>
      <c r="AN44" s="3056" t="s">
        <v>1298</v>
      </c>
      <c r="AO44" s="3056" t="s">
        <v>1298</v>
      </c>
      <c r="AP44" s="3056" t="s">
        <v>1298</v>
      </c>
      <c r="AQ44" s="3056" t="s">
        <v>3213</v>
      </c>
      <c r="AR44" s="3056" t="s">
        <v>1298</v>
      </c>
      <c r="AS44" s="3056" t="s">
        <v>1298</v>
      </c>
      <c r="AT44" s="3056" t="s">
        <v>1298</v>
      </c>
      <c r="AU44" s="3056" t="s">
        <v>3143</v>
      </c>
    </row>
    <row r="45" spans="1:47">
      <c r="A45" s="3056" t="s">
        <v>3537</v>
      </c>
      <c r="B45" s="3056" t="s">
        <v>3058</v>
      </c>
      <c r="C45" s="3056" t="s">
        <v>3127</v>
      </c>
      <c r="D45" s="3056" t="s">
        <v>3243</v>
      </c>
      <c r="E45" s="3056" t="s">
        <v>3538</v>
      </c>
      <c r="F45" s="3056" t="s">
        <v>3539</v>
      </c>
      <c r="G45" s="3056" t="s">
        <v>3540</v>
      </c>
      <c r="H45" s="3056">
        <v>18303.330000000002</v>
      </c>
      <c r="I45" s="3056">
        <v>58571</v>
      </c>
      <c r="J45" s="3435">
        <v>3.2</v>
      </c>
      <c r="K45" s="3056" t="s">
        <v>3133</v>
      </c>
      <c r="L45" s="3056" t="s">
        <v>3148</v>
      </c>
      <c r="M45" s="3056">
        <v>0</v>
      </c>
      <c r="N45" s="3056" t="s">
        <v>1298</v>
      </c>
      <c r="O45" s="3056" t="s">
        <v>1298</v>
      </c>
      <c r="P45" s="3056" t="s">
        <v>1298</v>
      </c>
      <c r="Q45" s="3056" t="s">
        <v>1298</v>
      </c>
      <c r="R45" s="3056" t="s">
        <v>1298</v>
      </c>
      <c r="S45" s="3056" t="s">
        <v>1298</v>
      </c>
      <c r="T45" s="3056" t="s">
        <v>1298</v>
      </c>
      <c r="U45" s="3056" t="s">
        <v>1298</v>
      </c>
      <c r="V45" s="3056" t="s">
        <v>1298</v>
      </c>
      <c r="W45" s="3056" t="s">
        <v>1298</v>
      </c>
      <c r="X45" s="3056" t="s">
        <v>3223</v>
      </c>
      <c r="Y45" s="3056" t="s">
        <v>3541</v>
      </c>
      <c r="Z45" s="3056" t="s">
        <v>3542</v>
      </c>
      <c r="AA45" s="3056" t="s">
        <v>3498</v>
      </c>
      <c r="AB45" s="3056" t="s">
        <v>3498</v>
      </c>
      <c r="AC45" s="3056" t="s">
        <v>3540</v>
      </c>
      <c r="AD45" s="3056" t="s">
        <v>3140</v>
      </c>
      <c r="AE45" s="3056" t="s">
        <v>3543</v>
      </c>
      <c r="AF45" s="3056" t="s">
        <v>3544</v>
      </c>
      <c r="AG45" s="3056">
        <v>24000</v>
      </c>
      <c r="AH45" s="3056">
        <v>79600</v>
      </c>
      <c r="AI45" s="3056">
        <v>129000</v>
      </c>
      <c r="AJ45" s="3056">
        <v>2899.29</v>
      </c>
      <c r="AK45" s="3056">
        <v>4698.6000000000004</v>
      </c>
      <c r="AL45" s="3056">
        <v>13590.34</v>
      </c>
      <c r="AM45" s="3056">
        <v>22024.54</v>
      </c>
      <c r="AN45" s="3056" t="s">
        <v>1298</v>
      </c>
      <c r="AO45" s="3056" t="s">
        <v>1298</v>
      </c>
      <c r="AP45" s="3056">
        <v>62.06</v>
      </c>
      <c r="AQ45" s="3056" t="s">
        <v>3167</v>
      </c>
      <c r="AR45" s="3056" t="s">
        <v>1298</v>
      </c>
      <c r="AS45" s="3056" t="s">
        <v>1298</v>
      </c>
      <c r="AT45" s="3056" t="s">
        <v>1298</v>
      </c>
      <c r="AU45" s="3056" t="s">
        <v>3143</v>
      </c>
    </row>
    <row r="46" spans="1:47">
      <c r="A46" s="3056" t="s">
        <v>3545</v>
      </c>
      <c r="B46" s="3056" t="s">
        <v>3058</v>
      </c>
      <c r="C46" s="3056" t="s">
        <v>3127</v>
      </c>
      <c r="D46" s="3056" t="s">
        <v>3243</v>
      </c>
      <c r="E46" s="3056" t="s">
        <v>3546</v>
      </c>
      <c r="F46" s="3056" t="s">
        <v>3547</v>
      </c>
      <c r="G46" s="3056" t="s">
        <v>3548</v>
      </c>
      <c r="H46" s="3056">
        <v>29183.54</v>
      </c>
      <c r="I46" s="3056">
        <v>72959</v>
      </c>
      <c r="J46" s="3435">
        <v>2.5</v>
      </c>
      <c r="K46" s="3056" t="s">
        <v>3133</v>
      </c>
      <c r="L46" s="3056" t="s">
        <v>3148</v>
      </c>
      <c r="M46" s="3056">
        <v>0</v>
      </c>
      <c r="N46" s="3056" t="s">
        <v>1298</v>
      </c>
      <c r="O46" s="3056" t="s">
        <v>1298</v>
      </c>
      <c r="P46" s="3056" t="s">
        <v>1298</v>
      </c>
      <c r="Q46" s="3056" t="s">
        <v>1298</v>
      </c>
      <c r="R46" s="3056" t="s">
        <v>1298</v>
      </c>
      <c r="S46" s="3056" t="s">
        <v>1298</v>
      </c>
      <c r="T46" s="3056" t="s">
        <v>1298</v>
      </c>
      <c r="U46" s="3056" t="s">
        <v>1298</v>
      </c>
      <c r="V46" s="3056" t="s">
        <v>1298</v>
      </c>
      <c r="W46" s="3056" t="s">
        <v>1298</v>
      </c>
      <c r="X46" s="3056" t="s">
        <v>3373</v>
      </c>
      <c r="Y46" s="3056" t="s">
        <v>3549</v>
      </c>
      <c r="Z46" s="3056" t="s">
        <v>3532</v>
      </c>
      <c r="AA46" s="3056" t="s">
        <v>3524</v>
      </c>
      <c r="AB46" s="3056" t="s">
        <v>3524</v>
      </c>
      <c r="AC46" s="3056" t="s">
        <v>3548</v>
      </c>
      <c r="AD46" s="3056" t="s">
        <v>3140</v>
      </c>
      <c r="AE46" s="3056" t="s">
        <v>3550</v>
      </c>
      <c r="AF46" s="3056" t="s">
        <v>3551</v>
      </c>
      <c r="AG46" s="3056">
        <v>25000</v>
      </c>
      <c r="AH46" s="3056">
        <v>83000</v>
      </c>
      <c r="AI46" s="3056">
        <v>106000</v>
      </c>
      <c r="AJ46" s="3056">
        <v>1896.05</v>
      </c>
      <c r="AK46" s="3056">
        <v>2421.46</v>
      </c>
      <c r="AL46" s="3056">
        <v>11376.25</v>
      </c>
      <c r="AM46" s="3056">
        <v>14528.7</v>
      </c>
      <c r="AN46" s="3056" t="s">
        <v>1298</v>
      </c>
      <c r="AO46" s="3056" t="s">
        <v>1298</v>
      </c>
      <c r="AP46" s="3056">
        <v>27.71</v>
      </c>
      <c r="AQ46" s="3056" t="s">
        <v>3167</v>
      </c>
      <c r="AR46" s="3056" t="s">
        <v>1298</v>
      </c>
      <c r="AS46" s="3056" t="s">
        <v>1298</v>
      </c>
      <c r="AT46" s="3056" t="s">
        <v>1298</v>
      </c>
      <c r="AU46" s="3056" t="s">
        <v>3143</v>
      </c>
    </row>
    <row r="47" spans="1:47">
      <c r="A47" s="3056" t="s">
        <v>3552</v>
      </c>
      <c r="B47" s="3056" t="s">
        <v>3058</v>
      </c>
      <c r="C47" s="3056" t="s">
        <v>3127</v>
      </c>
      <c r="D47" s="3056" t="s">
        <v>3257</v>
      </c>
      <c r="E47" s="3056" t="s">
        <v>3518</v>
      </c>
      <c r="F47" s="3056" t="s">
        <v>3553</v>
      </c>
      <c r="G47" s="3056" t="s">
        <v>3554</v>
      </c>
      <c r="H47" s="3056">
        <v>46165.91</v>
      </c>
      <c r="I47" s="3056">
        <v>92332</v>
      </c>
      <c r="J47" s="3056">
        <v>2</v>
      </c>
      <c r="K47" s="3056" t="s">
        <v>3133</v>
      </c>
      <c r="L47" s="3056" t="s">
        <v>3148</v>
      </c>
      <c r="M47" s="3056">
        <v>0</v>
      </c>
      <c r="N47" s="3056" t="s">
        <v>1298</v>
      </c>
      <c r="O47" s="3056" t="s">
        <v>1298</v>
      </c>
      <c r="P47" s="3056" t="s">
        <v>1298</v>
      </c>
      <c r="Q47" s="3056" t="s">
        <v>1298</v>
      </c>
      <c r="R47" s="3056" t="s">
        <v>1298</v>
      </c>
      <c r="S47" s="3056" t="s">
        <v>1298</v>
      </c>
      <c r="T47" s="3056" t="s">
        <v>1298</v>
      </c>
      <c r="U47" s="3056" t="s">
        <v>3353</v>
      </c>
      <c r="V47" s="3056" t="s">
        <v>3353</v>
      </c>
      <c r="W47" s="3056" t="s">
        <v>1298</v>
      </c>
      <c r="X47" s="3056" t="s">
        <v>3373</v>
      </c>
      <c r="Y47" s="3056" t="s">
        <v>3549</v>
      </c>
      <c r="Z47" s="3056" t="s">
        <v>3532</v>
      </c>
      <c r="AA47" s="3056" t="s">
        <v>3524</v>
      </c>
      <c r="AB47" s="3056" t="s">
        <v>3524</v>
      </c>
      <c r="AC47" s="3056" t="s">
        <v>3554</v>
      </c>
      <c r="AD47" s="3056" t="s">
        <v>3140</v>
      </c>
      <c r="AE47" s="3056" t="s">
        <v>3555</v>
      </c>
      <c r="AF47" s="3056" t="s">
        <v>3556</v>
      </c>
      <c r="AG47" s="3056">
        <v>53000</v>
      </c>
      <c r="AH47" s="3056">
        <v>176000</v>
      </c>
      <c r="AI47" s="3056">
        <v>225000</v>
      </c>
      <c r="AJ47" s="3056">
        <v>2541.56</v>
      </c>
      <c r="AK47" s="3056">
        <v>3249.15</v>
      </c>
      <c r="AL47" s="3056">
        <v>19061.64</v>
      </c>
      <c r="AM47" s="3056">
        <v>24368.58</v>
      </c>
      <c r="AN47" s="3056" t="s">
        <v>1298</v>
      </c>
      <c r="AO47" s="3056" t="s">
        <v>1298</v>
      </c>
      <c r="AP47" s="3056">
        <v>27.84</v>
      </c>
      <c r="AQ47" s="3056" t="s">
        <v>3167</v>
      </c>
      <c r="AR47" s="3056" t="s">
        <v>1298</v>
      </c>
      <c r="AS47" s="3056" t="s">
        <v>1298</v>
      </c>
      <c r="AT47" s="3056" t="s">
        <v>1298</v>
      </c>
      <c r="AU47" s="3056" t="s">
        <v>3143</v>
      </c>
    </row>
    <row r="48" spans="1:47">
      <c r="A48" s="3056" t="s">
        <v>3557</v>
      </c>
      <c r="B48" s="3056" t="s">
        <v>3058</v>
      </c>
      <c r="C48" s="3056" t="s">
        <v>3127</v>
      </c>
      <c r="D48" s="3056" t="s">
        <v>3257</v>
      </c>
      <c r="E48" s="3056" t="s">
        <v>3518</v>
      </c>
      <c r="F48" s="3056" t="s">
        <v>3553</v>
      </c>
      <c r="G48" s="3056" t="s">
        <v>3558</v>
      </c>
      <c r="H48" s="3056">
        <v>38100</v>
      </c>
      <c r="I48" s="3056">
        <v>76200</v>
      </c>
      <c r="J48" s="3056">
        <v>2</v>
      </c>
      <c r="K48" s="3056" t="s">
        <v>3133</v>
      </c>
      <c r="L48" s="3056" t="s">
        <v>3148</v>
      </c>
      <c r="M48" s="3056">
        <v>0</v>
      </c>
      <c r="N48" s="3056" t="s">
        <v>1298</v>
      </c>
      <c r="O48" s="3056" t="s">
        <v>1298</v>
      </c>
      <c r="P48" s="3056" t="s">
        <v>1298</v>
      </c>
      <c r="Q48" s="3056" t="s">
        <v>1298</v>
      </c>
      <c r="R48" s="3056" t="s">
        <v>1298</v>
      </c>
      <c r="S48" s="3056" t="s">
        <v>1298</v>
      </c>
      <c r="T48" s="3056" t="s">
        <v>1298</v>
      </c>
      <c r="U48" s="3056" t="s">
        <v>3353</v>
      </c>
      <c r="V48" s="3056" t="s">
        <v>3353</v>
      </c>
      <c r="W48" s="3056" t="s">
        <v>1298</v>
      </c>
      <c r="X48" s="3056" t="s">
        <v>3373</v>
      </c>
      <c r="Y48" s="3056" t="s">
        <v>3549</v>
      </c>
      <c r="Z48" s="3056" t="s">
        <v>3532</v>
      </c>
      <c r="AA48" s="3056" t="s">
        <v>3524</v>
      </c>
      <c r="AB48" s="3056" t="s">
        <v>3524</v>
      </c>
      <c r="AC48" s="3056" t="s">
        <v>3558</v>
      </c>
      <c r="AD48" s="3056" t="s">
        <v>3140</v>
      </c>
      <c r="AE48" s="3056" t="s">
        <v>3559</v>
      </c>
      <c r="AF48" s="3056" t="s">
        <v>3560</v>
      </c>
      <c r="AG48" s="3056">
        <v>43500</v>
      </c>
      <c r="AH48" s="3056">
        <v>145000</v>
      </c>
      <c r="AI48" s="3056">
        <v>204000</v>
      </c>
      <c r="AJ48" s="3056">
        <v>2537.1799999999998</v>
      </c>
      <c r="AK48" s="3056">
        <v>3569.55</v>
      </c>
      <c r="AL48" s="3056">
        <v>19028.87</v>
      </c>
      <c r="AM48" s="3056">
        <v>26771.65</v>
      </c>
      <c r="AN48" s="3056" t="s">
        <v>1298</v>
      </c>
      <c r="AO48" s="3056" t="s">
        <v>1298</v>
      </c>
      <c r="AP48" s="3056">
        <v>40.69</v>
      </c>
      <c r="AQ48" s="3056" t="s">
        <v>3167</v>
      </c>
      <c r="AR48" s="3056" t="s">
        <v>1298</v>
      </c>
      <c r="AS48" s="3056" t="s">
        <v>1298</v>
      </c>
      <c r="AT48" s="3056" t="s">
        <v>1298</v>
      </c>
      <c r="AU48" s="3056" t="s">
        <v>3143</v>
      </c>
    </row>
    <row r="49" spans="1:47">
      <c r="A49" s="3056" t="s">
        <v>3561</v>
      </c>
      <c r="B49" s="3056" t="s">
        <v>3058</v>
      </c>
      <c r="C49" s="3056" t="s">
        <v>3127</v>
      </c>
      <c r="D49" s="3056" t="s">
        <v>3243</v>
      </c>
      <c r="E49" s="3056" t="s">
        <v>3538</v>
      </c>
      <c r="F49" s="3056" t="s">
        <v>3539</v>
      </c>
      <c r="G49" s="3056" t="s">
        <v>3562</v>
      </c>
      <c r="H49" s="3056">
        <v>23639.39</v>
      </c>
      <c r="I49" s="3056">
        <v>75646</v>
      </c>
      <c r="J49" s="3435">
        <v>3.2</v>
      </c>
      <c r="K49" s="3056" t="s">
        <v>3133</v>
      </c>
      <c r="L49" s="3056" t="s">
        <v>3148</v>
      </c>
      <c r="M49" s="3056">
        <v>0</v>
      </c>
      <c r="N49" s="3056" t="s">
        <v>1298</v>
      </c>
      <c r="O49" s="3056" t="s">
        <v>1298</v>
      </c>
      <c r="P49" s="3056" t="s">
        <v>1298</v>
      </c>
      <c r="Q49" s="3056" t="s">
        <v>1298</v>
      </c>
      <c r="R49" s="3056" t="s">
        <v>1298</v>
      </c>
      <c r="S49" s="3056" t="s">
        <v>1298</v>
      </c>
      <c r="T49" s="3056" t="s">
        <v>1298</v>
      </c>
      <c r="U49" s="3056" t="s">
        <v>1298</v>
      </c>
      <c r="V49" s="3056" t="s">
        <v>1298</v>
      </c>
      <c r="W49" s="3056" t="s">
        <v>1298</v>
      </c>
      <c r="X49" s="3056" t="s">
        <v>3373</v>
      </c>
      <c r="Y49" s="3056" t="s">
        <v>3563</v>
      </c>
      <c r="Z49" s="3056" t="s">
        <v>3564</v>
      </c>
      <c r="AA49" s="3056" t="s">
        <v>3565</v>
      </c>
      <c r="AB49" s="3056" t="s">
        <v>3565</v>
      </c>
      <c r="AC49" s="3056" t="s">
        <v>3562</v>
      </c>
      <c r="AD49" s="3056" t="s">
        <v>3140</v>
      </c>
      <c r="AE49" s="3056" t="s">
        <v>3566</v>
      </c>
      <c r="AF49" s="3056" t="s">
        <v>3567</v>
      </c>
      <c r="AG49" s="3056">
        <v>30600</v>
      </c>
      <c r="AH49" s="3056">
        <v>102000</v>
      </c>
      <c r="AI49" s="3056">
        <v>103020</v>
      </c>
      <c r="AJ49" s="3056">
        <v>2876.55</v>
      </c>
      <c r="AK49" s="3056">
        <v>2905.32</v>
      </c>
      <c r="AL49" s="3056">
        <v>13483.85</v>
      </c>
      <c r="AM49" s="3056">
        <v>13618.7</v>
      </c>
      <c r="AN49" s="3056" t="s">
        <v>1298</v>
      </c>
      <c r="AO49" s="3056" t="s">
        <v>1298</v>
      </c>
      <c r="AP49" s="3056">
        <v>1</v>
      </c>
      <c r="AQ49" s="3056" t="s">
        <v>3167</v>
      </c>
      <c r="AR49" s="3056" t="s">
        <v>1298</v>
      </c>
      <c r="AS49" s="3056" t="s">
        <v>1298</v>
      </c>
      <c r="AT49" s="3056" t="s">
        <v>1298</v>
      </c>
      <c r="AU49" s="3056" t="s">
        <v>3143</v>
      </c>
    </row>
    <row r="50" spans="1:47">
      <c r="A50" s="3056" t="s">
        <v>3568</v>
      </c>
      <c r="B50" s="3056" t="s">
        <v>3058</v>
      </c>
      <c r="C50" s="3056" t="s">
        <v>3127</v>
      </c>
      <c r="D50" s="3056" t="s">
        <v>3182</v>
      </c>
      <c r="E50" s="3056" t="s">
        <v>3335</v>
      </c>
      <c r="F50" s="3056" t="s">
        <v>3569</v>
      </c>
      <c r="G50" s="3056" t="s">
        <v>3570</v>
      </c>
      <c r="H50" s="3056">
        <v>69848.44</v>
      </c>
      <c r="I50" s="3056">
        <v>146863</v>
      </c>
      <c r="J50" s="3056">
        <v>2.1</v>
      </c>
      <c r="K50" s="3056" t="s">
        <v>3133</v>
      </c>
      <c r="L50" s="3056" t="s">
        <v>3428</v>
      </c>
      <c r="M50" s="3056">
        <v>0</v>
      </c>
      <c r="N50" s="3056" t="s">
        <v>1298</v>
      </c>
      <c r="O50" s="3056" t="s">
        <v>1298</v>
      </c>
      <c r="P50" s="3056" t="s">
        <v>1298</v>
      </c>
      <c r="Q50" s="3056" t="s">
        <v>1298</v>
      </c>
      <c r="R50" s="3056" t="s">
        <v>1298</v>
      </c>
      <c r="S50" s="3056" t="s">
        <v>1298</v>
      </c>
      <c r="T50" s="3056" t="s">
        <v>1298</v>
      </c>
      <c r="U50" s="3056" t="s">
        <v>1298</v>
      </c>
      <c r="V50" s="3056" t="s">
        <v>1298</v>
      </c>
      <c r="W50" s="3056" t="s">
        <v>1298</v>
      </c>
      <c r="X50" s="3056" t="s">
        <v>3373</v>
      </c>
      <c r="Y50" s="3056" t="s">
        <v>3571</v>
      </c>
      <c r="Z50" s="3056" t="s">
        <v>3572</v>
      </c>
      <c r="AA50" s="3056" t="s">
        <v>3573</v>
      </c>
      <c r="AB50" s="3056" t="s">
        <v>3573</v>
      </c>
      <c r="AC50" s="3056" t="s">
        <v>3570</v>
      </c>
      <c r="AD50" s="3056" t="s">
        <v>3140</v>
      </c>
      <c r="AE50" s="3056" t="s">
        <v>3574</v>
      </c>
      <c r="AF50" s="3056" t="s">
        <v>1298</v>
      </c>
      <c r="AG50" s="3056">
        <v>66000</v>
      </c>
      <c r="AH50" s="3056">
        <v>220000</v>
      </c>
      <c r="AI50" s="3056">
        <v>220000</v>
      </c>
      <c r="AJ50" s="3056">
        <v>2099.7800000000002</v>
      </c>
      <c r="AK50" s="3056">
        <v>2099.7800000000002</v>
      </c>
      <c r="AL50" s="3056">
        <v>14979.94</v>
      </c>
      <c r="AM50" s="3056">
        <v>14979.95</v>
      </c>
      <c r="AN50" s="3056" t="s">
        <v>1298</v>
      </c>
      <c r="AO50" s="3056" t="s">
        <v>1298</v>
      </c>
      <c r="AP50" s="3056">
        <v>0</v>
      </c>
      <c r="AQ50" s="3056" t="s">
        <v>3436</v>
      </c>
      <c r="AR50" s="3056" t="s">
        <v>1298</v>
      </c>
      <c r="AS50" s="3056" t="s">
        <v>1298</v>
      </c>
      <c r="AT50" s="3056" t="s">
        <v>1298</v>
      </c>
      <c r="AU50" s="3056" t="s">
        <v>3143</v>
      </c>
    </row>
    <row r="51" spans="1:47">
      <c r="A51" s="3056" t="s">
        <v>3575</v>
      </c>
      <c r="B51" s="3056" t="s">
        <v>3058</v>
      </c>
      <c r="C51" s="3056" t="s">
        <v>3127</v>
      </c>
      <c r="D51" s="3056" t="s">
        <v>3182</v>
      </c>
      <c r="E51" s="3056" t="s">
        <v>3335</v>
      </c>
      <c r="F51" s="3056" t="s">
        <v>3569</v>
      </c>
      <c r="G51" s="3056" t="s">
        <v>3576</v>
      </c>
      <c r="H51" s="3056">
        <v>66079.679999999993</v>
      </c>
      <c r="I51" s="3056">
        <v>111429</v>
      </c>
      <c r="J51" s="3056">
        <v>1.69</v>
      </c>
      <c r="K51" s="3056" t="s">
        <v>3133</v>
      </c>
      <c r="L51" s="3056" t="s">
        <v>3428</v>
      </c>
      <c r="M51" s="3056">
        <v>0</v>
      </c>
      <c r="N51" s="3056" t="s">
        <v>1298</v>
      </c>
      <c r="O51" s="3056" t="s">
        <v>1298</v>
      </c>
      <c r="P51" s="3056" t="s">
        <v>1298</v>
      </c>
      <c r="Q51" s="3056" t="s">
        <v>1298</v>
      </c>
      <c r="R51" s="3056" t="s">
        <v>1298</v>
      </c>
      <c r="S51" s="3056" t="s">
        <v>1298</v>
      </c>
      <c r="T51" s="3056" t="s">
        <v>1298</v>
      </c>
      <c r="U51" s="3056" t="s">
        <v>1298</v>
      </c>
      <c r="V51" s="3056" t="s">
        <v>1298</v>
      </c>
      <c r="W51" s="3056" t="s">
        <v>1298</v>
      </c>
      <c r="X51" s="3056" t="s">
        <v>3373</v>
      </c>
      <c r="Y51" s="3056" t="s">
        <v>3571</v>
      </c>
      <c r="Z51" s="3056" t="s">
        <v>3572</v>
      </c>
      <c r="AA51" s="3056" t="s">
        <v>3573</v>
      </c>
      <c r="AB51" s="3056" t="s">
        <v>3573</v>
      </c>
      <c r="AC51" s="3056" t="s">
        <v>3576</v>
      </c>
      <c r="AD51" s="3056" t="s">
        <v>3140</v>
      </c>
      <c r="AE51" s="3056" t="s">
        <v>3440</v>
      </c>
      <c r="AF51" s="3056" t="s">
        <v>1298</v>
      </c>
      <c r="AG51" s="3056">
        <v>40000</v>
      </c>
      <c r="AH51" s="3056">
        <v>135000</v>
      </c>
      <c r="AI51" s="3056">
        <v>135000</v>
      </c>
      <c r="AJ51" s="3056">
        <v>1361.99</v>
      </c>
      <c r="AK51" s="3056">
        <v>1361.99</v>
      </c>
      <c r="AL51" s="3056">
        <v>12115.33</v>
      </c>
      <c r="AM51" s="3056">
        <v>12115.34</v>
      </c>
      <c r="AN51" s="3056" t="s">
        <v>1298</v>
      </c>
      <c r="AO51" s="3056" t="s">
        <v>1298</v>
      </c>
      <c r="AP51" s="3056">
        <v>0</v>
      </c>
      <c r="AQ51" s="3056" t="s">
        <v>3436</v>
      </c>
      <c r="AR51" s="3056" t="s">
        <v>1298</v>
      </c>
      <c r="AS51" s="3056" t="s">
        <v>1298</v>
      </c>
      <c r="AT51" s="3056" t="s">
        <v>1298</v>
      </c>
      <c r="AU51" s="3056" t="s">
        <v>3143</v>
      </c>
    </row>
  </sheetData>
  <autoFilter ref="A1:WXC51"/>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6" sqref="Y26"/>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5" customWidth="1"/>
    <col min="2" max="9" width="12.109375" style="1655" customWidth="1"/>
    <col min="10" max="16384" width="9" style="1655"/>
  </cols>
  <sheetData>
    <row r="1" spans="1:9" ht="18"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1606</v>
      </c>
      <c r="B2" s="3115" t="s">
        <v>1607</v>
      </c>
      <c r="C2" s="3115" t="s">
        <v>1608</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6">
      <c r="A3" s="3109"/>
      <c r="B3" s="3109"/>
      <c r="C3" s="3109"/>
      <c r="D3" s="957" t="s">
        <v>1603</v>
      </c>
      <c r="E3" s="957" t="s">
        <v>1609</v>
      </c>
      <c r="F3" s="957" t="s">
        <v>1603</v>
      </c>
      <c r="G3" s="957" t="s">
        <v>1604</v>
      </c>
      <c r="H3" s="957" t="s">
        <v>1603</v>
      </c>
      <c r="I3" s="957" t="s">
        <v>1604</v>
      </c>
    </row>
    <row r="4" spans="1:9" ht="15">
      <c r="A4" s="1683" t="str">
        <f>项目基本情况!S2</f>
        <v>北京市房地产</v>
      </c>
      <c r="B4" s="957">
        <f>项目基本情况!C17</f>
        <v>183777.08000000002</v>
      </c>
      <c r="C4" s="957">
        <f>项目基本情况!C18</f>
        <v>27615.81</v>
      </c>
      <c r="D4" s="957">
        <f>结果表!D118</f>
        <v>255232</v>
      </c>
      <c r="E4" s="957">
        <f>结果表!E118</f>
        <v>13888</v>
      </c>
      <c r="F4" s="957">
        <f ca="1">结果表!F118</f>
        <v>59890</v>
      </c>
      <c r="G4" s="957">
        <f ca="1">结果表!G118</f>
        <v>3259</v>
      </c>
      <c r="H4" s="957">
        <f ca="1">结果表!H118</f>
        <v>315122</v>
      </c>
      <c r="I4" s="957">
        <f ca="1">结果表!I118</f>
        <v>17147</v>
      </c>
    </row>
    <row r="5" spans="1:9" ht="30" customHeight="1">
      <c r="A5" s="3109" t="s">
        <v>1605</v>
      </c>
      <c r="B5" s="3109"/>
      <c r="C5" s="3109"/>
      <c r="D5" s="3110" t="str">
        <f>结果表!D119</f>
        <v>贰拾伍亿伍仟贰佰叁拾贰万元整</v>
      </c>
      <c r="E5" s="3110"/>
      <c r="F5" s="3110" t="str">
        <f ca="1">结果表!F119</f>
        <v>伍亿玖仟捌佰玖拾万元整</v>
      </c>
      <c r="G5" s="3110"/>
      <c r="H5" s="3110" t="str">
        <f ca="1">结果表!H119</f>
        <v>叁拾壹亿伍仟壹佰贰拾贰万元整</v>
      </c>
      <c r="I5" s="3110"/>
    </row>
    <row r="6" spans="1:9" ht="15.6">
      <c r="A6" s="3108" t="str">
        <f>结果表!A120</f>
        <v>估价师知悉的法定优先受偿款</v>
      </c>
      <c r="B6" s="3108"/>
      <c r="C6" s="3108"/>
      <c r="D6" s="3108">
        <f>结果表!D120</f>
        <v>0</v>
      </c>
      <c r="E6" s="3108"/>
      <c r="F6" s="3108"/>
      <c r="G6" s="3108"/>
      <c r="H6" s="3108"/>
      <c r="I6" s="3108"/>
    </row>
    <row r="7" spans="1:9" ht="15">
      <c r="A7" s="3109" t="s">
        <v>1605</v>
      </c>
      <c r="B7" s="3109"/>
      <c r="C7" s="3109"/>
      <c r="D7" s="3111" t="str">
        <f>结果表!D121</f>
        <v>零元整</v>
      </c>
      <c r="E7" s="3112"/>
      <c r="F7" s="3112"/>
      <c r="G7" s="3112"/>
      <c r="H7" s="3112"/>
      <c r="I7" s="3113"/>
    </row>
    <row r="8" spans="1:9" ht="15.6">
      <c r="A8" s="3108" t="str">
        <f>结果表!A122</f>
        <v>房地产抵押价值</v>
      </c>
      <c r="B8" s="3108"/>
      <c r="C8" s="3108"/>
      <c r="D8" s="3108">
        <f ca="1">结果表!D122</f>
        <v>315122</v>
      </c>
      <c r="E8" s="3108"/>
      <c r="F8" s="3108"/>
      <c r="G8" s="3108"/>
      <c r="H8" s="3108"/>
      <c r="I8" s="3108"/>
    </row>
    <row r="9" spans="1:9" ht="15">
      <c r="A9" s="3109" t="s">
        <v>1605</v>
      </c>
      <c r="B9" s="3109"/>
      <c r="C9" s="3109"/>
      <c r="D9" s="3110" t="str">
        <f ca="1">结果表!D123</f>
        <v>叁拾壹亿伍仟壹佰贰拾贰万元整</v>
      </c>
      <c r="E9" s="3110"/>
      <c r="F9" s="3110"/>
      <c r="G9" s="3110"/>
      <c r="H9" s="3110"/>
      <c r="I9" s="3110"/>
    </row>
    <row r="10" spans="1:9" ht="15.6">
      <c r="A10" s="3108" t="str">
        <f>结果表!A124</f>
        <v/>
      </c>
      <c r="B10" s="3108"/>
      <c r="C10" s="3108"/>
      <c r="D10" s="3108" t="str">
        <f>结果表!D124</f>
        <v>——</v>
      </c>
      <c r="E10" s="3108"/>
      <c r="F10" s="3108"/>
      <c r="G10" s="3108"/>
      <c r="H10" s="3108"/>
      <c r="I10" s="3108"/>
    </row>
    <row r="11" spans="1:9" ht="15">
      <c r="A11" s="3109" t="s">
        <v>1605</v>
      </c>
      <c r="B11" s="3109"/>
      <c r="C11" s="3109"/>
      <c r="D11" s="3110" t="e">
        <f>结果表!D125</f>
        <v>#VALUE!</v>
      </c>
      <c r="E11" s="3110"/>
      <c r="F11" s="3110"/>
      <c r="G11" s="3110"/>
      <c r="H11" s="3110"/>
      <c r="I11" s="3110"/>
    </row>
    <row r="12" spans="1:9" ht="15.6">
      <c r="A12" s="3108" t="str">
        <f>结果表!A126</f>
        <v/>
      </c>
      <c r="B12" s="3108"/>
      <c r="C12" s="3108"/>
      <c r="D12" s="3108" t="str">
        <f>结果表!D126</f>
        <v>——</v>
      </c>
      <c r="E12" s="3108"/>
      <c r="F12" s="3108"/>
      <c r="G12" s="3108"/>
      <c r="H12" s="3108"/>
      <c r="I12" s="3108"/>
    </row>
    <row r="13" spans="1:9" ht="15.6" thickBot="1">
      <c r="A13" s="3105" t="s">
        <v>1605</v>
      </c>
      <c r="B13" s="3105"/>
      <c r="C13" s="3105"/>
      <c r="D13" s="3106" t="e">
        <f>结果表!D127</f>
        <v>#VALUE!</v>
      </c>
      <c r="E13" s="3106"/>
      <c r="F13" s="3106"/>
      <c r="G13" s="3106"/>
      <c r="H13" s="3106"/>
      <c r="I13" s="3106"/>
    </row>
    <row r="14" spans="1:9" ht="14.4" thickTop="1">
      <c r="A14" s="3107" t="s">
        <v>1610</v>
      </c>
      <c r="B14" s="3107"/>
      <c r="C14" s="3107"/>
      <c r="D14" s="3107"/>
      <c r="E14" s="3107"/>
      <c r="F14" s="3107"/>
      <c r="G14" s="3107"/>
      <c r="H14" s="3107"/>
      <c r="I14" s="3107"/>
    </row>
    <row r="16" spans="1:9" ht="17.399999999999999">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5" customWidth="1"/>
    <col min="2" max="3" width="22.33203125" style="1655" customWidth="1"/>
    <col min="4" max="4" width="23" style="1655" customWidth="1"/>
    <col min="5" max="16384" width="9" style="1655"/>
  </cols>
  <sheetData>
    <row r="1" spans="1:4" ht="17.399999999999999">
      <c r="A1" s="3122" t="s">
        <v>1627</v>
      </c>
      <c r="B1" s="3122"/>
      <c r="C1" s="3122"/>
      <c r="D1" s="3122"/>
    </row>
    <row r="2" spans="1:4" ht="17.399999999999999">
      <c r="A2" s="3123" t="s">
        <v>1611</v>
      </c>
      <c r="B2" s="3123"/>
      <c r="C2" s="3123"/>
      <c r="D2" s="3123"/>
    </row>
    <row r="3" spans="1:4" ht="17.399999999999999">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7.399999999999999">
      <c r="A6" s="3123" t="s">
        <v>1617</v>
      </c>
      <c r="B6" s="3123"/>
      <c r="C6" s="3123"/>
      <c r="D6" s="3123"/>
    </row>
    <row r="7" spans="1:4" ht="17.399999999999999">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7.399999999999999">
      <c r="A10" s="1694" t="s">
        <v>1619</v>
      </c>
      <c r="B10" s="684"/>
      <c r="C10" s="684"/>
      <c r="D10" s="684"/>
    </row>
    <row r="11" spans="1:4" ht="30" customHeight="1">
      <c r="A11" s="3124" t="s">
        <v>1620</v>
      </c>
      <c r="B11" s="3116"/>
      <c r="C11" s="3116"/>
      <c r="D11" s="3116"/>
    </row>
    <row r="12" spans="1:4" ht="15.6">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6" t="str">
        <f>IF(项目基本情况!B8="抵押","4.本次评估估价师所知悉的法定优先受偿款情况说明如下：","——")</f>
        <v>4.本次评估估价师所知悉的法定优先受偿款情况说明如下：</v>
      </c>
      <c r="B14" s="3121"/>
      <c r="C14" s="3121"/>
      <c r="D14" s="3121"/>
    </row>
    <row r="15" spans="1:4" ht="42" customHeight="1">
      <c r="A15" s="3116"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8" t="s">
        <v>1621</v>
      </c>
      <c r="B16" s="3118"/>
      <c r="C16" s="3118"/>
      <c r="D16" s="3118"/>
    </row>
    <row r="17" spans="1:4" ht="144" customHeight="1">
      <c r="A17" s="3118" t="s">
        <v>1622</v>
      </c>
      <c r="B17" s="3118"/>
      <c r="C17" s="3118"/>
      <c r="D17" s="3118"/>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1623</v>
      </c>
      <c r="B22" s="3120"/>
      <c r="C22" s="3120"/>
      <c r="D22" s="3120"/>
    </row>
    <row r="23" spans="1:4">
      <c r="A23" s="1695"/>
      <c r="B23" s="1667"/>
      <c r="C23" s="1667"/>
      <c r="D23" s="1667"/>
    </row>
    <row r="24" spans="1:4">
      <c r="A24" s="1695"/>
      <c r="B24" s="1667"/>
      <c r="C24" s="1667"/>
      <c r="D24" s="1667"/>
    </row>
    <row r="25" spans="1:4" ht="17.399999999999999">
      <c r="A25" s="1696" t="s">
        <v>1624</v>
      </c>
    </row>
    <row r="26" spans="1:4" ht="17.399999999999999">
      <c r="A26" s="1665"/>
    </row>
    <row r="27" spans="1:4" ht="17.399999999999999">
      <c r="A27" s="1665" t="s">
        <v>1625</v>
      </c>
    </row>
    <row r="30" spans="1:4" ht="17.399999999999999">
      <c r="D30" s="1696" t="s">
        <v>1626</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3" customWidth="1"/>
    <col min="3" max="10" width="12.44140625" style="1653" customWidth="1"/>
    <col min="11" max="16384" width="9" style="1653"/>
  </cols>
  <sheetData>
    <row r="1" spans="1:10" ht="17.399999999999999">
      <c r="A1" s="1686" t="s">
        <v>838</v>
      </c>
      <c r="B1" s="1697"/>
      <c r="C1" s="1697"/>
      <c r="D1" s="1697"/>
      <c r="E1" s="1697"/>
      <c r="F1" s="1697"/>
      <c r="G1" s="1697"/>
      <c r="H1" s="1697"/>
      <c r="I1" s="1697"/>
      <c r="J1" s="1697"/>
    </row>
    <row r="2" spans="1:10" ht="17.399999999999999">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3" customWidth="1"/>
    <col min="2" max="16384" width="14.44140625" style="1685"/>
  </cols>
  <sheetData>
    <row r="1" spans="1:7" s="1700" customFormat="1" ht="17.399999999999999">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4.4">
      <c r="A15" s="3130" t="s">
        <v>1634</v>
      </c>
      <c r="B15" s="3125" t="s">
        <v>136</v>
      </c>
      <c r="C15" s="3126"/>
    </row>
    <row r="16" spans="1:7" ht="14.4">
      <c r="A16" s="3131"/>
      <c r="B16" s="3125" t="s">
        <v>69</v>
      </c>
      <c r="C16" s="3126"/>
    </row>
    <row r="17" spans="1:3" ht="14.4">
      <c r="A17" s="3131"/>
      <c r="B17" s="3128" t="s">
        <v>1635</v>
      </c>
      <c r="C17" s="1710" t="s">
        <v>1634</v>
      </c>
    </row>
    <row r="18" spans="1:3" ht="14.4">
      <c r="A18" s="3131"/>
      <c r="B18" s="3128"/>
      <c r="C18" s="1710" t="s">
        <v>1636</v>
      </c>
    </row>
    <row r="19" spans="1:3" ht="14.4">
      <c r="A19" s="3131"/>
      <c r="B19" s="3128"/>
      <c r="C19" s="1710" t="s">
        <v>1637</v>
      </c>
    </row>
    <row r="20" spans="1:3" ht="14.4">
      <c r="A20" s="3132"/>
      <c r="B20" s="3127" t="s">
        <v>1638</v>
      </c>
      <c r="C20" s="3126"/>
    </row>
    <row r="21" spans="1:3" ht="14.4">
      <c r="A21" s="1711" t="s">
        <v>1639</v>
      </c>
      <c r="B21" s="1712"/>
      <c r="C21" s="1713"/>
    </row>
    <row r="22" spans="1:3" ht="14.4">
      <c r="A22" s="3129" t="s">
        <v>1640</v>
      </c>
      <c r="B22" s="3127" t="s">
        <v>1641</v>
      </c>
      <c r="C22" s="3126"/>
    </row>
    <row r="23" spans="1:3" ht="14.4">
      <c r="A23" s="3129"/>
      <c r="B23" s="3127" t="s">
        <v>1642</v>
      </c>
      <c r="C23" s="3126"/>
    </row>
    <row r="24" spans="1:3" ht="14.4">
      <c r="A24" s="3129"/>
      <c r="B24" s="3127" t="s">
        <v>1643</v>
      </c>
      <c r="C24" s="3126"/>
    </row>
    <row r="25" spans="1:3" ht="14.4">
      <c r="A25" s="3129"/>
      <c r="B25" s="3128" t="s">
        <v>1644</v>
      </c>
      <c r="C25" s="1710" t="s">
        <v>1645</v>
      </c>
    </row>
    <row r="26" spans="1:3" ht="14.4">
      <c r="A26" s="3129"/>
      <c r="B26" s="3128"/>
      <c r="C26" s="1710" t="s">
        <v>1646</v>
      </c>
    </row>
    <row r="27" spans="1:3" ht="14.4">
      <c r="A27" s="3129"/>
      <c r="B27" s="3128"/>
      <c r="C27" s="1710" t="s">
        <v>1647</v>
      </c>
    </row>
    <row r="28" spans="1:3" ht="14.4">
      <c r="A28" s="3129"/>
      <c r="B28" s="3128"/>
      <c r="C28" s="1710" t="s">
        <v>1648</v>
      </c>
    </row>
    <row r="29" spans="1:3" ht="14.4">
      <c r="A29" s="3129"/>
      <c r="B29" s="3128"/>
      <c r="C29" s="1710" t="s">
        <v>1649</v>
      </c>
    </row>
    <row r="30" spans="1:3" ht="14.4">
      <c r="A30" s="3129"/>
      <c r="B30" s="3128"/>
      <c r="C30" s="1710" t="s">
        <v>1650</v>
      </c>
    </row>
    <row r="31" spans="1:3" ht="14.4">
      <c r="A31" s="3129"/>
      <c r="B31" s="3128"/>
      <c r="C31" s="1710" t="s">
        <v>1651</v>
      </c>
    </row>
    <row r="32" spans="1:3" ht="14.4">
      <c r="A32" s="3129"/>
      <c r="B32" s="3128"/>
      <c r="C32" s="1710" t="s">
        <v>1652</v>
      </c>
    </row>
    <row r="33" spans="1:3" ht="14.4">
      <c r="A33" s="3129"/>
      <c r="B33" s="3128"/>
      <c r="C33" s="1710" t="s">
        <v>1653</v>
      </c>
    </row>
    <row r="34" spans="1:3">
      <c r="A34" s="1714" t="s">
        <v>76</v>
      </c>
    </row>
    <row r="37" spans="1:3">
      <c r="A37" s="1714" t="s">
        <v>1654</v>
      </c>
    </row>
    <row r="38" spans="1:3" ht="14.4">
      <c r="A38" s="1715" t="s">
        <v>77</v>
      </c>
    </row>
    <row r="39" spans="1:3" ht="14.4">
      <c r="A39" s="1715" t="s">
        <v>78</v>
      </c>
    </row>
    <row r="40" spans="1:3" ht="14.4">
      <c r="A40" s="1715" t="s">
        <v>79</v>
      </c>
    </row>
    <row r="41" spans="1:3" ht="14.4">
      <c r="A41" s="1716" t="s">
        <v>80</v>
      </c>
    </row>
    <row r="42" spans="1:3" ht="14.4">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2" customWidth="1"/>
    <col min="2" max="2" width="38.6640625" style="2552" customWidth="1"/>
    <col min="3" max="3" width="26" style="2552" customWidth="1"/>
    <col min="4" max="4" width="35" style="2552" hidden="1" customWidth="1"/>
    <col min="5" max="5" width="30.109375" style="2552" customWidth="1"/>
    <col min="6" max="6" width="35.44140625" style="2552" customWidth="1"/>
    <col min="7" max="7" width="31" style="2552" customWidth="1"/>
    <col min="8" max="8" width="37.44140625" style="2552" hidden="1" customWidth="1"/>
    <col min="9" max="16384" width="22.6640625" style="2552"/>
  </cols>
  <sheetData>
    <row r="1" spans="1:8" ht="24" customHeight="1">
      <c r="A1" s="2551"/>
      <c r="B1" s="2551"/>
      <c r="C1" s="2551"/>
      <c r="D1" s="2551"/>
      <c r="E1" s="2551"/>
      <c r="F1" s="2551"/>
      <c r="G1" s="2551"/>
      <c r="H1" s="2551"/>
    </row>
    <row r="2" spans="1:8" ht="24" customHeight="1">
      <c r="A2" s="2553" t="s">
        <v>2873</v>
      </c>
      <c r="B2" s="2554">
        <f ca="1">TODAY()</f>
        <v>44399</v>
      </c>
      <c r="C2" s="2555" t="s">
        <v>2874</v>
      </c>
      <c r="D2" s="2555"/>
      <c r="E2" s="2555"/>
      <c r="F2" s="2551"/>
      <c r="G2" s="2551"/>
      <c r="H2" s="2551"/>
    </row>
    <row r="3" spans="1:8" ht="24" customHeight="1">
      <c r="A3" s="2556" t="s">
        <v>2875</v>
      </c>
      <c r="B3" s="2557" t="s">
        <v>2876</v>
      </c>
      <c r="C3" s="2557" t="s">
        <v>2877</v>
      </c>
      <c r="D3" s="2558" t="s">
        <v>2878</v>
      </c>
      <c r="E3" s="2559" t="s">
        <v>2879</v>
      </c>
      <c r="F3" s="1465" t="s">
        <v>2880</v>
      </c>
      <c r="G3" s="2557" t="s">
        <v>2877</v>
      </c>
      <c r="H3" s="2558" t="s">
        <v>2881</v>
      </c>
    </row>
    <row r="4" spans="1:8" ht="24" customHeight="1">
      <c r="A4" s="1465" t="s">
        <v>2882</v>
      </c>
      <c r="B4" s="1465">
        <f ca="1">IF(C4&lt;B2,"已过期",1119970066)</f>
        <v>1119970066</v>
      </c>
      <c r="C4" s="2560">
        <v>44876</v>
      </c>
      <c r="D4" s="2561" t="str">
        <f ca="1">A4&amp;"（注册号："&amp;B4&amp;"）"</f>
        <v>梁津（注册号：1119970066）</v>
      </c>
      <c r="E4" s="2562" t="s">
        <v>2882</v>
      </c>
      <c r="F4" s="1465">
        <f ca="1">IF(G4&lt;B2,"已过期",96010014)</f>
        <v>96010014</v>
      </c>
      <c r="G4" s="2563">
        <v>47118</v>
      </c>
      <c r="H4" s="2564" t="str">
        <f ca="1">E4&amp;"（注册号："&amp;F4&amp;"）"</f>
        <v>梁津（注册号：96010014）</v>
      </c>
    </row>
    <row r="5" spans="1:8" ht="24" customHeight="1">
      <c r="A5" s="1465" t="s">
        <v>2883</v>
      </c>
      <c r="B5" s="1465">
        <f ca="1">IF(C5&lt;B2,"已过期",1119970111)</f>
        <v>1119970111</v>
      </c>
      <c r="C5" s="2560">
        <v>44876</v>
      </c>
      <c r="D5" s="2561" t="str">
        <f t="shared" ref="D5:D15" ca="1" si="0">A5&amp;"（注册号："&amp;B5&amp;"）"</f>
        <v>叶凌（注册号：1119970111）</v>
      </c>
      <c r="E5" s="2562" t="s">
        <v>2883</v>
      </c>
      <c r="F5" s="1465">
        <f ca="1">IF(G5&lt;B2,"已过期",94010078)</f>
        <v>94010078</v>
      </c>
      <c r="G5" s="2563">
        <v>46387</v>
      </c>
      <c r="H5" s="2564" t="str">
        <f t="shared" ref="H5:H16" ca="1" si="1">E5&amp;"（注册号："&amp;F5&amp;"）"</f>
        <v>叶凌（注册号：94010078）</v>
      </c>
    </row>
    <row r="6" spans="1:8" ht="24" customHeight="1">
      <c r="A6" s="1465" t="s">
        <v>2884</v>
      </c>
      <c r="B6" s="1465" t="str">
        <f ca="1">IF(C6&lt;B2,"已过期",1120050019)</f>
        <v>已过期</v>
      </c>
      <c r="C6" s="2560">
        <v>44395</v>
      </c>
      <c r="D6" s="2561" t="str">
        <f t="shared" ca="1" si="0"/>
        <v>王鹏（注册号：已过期）</v>
      </c>
      <c r="E6" s="2562" t="s">
        <v>2884</v>
      </c>
      <c r="F6" s="1465">
        <f ca="1">IF(G6&lt;B2,"已过期",2002110030)</f>
        <v>2002110030</v>
      </c>
      <c r="G6" s="2563">
        <v>46387</v>
      </c>
      <c r="H6" s="2564" t="str">
        <f t="shared" ca="1" si="1"/>
        <v>王鹏（注册号：2002110030）</v>
      </c>
    </row>
    <row r="7" spans="1:8" ht="24" customHeight="1">
      <c r="A7" s="1465" t="s">
        <v>2885</v>
      </c>
      <c r="B7" s="1465">
        <f ca="1">IF(C7&lt;B2,"已过期",1120000080)</f>
        <v>1120000080</v>
      </c>
      <c r="C7" s="2560">
        <v>44876</v>
      </c>
      <c r="D7" s="2561" t="str">
        <f t="shared" ca="1" si="0"/>
        <v>欧红伟（注册号：1120000080）</v>
      </c>
      <c r="E7" s="2562" t="s">
        <v>2885</v>
      </c>
      <c r="F7" s="1465">
        <f ca="1">IF(G7&lt;B2,"已过期",2000110082)</f>
        <v>2000110082</v>
      </c>
      <c r="G7" s="2563">
        <v>46387</v>
      </c>
      <c r="H7" s="2564" t="str">
        <f t="shared" ca="1" si="1"/>
        <v>欧红伟（注册号：2000110082）</v>
      </c>
    </row>
    <row r="8" spans="1:8" ht="24" customHeight="1">
      <c r="A8" s="1465" t="s">
        <v>2886</v>
      </c>
      <c r="B8" s="1465">
        <f ca="1">IF(C8&lt;B2,"已过期",1419970001)</f>
        <v>1419970001</v>
      </c>
      <c r="C8" s="2560">
        <v>44899</v>
      </c>
      <c r="D8" s="2561" t="str">
        <f t="shared" ca="1" si="0"/>
        <v>吴薇（注册号：1419970001）</v>
      </c>
      <c r="E8" s="2562" t="s">
        <v>2886</v>
      </c>
      <c r="F8" s="1465">
        <f ca="1">IF(G8&lt;B2,"已过期",2002110125)</f>
        <v>2002110125</v>
      </c>
      <c r="G8" s="2563">
        <v>47118</v>
      </c>
      <c r="H8" s="2564" t="str">
        <f t="shared" ca="1" si="1"/>
        <v>吴薇（注册号：2002110125）</v>
      </c>
    </row>
    <row r="9" spans="1:8" ht="24" customHeight="1">
      <c r="A9" s="1465" t="s">
        <v>2887</v>
      </c>
      <c r="B9" s="1465">
        <f ca="1">IF(C9&lt;B2,"已过期",1120060040)</f>
        <v>1120060040</v>
      </c>
      <c r="C9" s="2565">
        <v>44554</v>
      </c>
      <c r="D9" s="2561" t="str">
        <f t="shared" ca="1" si="0"/>
        <v>陈颖（注册号：1120060040）</v>
      </c>
      <c r="E9" s="2562" t="s">
        <v>2887</v>
      </c>
      <c r="F9" s="1465">
        <f ca="1">IF(G9&lt;B2,"已过期",2004110096)</f>
        <v>2004110096</v>
      </c>
      <c r="G9" s="2563">
        <v>47118</v>
      </c>
      <c r="H9" s="2564" t="str">
        <f t="shared" ca="1" si="1"/>
        <v>陈颖（注册号：2004110096）</v>
      </c>
    </row>
    <row r="10" spans="1:8" ht="24" customHeight="1">
      <c r="A10" s="1465" t="s">
        <v>2888</v>
      </c>
      <c r="B10" s="1465">
        <f ca="1">IF(C10&lt;B2,"已过期",1120100036)</f>
        <v>1120100036</v>
      </c>
      <c r="C10" s="2565">
        <v>44675</v>
      </c>
      <c r="D10" s="2561" t="str">
        <f t="shared" ca="1" si="0"/>
        <v>崔锴（注册号：1120100036）</v>
      </c>
      <c r="E10" s="2562" t="s">
        <v>2888</v>
      </c>
      <c r="F10" s="1465">
        <f ca="1">IF(G10&lt;B2,"已过期",2010110070)</f>
        <v>2010110070</v>
      </c>
      <c r="G10" s="2563">
        <v>47907</v>
      </c>
      <c r="H10" s="2564" t="str">
        <f t="shared" ca="1" si="1"/>
        <v>崔锴（注册号：2010110070）</v>
      </c>
    </row>
    <row r="11" spans="1:8" ht="24" customHeight="1">
      <c r="A11" s="1465" t="s">
        <v>2889</v>
      </c>
      <c r="B11" s="1465">
        <f ca="1">IF(C11&lt;B2,"已过期",1120070131)</f>
        <v>1120070131</v>
      </c>
      <c r="C11" s="2560">
        <v>44849</v>
      </c>
      <c r="D11" s="2561" t="str">
        <f t="shared" ca="1" si="0"/>
        <v>郑燚（注册号：1120070131）</v>
      </c>
      <c r="E11" s="2562" t="s">
        <v>2889</v>
      </c>
      <c r="F11" s="1465">
        <f ca="1">IF(G11&lt;B2,"已过期",2014110011)</f>
        <v>2014110011</v>
      </c>
      <c r="G11" s="2563">
        <v>49302</v>
      </c>
      <c r="H11" s="2564" t="str">
        <f t="shared" ca="1" si="1"/>
        <v>郑燚（注册号：2014110011）</v>
      </c>
    </row>
    <row r="12" spans="1:8" ht="24" customHeight="1">
      <c r="A12" s="1465" t="s">
        <v>2890</v>
      </c>
      <c r="B12" s="1465">
        <f ca="1">IF(C12&lt;B2,"已过期",1120040230)</f>
        <v>1120040230</v>
      </c>
      <c r="C12" s="2565">
        <v>44864</v>
      </c>
      <c r="D12" s="2561" t="str">
        <f t="shared" ca="1" si="0"/>
        <v>苏海（注册号：1120040230）</v>
      </c>
      <c r="E12" s="2562" t="s">
        <v>2890</v>
      </c>
      <c r="F12" s="1465">
        <f ca="1">IF(G12&lt;B2,"已过期",98030020)</f>
        <v>98030020</v>
      </c>
      <c r="G12" s="2563">
        <v>47118</v>
      </c>
      <c r="H12" s="2564" t="str">
        <f t="shared" ca="1" si="1"/>
        <v>苏海（注册号：98030020）</v>
      </c>
    </row>
    <row r="13" spans="1:8" ht="24" customHeight="1">
      <c r="A13" s="1465" t="s">
        <v>2891</v>
      </c>
      <c r="B13" s="1465" t="str">
        <f ca="1">IF(C13&lt;B2,"已过期",1120020033)</f>
        <v>已过期</v>
      </c>
      <c r="C13" s="2560">
        <v>44339</v>
      </c>
      <c r="D13" s="2561" t="str">
        <f t="shared" ca="1" si="0"/>
        <v>刘敬东（注册号：已过期）</v>
      </c>
      <c r="E13" s="2562" t="s">
        <v>2891</v>
      </c>
      <c r="F13" s="1465">
        <f ca="1">IF(G13&lt;B2,"已过期",2000110137)</f>
        <v>2000110137</v>
      </c>
      <c r="G13" s="2563">
        <v>46387</v>
      </c>
      <c r="H13" s="2564" t="str">
        <f t="shared" ca="1" si="1"/>
        <v>刘敬东（注册号：2000110137）</v>
      </c>
    </row>
    <row r="14" spans="1:8" ht="24" customHeight="1">
      <c r="A14" s="1465" t="s">
        <v>2892</v>
      </c>
      <c r="B14" s="1465">
        <f ca="1">IF(C14&lt;B2,"已过期",1119980106)</f>
        <v>1119980106</v>
      </c>
      <c r="C14" s="2565">
        <v>44969</v>
      </c>
      <c r="D14" s="2561" t="str">
        <f t="shared" ca="1" si="0"/>
        <v>刘俊财（注册号：1119980106）</v>
      </c>
      <c r="E14" s="2562" t="s">
        <v>2892</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2893</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33" t="s">
        <v>2894</v>
      </c>
      <c r="B17" s="3133"/>
      <c r="C17" s="3133"/>
      <c r="D17" s="3133"/>
      <c r="E17" s="3133"/>
      <c r="F17" s="3133"/>
      <c r="G17" s="3133"/>
      <c r="H17" s="3133"/>
    </row>
    <row r="18" spans="1:8" ht="24" customHeight="1">
      <c r="A18" s="3134" t="s">
        <v>2895</v>
      </c>
      <c r="B18" s="3134"/>
      <c r="C18" s="3134"/>
      <c r="D18" s="2558"/>
      <c r="E18" s="3135" t="s">
        <v>2896</v>
      </c>
      <c r="F18" s="3134"/>
      <c r="G18" s="3134"/>
    </row>
    <row r="19" spans="1:8" s="2569" customFormat="1" ht="24" customHeight="1">
      <c r="A19" s="2568" t="s">
        <v>2897</v>
      </c>
      <c r="B19" s="2557" t="s">
        <v>2898</v>
      </c>
      <c r="C19" s="2557" t="s">
        <v>2877</v>
      </c>
      <c r="D19" s="2558"/>
      <c r="E19" s="2562" t="s">
        <v>2897</v>
      </c>
      <c r="F19" s="2557" t="s">
        <v>2898</v>
      </c>
      <c r="G19" s="2557" t="s">
        <v>2877</v>
      </c>
    </row>
    <row r="20" spans="1:8" s="2569" customFormat="1" ht="24" customHeight="1">
      <c r="A20" s="2570" t="s">
        <v>2899</v>
      </c>
      <c r="B20" s="2570" t="s">
        <v>2900</v>
      </c>
      <c r="C20" s="2563">
        <v>44820</v>
      </c>
      <c r="D20" s="2571"/>
      <c r="E20" s="2572" t="s">
        <v>2901</v>
      </c>
      <c r="F20" s="2570" t="s">
        <v>2902</v>
      </c>
      <c r="G20" s="2573">
        <v>44377</v>
      </c>
    </row>
    <row r="21" spans="1:8" s="2569" customFormat="1" ht="24" customHeight="1">
      <c r="A21" s="2570"/>
      <c r="B21" s="2570"/>
      <c r="C21" s="2574"/>
      <c r="D21" s="2575"/>
      <c r="E21" s="2572" t="s">
        <v>2903</v>
      </c>
      <c r="F21" s="2576" t="s">
        <v>2904</v>
      </c>
      <c r="G21" s="2577">
        <v>44012</v>
      </c>
    </row>
    <row r="22" spans="1:8" ht="24" customHeight="1">
      <c r="C22" s="2578"/>
      <c r="D22" s="2578"/>
      <c r="E22" s="2579"/>
      <c r="F22" s="2580"/>
      <c r="G22" s="2581"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收益法-自持酒店</vt:lpstr>
      <vt:lpstr>收益法-自持商业</vt:lpstr>
      <vt:lpstr>收益法-可售商业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'收益法-可售商业'!Print_Area</vt:lpstr>
      <vt:lpstr>'收益法-自持酒店'!Print_Area</vt:lpstr>
      <vt:lpstr>'收益法-自持商业'!Print_Area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2021-07-22T08:54:38Z</dcterms:modified>
</cp:coreProperties>
</file>