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成本法" sheetId="11" state="hidden"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3" i="61"/>
  <c r="D3" i="61"/>
  <c r="D4" i="61"/>
  <c r="F4" i="61"/>
  <c r="D5" i="61"/>
  <c r="F6" i="61"/>
  <c r="F5" i="61"/>
  <c r="D6"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37" i="11"/>
  <c r="M29" i="15"/>
  <c r="P51" i="15"/>
  <c r="G1" i="61"/>
  <c r="F34" i="21" l="1"/>
  <c r="S34" i="21" s="1"/>
  <c r="C21" i="11"/>
  <c r="D93" i="9"/>
  <c r="H39" i="21"/>
  <c r="U39" i="21" s="1"/>
  <c r="G103" i="43"/>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G26" i="47"/>
  <c r="F70" i="43"/>
  <c r="C6" i="43"/>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72" i="43" l="1"/>
  <c r="H74" i="43"/>
  <c r="H73" i="43"/>
  <c r="H77" i="43"/>
  <c r="H75" i="43"/>
  <c r="H76" i="43"/>
  <c r="H78" i="43"/>
  <c r="H70" i="43"/>
  <c r="H71" i="43"/>
  <c r="H51" i="43"/>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E81" i="43" s="1"/>
  <c r="B79" i="43" s="1"/>
  <c r="C24"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21"/>
  <c r="C20" i="57"/>
  <c r="E2" i="37"/>
  <c r="C19" i="57"/>
  <c r="E2" i="34"/>
  <c r="E2" i="36"/>
  <c r="E2" i="11"/>
  <c r="E2" i="33"/>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20" i="9"/>
  <c r="C19" i="9"/>
  <c r="D20" i="9"/>
  <c r="D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<sst xmlns="http://schemas.openxmlformats.org/spreadsheetml/2006/main" count="6950" uniqueCount="2944">
  <si>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</si>
  <si>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</si>
  <si>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</si>
  <si>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</si>
  <si>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</si>
  <si>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</si>
  <si>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</si>
  <si>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</si>
  <si>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</si>
  <si>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</si>
  <si>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</si>
  <si>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</si>
  <si>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</si>
  <si>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</si>
  <si>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</si>
  <si>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</si>
  <si>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</si>
  <si>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</si>
  <si>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</si>
  <si>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</si>
  <si>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</si>
  <si>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</si>
  <si>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</si>
  <si>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</si>
  <si>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</si>
  <si>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</si>
  <si>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</si>
  <si>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</si>
  <si>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</si>
  <si>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</si>
  <si>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</si>
  <si>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</si>
  <si>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</si>
  <si>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</si>
  <si>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</si>
  <si>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</si>
  <si>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</si>
  <si>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</si>
  <si>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</si>
  <si>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</si>
  <si>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</si>
  <si>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</si>
  <si>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</si>
  <si>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</si>
  <si>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</si>
  <si>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</si>
  <si>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</si>
  <si>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</si>
  <si>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</si>
  <si>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</si>
  <si>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</si>
  <si>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</si>
  <si>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</si>
  <si>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</si>
  <si>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</si>
  <si>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</si>
  <si>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</si>
  <si>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</si>
  <si>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</si>
  <si>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</si>
  <si>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</si>
  <si>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</si>
  <si>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</si>
  <si>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</si>
  <si>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</si>
  <si>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</si>
  <si>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</si>
  <si>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</si>
  <si>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</si>
  <si>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</si>
  <si>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</si>
  <si>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</si>
  <si>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</si>
  <si>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</si>
  <si>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</si>
  <si>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</si>
  <si>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</si>
  <si>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</si>
  <si>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</si>
  <si>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</si>
  <si>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</si>
  <si>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</si>
  <si>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</si>
  <si>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</si>
  <si>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</si>
  <si>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</si>
  <si>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</si>
  <si>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</si>
  <si>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</si>
  <si>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</si>
  <si>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</si>
  <si>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</si>
  <si>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</si>
  <si>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</si>
  <si>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</si>
  <si>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</si>
  <si>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</si>
  <si>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</si>
  <si>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</si>
  <si>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</si>
  <si>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</si>
  <si>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</si>
  <si>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</si>
  <si>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</si>
  <si>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</si>
  <si>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</si>
  <si>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</si>
  <si>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</si>
  <si>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</si>
  <si>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</si>
  <si>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</si>
  <si>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</si>
  <si>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</si>
  <si>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</si>
  <si>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</si>
  <si>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</si>
  <si>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</si>
  <si>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</si>
  <si>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</si>
  <si>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</si>
  <si>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</si>
  <si>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</si>
  <si>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</si>
  <si>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</si>
  <si>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</si>
  <si>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</si>
  <si>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</si>
  <si>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</si>
  <si>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</si>
  <si>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</si>
  <si>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</si>
  <si>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</si>
  <si>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</si>
  <si>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</si>
  <si>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</si>
  <si>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</si>
  <si>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</si>
  <si>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</si>
  <si>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</si>
  <si>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</si>
  <si>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</si>
  <si>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</si>
  <si>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</si>
  <si>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</si>
  <si>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</si>
  <si>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</si>
  <si>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</si>
  <si>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</si>
  <si>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</si>
  <si>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</si>
  <si>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</si>
  <si>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</si>
  <si>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</si>
  <si>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</si>
  <si>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</si>
  <si>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</si>
  <si>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</si>
  <si>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</si>
  <si>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</si>
  <si>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</si>
  <si>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</si>
  <si>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</si>
  <si>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</si>
  <si>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</si>
  <si>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</si>
  <si>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</si>
  <si>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</si>
  <si>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</si>
  <si>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</si>
  <si>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</si>
  <si>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</si>
  <si>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</si>
  <si>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</si>
  <si>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</si>
  <si>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</si>
  <si>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</si>
  <si>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</si>
  <si>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</si>
  <si>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</si>
  <si>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</si>
  <si>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</si>
  <si>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</si>
  <si>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</si>
  <si>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</si>
  <si>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</si>
  <si>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</si>
  <si>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</si>
  <si>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</si>
  <si>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</si>
  <si>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</si>
  <si>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</si>
  <si>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</si>
  <si>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</si>
  <si>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</si>
  <si>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</si>
  <si>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</si>
  <si>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</si>
  <si>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</si>
  <si>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</si>
  <si>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</si>
  <si>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</si>
  <si>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</si>
  <si>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</si>
  <si>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</si>
  <si>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</si>
  <si>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</si>
  <si>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</si>
  <si>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</si>
  <si>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</si>
  <si>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</si>
  <si>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</si>
  <si>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</si>
  <si>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</si>
  <si>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</si>
  <si>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</si>
  <si>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</si>
  <si>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</si>
  <si>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</si>
  <si>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</si>
  <si>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</si>
  <si>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</si>
  <si>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</si>
  <si>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</si>
  <si>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</si>
  <si>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</si>
  <si>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</si>
  <si>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</si>
  <si>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</si>
  <si>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</si>
  <si>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</si>
  <si>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</si>
  <si>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</si>
  <si>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</si>
  <si>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</si>
  <si>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</si>
  <si>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</si>
  <si>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</si>
  <si>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</si>
  <si>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</si>
  <si>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</si>
  <si>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</si>
  <si>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</si>
  <si>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</si>
  <si>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</si>
  <si>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</si>
  <si>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</si>
  <si>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</si>
  <si>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</si>
  <si>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</si>
  <si>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</si>
  <si>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</si>
  <si>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</si>
  <si>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</si>
  <si>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</si>
  <si>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</si>
  <si>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</si>
  <si>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</si>
  <si>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</si>
  <si>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</si>
  <si>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</si>
  <si>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</si>
  <si>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</si>
  <si>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</si>
  <si>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</si>
  <si>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</si>
  <si>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</si>
  <si>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</si>
  <si>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</si>
  <si>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</si>
  <si>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</si>
  <si>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</si>
  <si>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</si>
  <si>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</si>
  <si>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</si>
  <si>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</si>
  <si>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</si>
  <si>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</si>
  <si>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</si>
  <si>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</si>
  <si>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</si>
  <si>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</si>
  <si>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</si>
  <si>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</si>
  <si>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</si>
  <si>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</si>
  <si>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</si>
  <si>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</si>
  <si>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</si>
  <si>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</si>
  <si>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</si>
  <si>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</si>
  <si>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</si>
  <si>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</si>
  <si>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</si>
  <si>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</si>
  <si>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</si>
  <si>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</si>
  <si>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</si>
  <si>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</si>
  <si>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</si>
  <si>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</si>
  <si>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</si>
  <si>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</si>
  <si>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</si>
  <si>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</si>
  <si>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</si>
  <si>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</si>
  <si>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</si>
  <si>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</si>
  <si>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</si>
  <si>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</si>
  <si>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</si>
  <si>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</si>
  <si>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</si>
  <si>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</si>
  <si>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</si>
  <si>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</si>
  <si>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</si>
  <si>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</si>
  <si>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</si>
  <si>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</si>
  <si>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</si>
  <si>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</si>
  <si>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</si>
  <si>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</si>
  <si>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</si>
  <si>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</si>
  <si>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</si>
  <si>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</si>
  <si>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</si>
  <si>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</si>
  <si>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</si>
  <si>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</si>
  <si>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</si>
  <si>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</si>
  <si>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</si>
  <si>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</si>
  <si>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</si>
  <si>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</si>
  <si>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</si>
  <si>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</si>
  <si>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</si>
  <si>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</si>
  <si>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</si>
  <si>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</si>
  <si>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</si>
  <si>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</si>
  <si>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</si>
  <si>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</si>
  <si>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</si>
  <si>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</si>
  <si>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</si>
  <si>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</si>
  <si>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</si>
  <si>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</si>
  <si>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</si>
  <si>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</si>
  <si>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</si>
  <si>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</si>
  <si>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</si>
  <si>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</si>
  <si>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</si>
  <si>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</si>
  <si>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</si>
  <si>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</si>
  <si>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</si>
  <si>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</si>
  <si>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</si>
  <si>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</si>
  <si>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</si>
  <si>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</si>
  <si>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</si>
  <si>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</si>
  <si>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</si>
  <si>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</si>
  <si>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</si>
  <si>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</si>
  <si>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</si>
  <si>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</si>
  <si>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</si>
  <si>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</si>
  <si>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</si>
  <si>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</si>
  <si>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</si>
  <si>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</si>
  <si>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</si>
  <si>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</si>
  <si>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</si>
  <si>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</si>
  <si>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</si>
  <si>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</si>
  <si>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</si>
  <si>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</si>
  <si>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</si>
  <si>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</si>
  <si>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</si>
  <si>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</si>
  <si>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</si>
  <si>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</si>
  <si>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</si>
  <si>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</si>
  <si>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</si>
  <si>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</si>
  <si>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</si>
  <si>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</si>
  <si>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</si>
  <si>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</si>
  <si>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</si>
  <si>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</si>
  <si>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</si>
  <si>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</si>
  <si>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</si>
  <si>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</si>
  <si>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</si>
  <si>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</si>
  <si>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</si>
  <si>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</si>
  <si>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</si>
  <si>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</si>
  <si>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</si>
  <si>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</si>
  <si>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</si>
  <si>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</si>
  <si>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</si>
  <si>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</si>
  <si>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</si>
  <si>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</si>
  <si>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</si>
  <si>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</si>
  <si>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</si>
  <si>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</si>
  <si>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</si>
  <si>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</si>
  <si>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</si>
  <si>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</si>
  <si>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</si>
  <si>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</si>
  <si>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</si>
  <si>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</si>
  <si>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</si>
  <si>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</si>
  <si>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</si>
  <si>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</si>
  <si>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</si>
  <si>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</si>
  <si>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</si>
  <si>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</si>
  <si>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</si>
  <si>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</si>
  <si>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</si>
  <si>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</si>
  <si>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</si>
  <si>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</si>
  <si>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</si>
  <si>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</si>
  <si>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</si>
  <si>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</si>
  <si>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</si>
  <si>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</si>
  <si>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</si>
  <si>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</si>
  <si>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</si>
  <si>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</si>
  <si>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</si>
  <si>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</si>
  <si>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</si>
  <si>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</si>
  <si>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</si>
  <si>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</si>
  <si>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</si>
  <si>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</si>
  <si>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</si>
  <si>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</si>
  <si>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</si>
  <si>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</si>
  <si>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</si>
  <si>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</si>
  <si>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</si>
  <si>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</si>
  <si>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</si>
  <si>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</si>
  <si>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</si>
  <si>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</si>
  <si>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</si>
  <si>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</si>
  <si>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</si>
  <si>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</si>
  <si>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</si>
  <si>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</si>
  <si>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</si>
  <si>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</si>
  <si>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</si>
  <si>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</si>
  <si>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</si>
  <si>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</si>
  <si>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</si>
  <si>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</si>
  <si>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</si>
  <si>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</si>
  <si>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</si>
  <si>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</si>
  <si>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</si>
  <si>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</si>
  <si>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</si>
  <si>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</si>
  <si>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</si>
  <si>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</si>
  <si>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</si>
  <si>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</si>
  <si>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</si>
  <si>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</si>
  <si>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</si>
  <si>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</si>
  <si>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</si>
  <si>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</si>
  <si>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</si>
  <si>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</si>
  <si>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</si>
  <si>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</si>
  <si>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</si>
  <si>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</si>
  <si>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</si>
  <si>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</si>
  <si>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</si>
  <si>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</si>
  <si>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</si>
  <si>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</si>
  <si>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</si>
  <si>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</si>
  <si>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</si>
  <si>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</si>
  <si>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</si>
  <si>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</si>
  <si>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</si>
  <si>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</si>
  <si>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</si>
  <si>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</si>
  <si>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</si>
  <si>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</si>
  <si>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</si>
  <si>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</si>
  <si>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</si>
  <si>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</si>
  <si>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</si>
  <si>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</si>
  <si>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</si>
  <si>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</si>
  <si>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</si>
  <si>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</si>
  <si>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</si>
  <si>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</si>
  <si>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</si>
  <si>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</si>
  <si>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</si>
  <si>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</si>
  <si>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</si>
  <si>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</si>
  <si>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</si>
  <si>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</si>
  <si>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</si>
  <si>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</si>
  <si>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</si>
  <si>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</si>
  <si>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</si>
  <si>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</si>
  <si>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</si>
  <si>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</si>
  <si>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</si>
  <si>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</si>
  <si>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</si>
  <si>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</si>
  <si>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</si>
  <si>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</si>
  <si>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</si>
  <si>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</si>
  <si>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</si>
  <si>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</si>
  <si>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</si>
  <si>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</si>
  <si>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</si>
  <si>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</si>
  <si>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</si>
  <si>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</si>
  <si>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</si>
  <si>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</si>
  <si>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</si>
  <si>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</si>
  <si>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</si>
  <si>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</si>
  <si>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</si>
  <si>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</si>
  <si>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</si>
  <si>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</si>
  <si>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</si>
  <si>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</si>
  <si>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</si>
  <si>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</si>
  <si>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</si>
  <si>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</si>
  <si>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</si>
  <si>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</si>
  <si>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</si>
  <si>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</si>
  <si>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</si>
  <si>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</si>
  <si>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</si>
  <si>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</si>
  <si>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</si>
  <si>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</si>
  <si>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</si>
  <si>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</si>
  <si>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</si>
  <si>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</si>
  <si>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</si>
  <si>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</si>
  <si>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</si>
  <si>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</si>
  <si>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</si>
  <si>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</si>
  <si>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</si>
  <si>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</si>
  <si>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</si>
  <si>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</si>
  <si>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</si>
  <si>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</si>
  <si>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</si>
  <si>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</si>
  <si>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</si>
  <si>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</si>
  <si>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</si>
  <si>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</si>
  <si>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</si>
  <si>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</si>
  <si>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</si>
  <si>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</si>
  <si>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</si>
  <si>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</si>
  <si>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</si>
  <si>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</si>
  <si>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</si>
  <si>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</si>
  <si>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</si>
  <si>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</si>
  <si>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</si>
  <si>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</si>
  <si>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</si>
  <si>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</si>
  <si>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</si>
  <si>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</si>
  <si>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</si>
  <si>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</si>
  <si>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</si>
  <si>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</si>
  <si>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</si>
  <si>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</si>
  <si>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</si>
  <si>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</si>
  <si>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</si>
  <si>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</si>
  <si>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</si>
  <si>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</si>
  <si>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</si>
  <si>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</si>
  <si>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</si>
  <si>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</si>
  <si>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</si>
  <si>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</si>
  <si>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</si>
  <si>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</si>
  <si>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</si>
  <si>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</si>
  <si>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</si>
  <si>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</si>
  <si>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</si>
  <si>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</si>
  <si>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</si>
  <si>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</si>
  <si>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</si>
  <si>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</si>
  <si>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</si>
  <si>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</si>
  <si>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</si>
  <si>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</si>
  <si>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</si>
  <si>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</si>
  <si>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</si>
  <si>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</si>
  <si>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</si>
  <si>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</si>
  <si>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</si>
  <si>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</si>
  <si>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</si>
  <si>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</si>
  <si>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</si>
  <si>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</si>
  <si>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</si>
  <si>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</si>
  <si>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</si>
  <si>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</si>
  <si>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</si>
  <si>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</si>
  <si>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</si>
  <si>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</si>
  <si>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</si>
  <si>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</si>
  <si>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</si>
  <si>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</si>
  <si>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</si>
  <si>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</si>
  <si>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</si>
  <si>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</si>
  <si>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</si>
  <si>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</si>
  <si>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</si>
  <si>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</si>
  <si>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</si>
  <si>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</si>
  <si>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</si>
  <si>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</si>
  <si>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</si>
  <si>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</si>
  <si>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</si>
  <si>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</si>
  <si>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</si>
  <si>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</si>
  <si>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</si>
  <si>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</si>
  <si>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</si>
  <si>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</si>
  <si>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</si>
  <si>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</si>
  <si>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</si>
  <si>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</si>
  <si>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</si>
  <si>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</si>
  <si>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</si>
  <si>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</si>
  <si>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</si>
  <si>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</si>
  <si>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</si>
  <si>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</si>
  <si>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</si>
  <si>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</si>
  <si>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</si>
  <si>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</si>
  <si>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</si>
  <si>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</si>
  <si>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</si>
  <si>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</si>
  <si>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</si>
  <si>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</si>
  <si>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</si>
  <si>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</si>
  <si>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</si>
  <si>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</si>
  <si>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</si>
  <si>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</si>
  <si>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</si>
  <si>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</si>
  <si>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</si>
  <si>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</si>
  <si>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</si>
  <si>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</si>
  <si>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</si>
  <si>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</si>
  <si>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</si>
  <si>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</si>
  <si>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</si>
  <si>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</si>
  <si>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</si>
  <si>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</si>
  <si>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</si>
  <si>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</si>
  <si>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</si>
  <si>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</si>
  <si>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</si>
  <si>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</si>
  <si>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</si>
  <si>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</si>
  <si>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</si>
  <si>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</si>
  <si>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</si>
  <si>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</si>
  <si>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</si>
  <si>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</si>
  <si>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</si>
  <si>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</si>
  <si>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</si>
  <si>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</si>
  <si>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</si>
  <si>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</si>
  <si>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</si>
  <si>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</si>
  <si>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</si>
  <si>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</si>
  <si>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</si>
  <si>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</si>
  <si>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</si>
  <si>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</si>
  <si>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</si>
  <si>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</si>
  <si>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</si>
  <si>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</si>
  <si>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</si>
  <si>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</si>
  <si>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</si>
  <si>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</si>
  <si>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</si>
  <si>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</si>
  <si>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</si>
  <si>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</si>
  <si>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</si>
  <si>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</si>
  <si>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</si>
  <si>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</si>
  <si>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</si>
  <si>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</si>
  <si>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</si>
  <si>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</si>
  <si>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</si>
  <si>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</si>
  <si>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</si>
  <si>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</si>
  <si>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</si>
  <si>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</si>
  <si>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</si>
  <si>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</si>
  <si>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</si>
  <si>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</si>
  <si>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</si>
  <si>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</si>
  <si>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</si>
  <si>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</si>
  <si>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</si>
  <si>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</si>
  <si>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</si>
  <si>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</si>
  <si>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</si>
  <si>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</si>
  <si>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</si>
  <si>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</si>
  <si>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</si>
  <si>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</si>
  <si>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</si>
  <si>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</si>
  <si>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</si>
  <si>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</si>
  <si>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</si>
  <si>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</si>
  <si>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</si>
  <si>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</si>
  <si>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</si>
  <si>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</si>
  <si>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</si>
  <si>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</si>
  <si>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</si>
  <si>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</si>
  <si>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</si>
  <si>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</si>
  <si>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</si>
  <si>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</si>
  <si>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</si>
  <si>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</si>
  <si>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</si>
  <si>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</si>
  <si>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</si>
  <si>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</si>
  <si>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</si>
  <si>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</si>
  <si>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</si>
  <si>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</si>
  <si>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</si>
  <si>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</si>
  <si>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</si>
  <si>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</si>
  <si>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</si>
  <si>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</si>
  <si>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</si>
  <si>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</si>
  <si>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</si>
  <si>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</si>
  <si>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</si>
  <si>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</si>
  <si>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</si>
  <si>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</si>
  <si>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</si>
  <si>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</si>
  <si>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</si>
  <si>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</si>
  <si>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</si>
  <si>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</si>
  <si>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</si>
  <si>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</si>
  <si>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</si>
  <si>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</si>
  <si>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</si>
  <si>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</si>
  <si>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</si>
  <si>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</si>
  <si>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</si>
  <si>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</si>
  <si>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</si>
  <si>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</si>
  <si>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</si>
  <si>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</si>
  <si>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</si>
  <si>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</si>
  <si>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</si>
  <si>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</si>
  <si>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</si>
  <si>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</si>
  <si>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</si>
  <si>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</si>
  <si>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</si>
  <si>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</si>
  <si>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</si>
  <si>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</si>
  <si>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</si>
  <si>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</si>
  <si>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</si>
  <si>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</si>
  <si>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</si>
  <si>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</si>
  <si>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</si>
  <si>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</si>
  <si>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</si>
  <si>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</si>
  <si>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</si>
  <si>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</si>
  <si>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</si>
  <si>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</si>
  <si>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</si>
  <si>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</si>
  <si>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</si>
  <si>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</si>
  <si>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</si>
  <si>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</si>
  <si>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</si>
  <si>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</si>
  <si>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</si>
  <si>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</si>
  <si>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</si>
  <si>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</si>
  <si>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</si>
  <si>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</si>
  <si>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</si>
  <si>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</si>
  <si>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</si>
  <si>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</si>
  <si>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</si>
  <si>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</si>
  <si>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</si>
  <si>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</si>
  <si>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</si>
  <si>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</si>
  <si>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</si>
  <si>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</si>
  <si>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</si>
  <si>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</si>
  <si>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</si>
  <si>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</si>
  <si>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</si>
  <si>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</si>
  <si>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</si>
  <si>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</si>
  <si>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</si>
  <si>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</si>
  <si>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</si>
  <si>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</si>
  <si>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</si>
  <si>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</si>
  <si>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</si>
  <si>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</si>
  <si>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</si>
  <si>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</si>
  <si>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</si>
  <si>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</si>
  <si>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</si>
  <si>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</si>
  <si>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</si>
  <si>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</si>
  <si>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</si>
  <si>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</si>
  <si>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</si>
  <si>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</si>
  <si>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</si>
  <si>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</si>
  <si>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</si>
  <si>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</si>
  <si>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</si>
  <si>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</si>
  <si>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</si>
  <si>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</si>
  <si>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</si>
  <si>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</si>
  <si>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</si>
  <si>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</si>
  <si>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</si>
  <si>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</si>
  <si>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</si>
  <si>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</si>
  <si>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</si>
  <si>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</si>
  <si>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</si>
  <si>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</si>
  <si>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</si>
  <si>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</si>
  <si>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</si>
  <si>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</si>
  <si>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</si>
  <si>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</si>
  <si>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</si>
  <si>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</si>
  <si>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</si>
  <si>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</si>
  <si>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</si>
  <si>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</si>
  <si>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</si>
  <si>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</si>
  <si>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</si>
  <si>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</si>
  <si>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</si>
  <si>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</si>
  <si>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</si>
  <si>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</si>
  <si>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</si>
  <si>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</si>
  <si>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</si>
  <si>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</si>
  <si>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</si>
  <si>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</si>
  <si>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</si>
  <si>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</si>
  <si>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</si>
  <si>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</si>
  <si>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</si>
  <si>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</si>
  <si>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</si>
  <si>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</si>
  <si>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</si>
  <si>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</si>
  <si>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</si>
  <si>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</si>
  <si>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</si>
  <si>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</si>
  <si>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</si>
  <si>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</si>
  <si>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</si>
  <si>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</si>
  <si>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</si>
  <si>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</si>
  <si>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</si>
  <si>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</si>
  <si>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</si>
  <si>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</si>
  <si>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</si>
  <si>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</si>
  <si>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</si>
  <si>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</si>
  <si>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</si>
  <si>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</si>
  <si>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</si>
  <si>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</si>
  <si>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</si>
  <si>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</si>
  <si>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</si>
  <si>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</si>
  <si>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</si>
  <si>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</si>
  <si>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</si>
  <si>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</si>
  <si>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</si>
  <si>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</si>
  <si>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</si>
  <si>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</si>
  <si>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</si>
  <si>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</si>
  <si>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</si>
  <si>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</si>
  <si>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</si>
  <si>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</si>
  <si>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</si>
  <si>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</si>
  <si>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</si>
  <si>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</si>
  <si>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</si>
  <si>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</si>
  <si>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</si>
  <si>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</si>
  <si>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</si>
  <si>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</si>
  <si>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</si>
  <si>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</si>
  <si>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</si>
  <si>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</si>
  <si>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</si>
  <si>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</si>
  <si>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</si>
  <si>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</si>
  <si>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</si>
  <si>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</si>
  <si>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</si>
  <si>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</si>
  <si>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</si>
  <si>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</si>
  <si>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</si>
  <si>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</si>
  <si>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</si>
  <si>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</si>
  <si>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</si>
  <si>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</si>
  <si>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</si>
  <si>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</si>
  <si>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</si>
  <si>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</si>
  <si>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</si>
  <si>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</si>
  <si>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</si>
  <si>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</si>
  <si>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</si>
  <si>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</si>
  <si>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</si>
  <si>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</si>
  <si>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</si>
  <si>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</si>
  <si>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</si>
  <si>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</si>
  <si>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</si>
  <si>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</si>
  <si>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</si>
  <si>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</si>
  <si>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</si>
  <si>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</si>
  <si>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</si>
  <si>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</si>
  <si>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</si>
  <si>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</si>
  <si>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</si>
  <si>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</si>
  <si>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</si>
  <si>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</si>
  <si>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</si>
  <si>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</si>
  <si>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</si>
  <si>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</si>
  <si>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</si>
  <si>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</si>
  <si>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</si>
  <si>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</si>
  <si>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</si>
  <si>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</si>
  <si>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</si>
  <si>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</si>
  <si>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</si>
  <si>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</si>
  <si>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</si>
  <si>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</si>
  <si>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</si>
  <si>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</si>
  <si>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</si>
  <si>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</si>
  <si>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</si>
  <si>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</si>
  <si>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</si>
  <si>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</si>
  <si>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</si>
  <si>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</si>
  <si>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</si>
  <si>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</si>
  <si>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</si>
  <si>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</si>
  <si>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</si>
  <si>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</si>
  <si>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</si>
  <si>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</si>
  <si>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</si>
  <si>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</si>
  <si>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</si>
  <si>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</si>
  <si>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</si>
  <si>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</si>
  <si>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</si>
  <si>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</si>
  <si>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</si>
  <si>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</si>
  <si>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</si>
  <si>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</si>
  <si>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</si>
  <si>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</si>
  <si>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</si>
  <si>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</si>
  <si>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</si>
  <si>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</si>
  <si>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</si>
  <si>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</si>
  <si>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</si>
  <si>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</si>
  <si>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</si>
  <si>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</si>
  <si>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</si>
  <si>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</si>
  <si>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</si>
  <si>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</si>
  <si>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</si>
  <si>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</si>
  <si>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</si>
  <si>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</si>
  <si>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</si>
  <si>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</si>
  <si>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</si>
  <si>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</si>
  <si>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</si>
  <si>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</si>
  <si>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</si>
  <si>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</si>
  <si>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</si>
  <si>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</si>
  <si>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</si>
  <si>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</si>
  <si>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</si>
  <si>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</si>
  <si>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</si>
  <si>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</si>
  <si>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</si>
  <si>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</si>
  <si>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</si>
  <si>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</si>
  <si>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</si>
  <si>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</si>
  <si>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</si>
  <si>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</si>
  <si>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</si>
  <si>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</si>
  <si>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</si>
  <si>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</si>
  <si>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</si>
  <si>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</si>
  <si>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</si>
  <si>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</si>
  <si>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</si>
  <si>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</si>
  <si>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</si>
  <si>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</si>
  <si>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</si>
  <si>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</si>
  <si>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</si>
  <si>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</si>
  <si>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</si>
  <si>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</si>
  <si>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</si>
  <si>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</si>
  <si>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</si>
  <si>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</si>
  <si>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</si>
  <si>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</si>
  <si>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</si>
  <si>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</si>
  <si>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</si>
  <si>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</si>
  <si>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</si>
  <si>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</si>
  <si>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</si>
  <si>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</si>
  <si>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</si>
  <si>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</si>
  <si>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</si>
  <si>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</si>
  <si>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</si>
  <si>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</si>
  <si>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</si>
  <si>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</si>
  <si>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</si>
  <si>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</si>
  <si>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</si>
  <si>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</si>
  <si>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</si>
  <si>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</si>
  <si>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</si>
  <si>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</si>
  <si>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</si>
  <si>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</si>
  <si>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</si>
  <si>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</si>
  <si>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</si>
  <si>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</si>
  <si>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</si>
  <si>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</si>
  <si>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</si>
  <si>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</si>
  <si>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</si>
  <si>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</si>
  <si>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</si>
  <si>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</si>
  <si>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</si>
  <si>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</si>
  <si>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</si>
  <si>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</si>
  <si>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</si>
  <si>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</si>
  <si>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</si>
  <si>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</si>
  <si>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</si>
  <si>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</si>
  <si>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</si>
  <si>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</si>
  <si>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</si>
  <si>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</si>
  <si>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</si>
  <si>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</si>
  <si>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</si>
  <si>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</si>
  <si>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</si>
  <si>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</si>
  <si>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</si>
  <si>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</si>
  <si>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</si>
  <si>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</si>
  <si>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</si>
  <si>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</si>
  <si>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</si>
  <si>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</si>
  <si>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</si>
  <si>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</si>
  <si>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</si>
  <si>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</si>
  <si>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</si>
  <si>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</si>
  <si>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</si>
  <si>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</si>
  <si>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</si>
  <si>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</si>
  <si>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</si>
  <si>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</si>
  <si>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</si>
  <si>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</si>
  <si>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</si>
  <si>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</si>
  <si>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</si>
  <si>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</si>
  <si>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</si>
  <si>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</si>
  <si>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</si>
  <si>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</si>
  <si>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</si>
  <si>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</si>
  <si>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</si>
  <si>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</si>
  <si>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</si>
  <si>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</si>
  <si>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</si>
  <si>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</si>
  <si>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</si>
  <si>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</si>
  <si>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</si>
  <si>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</si>
  <si>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</si>
  <si>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</si>
  <si>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</si>
  <si>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</si>
  <si>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</si>
  <si>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</si>
  <si>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</si>
  <si>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</si>
  <si>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</si>
  <si>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</si>
  <si>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</si>
  <si>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</si>
  <si>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</si>
  <si>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</si>
  <si>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</si>
  <si>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</si>
  <si>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</si>
  <si>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</si>
  <si>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</si>
  <si>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</si>
  <si>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</si>
  <si>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</si>
  <si>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</si>
  <si>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</si>
  <si>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</si>
  <si>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</si>
  <si>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</si>
  <si>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</si>
  <si>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</si>
  <si>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</si>
  <si>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</si>
  <si>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</si>
  <si>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</si>
  <si>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</si>
  <si>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</si>
  <si>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</si>
  <si>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</si>
  <si>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</si>
  <si>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</si>
  <si>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</si>
  <si>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</si>
  <si>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</si>
  <si>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</si>
  <si>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</si>
  <si>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</si>
  <si>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</si>
  <si>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</si>
  <si>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</si>
  <si>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</si>
  <si>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</si>
  <si>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</si>
  <si>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</si>
  <si>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</si>
  <si>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</si>
  <si>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</si>
  <si>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</si>
  <si>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</si>
  <si>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</si>
  <si>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</si>
  <si>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</si>
  <si>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</si>
  <si>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</si>
  <si>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</si>
  <si>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</si>
  <si>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</si>
  <si>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</si>
  <si>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</si>
  <si>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</si>
  <si>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</si>
  <si>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</si>
  <si>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</si>
  <si>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</si>
  <si>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</si>
  <si>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</si>
  <si>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</si>
  <si>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</si>
  <si>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</si>
  <si>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</si>
  <si>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</si>
  <si>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</si>
  <si>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</si>
  <si>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</si>
  <si>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</si>
  <si>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</si>
  <si>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</si>
  <si>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</si>
  <si>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</si>
  <si>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</si>
  <si>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</si>
  <si>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</si>
  <si>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</si>
  <si>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</si>
  <si>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</si>
  <si>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</si>
  <si>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</si>
  <si>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</si>
  <si>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</si>
  <si>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</si>
  <si>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</si>
  <si>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</si>
  <si>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</si>
  <si>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</si>
  <si>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</si>
  <si>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</si>
  <si>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</si>
  <si>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</si>
  <si>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</si>
  <si>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</si>
  <si>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</si>
  <si>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</si>
  <si>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</si>
  <si>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</si>
  <si>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</si>
  <si>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</si>
  <si>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</si>
  <si>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</si>
  <si>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</si>
  <si>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</si>
  <si>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</si>
  <si>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</si>
  <si>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</si>
  <si>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</si>
  <si>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</si>
  <si>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</si>
  <si>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</si>
  <si>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</si>
  <si>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</si>
  <si>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</si>
  <si>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</si>
  <si>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</si>
  <si>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</si>
  <si>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</si>
  <si>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</si>
  <si>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</si>
  <si>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</si>
  <si>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</si>
  <si>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</si>
  <si>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</si>
  <si>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</si>
  <si>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</si>
  <si>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</si>
  <si>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</si>
  <si>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</si>
  <si>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</si>
  <si>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</si>
  <si>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</si>
  <si>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</si>
  <si>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</si>
  <si>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</si>
  <si>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</si>
  <si>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</si>
  <si>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</si>
  <si>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</si>
  <si>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</si>
  <si>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</si>
  <si>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</si>
  <si>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</si>
  <si>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</si>
  <si>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</si>
  <si>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</si>
  <si>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</si>
  <si>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</si>
  <si>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</si>
  <si>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</si>
  <si>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</si>
  <si>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</si>
  <si>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</si>
  <si>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</si>
  <si>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</si>
  <si>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</si>
  <si>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</si>
  <si>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</si>
  <si>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</si>
  <si>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</si>
  <si>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</si>
  <si>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</si>
  <si>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</si>
  <si>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</si>
  <si>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</si>
  <si>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</si>
  <si>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</si>
  <si>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</si>
  <si>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</si>
  <si>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</si>
  <si>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</si>
  <si>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</si>
  <si>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</si>
  <si>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</si>
  <si>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</si>
  <si>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</si>
  <si>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</si>
  <si>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</si>
  <si>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</si>
  <si>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</si>
  <si>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</si>
  <si>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</si>
  <si>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</si>
  <si>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</si>
  <si>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</si>
  <si>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</si>
  <si>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</si>
  <si>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</si>
  <si>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</si>
  <si>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</si>
  <si>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</si>
  <si>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</si>
  <si>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</si>
  <si>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</si>
  <si>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</si>
  <si>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</si>
  <si>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</si>
  <si>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</si>
  <si>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</si>
  <si>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</si>
  <si>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</si>
  <si>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</si>
  <si>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</si>
  <si>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</si>
  <si>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</si>
  <si>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</si>
  <si>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</si>
  <si>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</si>
  <si>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</si>
  <si>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</si>
  <si>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</si>
  <si>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</si>
  <si>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</si>
  <si>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</si>
  <si>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</si>
  <si>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</si>
  <si>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</si>
  <si>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</si>
  <si>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</si>
  <si>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</si>
  <si>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</si>
  <si>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</si>
  <si>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</si>
  <si>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</si>
  <si>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</si>
  <si>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</si>
  <si>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</si>
  <si>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</si>
  <si>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</si>
  <si>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</si>
  <si>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</si>
  <si>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</si>
  <si>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</si>
  <si>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</si>
  <si>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</si>
  <si>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</si>
  <si>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</si>
  <si>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</si>
  <si>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</si>
  <si>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</si>
  <si>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</si>
  <si>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</si>
  <si>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</si>
  <si>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</si>
  <si>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</si>
  <si>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</si>
  <si>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</si>
  <si>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</si>
  <si>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</si>
  <si>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</si>
  <si>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</si>
  <si>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</si>
  <si>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</si>
  <si>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</si>
  <si>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</si>
  <si>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</si>
  <si>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</si>
  <si>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</si>
  <si>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</si>
  <si>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</si>
  <si>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</si>
  <si>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</si>
  <si>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</si>
  <si>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</si>
  <si>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</si>
  <si>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</si>
  <si>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</si>
  <si>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</si>
  <si>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</si>
  <si>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</si>
  <si>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</si>
  <si>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</si>
  <si>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</si>
  <si>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</si>
  <si>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</si>
  <si>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</si>
  <si>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</si>
  <si>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</si>
  <si>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</si>
  <si>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</si>
  <si>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</si>
  <si>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</si>
  <si>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</si>
  <si>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</si>
  <si>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</si>
  <si>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</si>
  <si>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</si>
  <si>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</si>
  <si>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</si>
  <si>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</si>
  <si>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</si>
  <si>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</si>
  <si>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</si>
  <si>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</si>
  <si>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</si>
  <si>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</si>
  <si>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</si>
  <si>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</si>
  <si>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</si>
  <si>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</si>
  <si>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</si>
  <si>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</si>
  <si>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</si>
  <si>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</si>
  <si>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</si>
  <si>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</si>
  <si>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</si>
  <si>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</si>
  <si>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</si>
  <si>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</si>
  <si>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</si>
  <si>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</si>
  <si>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</si>
  <si>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</si>
  <si>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</si>
  <si>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</si>
  <si>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</si>
  <si>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</si>
  <si>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</si>
  <si>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</si>
  <si>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</si>
  <si>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</si>
  <si>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</si>
  <si>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</si>
  <si>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</si>
  <si>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</si>
  <si>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</si>
  <si>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</si>
  <si>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</si>
  <si>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</si>
  <si>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</si>
  <si>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</si>
  <si>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</si>
  <si>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</si>
  <si>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</si>
  <si>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</si>
  <si>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</si>
  <si>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</si>
  <si>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</si>
  <si>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</si>
  <si>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</si>
  <si>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</si>
  <si>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</si>
  <si>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</si>
  <si>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</si>
  <si>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</si>
  <si>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</si>
  <si>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</si>
  <si>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</si>
  <si>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</si>
  <si>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</si>
  <si>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</si>
  <si>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</si>
  <si>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</si>
  <si>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</si>
  <si>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</si>
  <si>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</si>
  <si>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</si>
  <si>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</si>
  <si>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</si>
  <si>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</si>
  <si>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</si>
  <si>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</si>
  <si>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</si>
  <si>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</si>
  <si>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</si>
  <si>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</si>
  <si>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</si>
  <si>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</si>
  <si>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</si>
  <si>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</si>
  <si>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</si>
  <si>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</si>
  <si>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</si>
  <si>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</si>
  <si>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</si>
  <si>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</si>
  <si>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</si>
  <si>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</si>
  <si>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</si>
  <si>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</si>
  <si>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</si>
  <si>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</si>
  <si>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</si>
  <si>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</si>
  <si>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</si>
  <si>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</si>
  <si>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</si>
  <si>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</si>
  <si>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</si>
  <si>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</si>
  <si>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</si>
  <si>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</si>
  <si>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</si>
  <si>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</si>
  <si>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</si>
  <si>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</si>
  <si>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</si>
  <si>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</si>
  <si>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</si>
  <si>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</si>
  <si>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</si>
  <si>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</si>
  <si>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</si>
  <si>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</si>
  <si>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</si>
  <si>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</si>
  <si>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</si>
  <si>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</si>
  <si>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</si>
  <si>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</si>
  <si>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</si>
  <si>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</si>
  <si>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</si>
  <si>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</si>
  <si>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</si>
  <si>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</si>
  <si>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</si>
  <si>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</si>
  <si>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</si>
  <si>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</si>
  <si>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</si>
  <si>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</si>
  <si>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</si>
  <si>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</si>
  <si>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</si>
  <si>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</si>
  <si>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</si>
  <si>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</si>
  <si>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</si>
  <si>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</si>
  <si>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</si>
  <si>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</si>
  <si>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</si>
  <si>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</si>
  <si>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</si>
  <si>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</si>
  <si>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</si>
  <si>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</si>
  <si>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</si>
  <si>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</si>
  <si>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</si>
  <si>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</si>
  <si>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</si>
  <si>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</si>
  <si>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</si>
  <si>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</si>
  <si>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</si>
  <si>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</si>
  <si>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</si>
  <si>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</si>
  <si>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</si>
  <si>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</si>
  <si>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</si>
  <si>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</si>
  <si>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</si>
  <si>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</si>
  <si>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</si>
  <si>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</si>
  <si>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</si>
  <si>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</si>
  <si>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</si>
  <si>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</si>
  <si>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</si>
  <si>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</si>
  <si>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</si>
  <si>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</si>
  <si>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</si>
  <si>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</si>
  <si>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</si>
  <si>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</si>
  <si>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</si>
  <si>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</si>
  <si>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</si>
  <si>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</si>
  <si>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</si>
  <si>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</si>
  <si>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</si>
  <si>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</si>
  <si>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</si>
  <si>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</si>
  <si>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</si>
  <si>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</si>
  <si>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</si>
  <si>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</si>
  <si>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</si>
  <si>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</si>
  <si>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</si>
  <si>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</si>
  <si>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</si>
  <si>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</si>
  <si>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</si>
  <si>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</si>
  <si>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</si>
  <si>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</si>
  <si>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</si>
  <si>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</si>
  <si>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</si>
  <si>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</si>
  <si>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</si>
  <si>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</si>
  <si>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</si>
  <si>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</si>
  <si>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</si>
  <si>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</si>
  <si>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</si>
  <si>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</si>
  <si>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</si>
  <si>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</si>
  <si>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</si>
  <si>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</si>
  <si>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</si>
  <si>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</si>
  <si>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</si>
  <si>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</si>
  <si>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</si>
  <si>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</si>
  <si>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</si>
  <si>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</si>
  <si>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</si>
  <si>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</si>
  <si>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</si>
  <si>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</si>
  <si>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</si>
  <si>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</si>
  <si>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</si>
  <si>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</si>
  <si>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</si>
  <si>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</si>
  <si>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</si>
  <si>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</si>
  <si>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</si>
  <si>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</si>
  <si>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</si>
  <si>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</si>
  <si>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</si>
  <si>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</si>
  <si>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</si>
  <si>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</si>
  <si>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</si>
  <si>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</si>
  <si>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</si>
  <si>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</si>
  <si>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</si>
  <si>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</si>
  <si>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</si>
  <si>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</si>
  <si>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</si>
  <si>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</si>
  <si>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</si>
  <si>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</si>
  <si>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</si>
  <si>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</si>
  <si>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</si>
  <si>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</si>
  <si>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</si>
  <si>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</si>
  <si>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</si>
  <si>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</si>
  <si>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</si>
  <si>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</si>
  <si>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</si>
  <si>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</si>
  <si>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</si>
  <si>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</si>
  <si>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</si>
  <si>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</si>
  <si>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</si>
  <si>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</si>
  <si>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</si>
  <si>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</si>
  <si>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</si>
  <si>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</si>
  <si>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</si>
  <si>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</si>
  <si>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</si>
  <si>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</si>
  <si>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</si>
  <si>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</si>
  <si>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</si>
  <si>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</si>
  <si>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</si>
  <si>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</si>
  <si>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</si>
  <si>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</si>
  <si>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</si>
  <si>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</si>
  <si>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</si>
  <si>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</si>
  <si>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</si>
  <si>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</si>
  <si>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</si>
  <si>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</si>
  <si>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</si>
  <si>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</si>
  <si>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</si>
  <si>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</si>
  <si>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</si>
  <si>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</si>
  <si>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</si>
  <si>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</si>
  <si>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</si>
  <si>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</si>
  <si>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</si>
  <si>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</si>
  <si>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</si>
  <si>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</si>
  <si>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</si>
  <si>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</si>
  <si>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</si>
  <si>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</si>
  <si>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</si>
  <si>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</si>
  <si>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</si>
  <si>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</si>
  <si>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</si>
  <si>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</si>
  <si>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</si>
  <si>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</si>
  <si>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</si>
  <si>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</si>
  <si>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</si>
  <si>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</si>
  <si>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</si>
  <si>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</si>
  <si>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</si>
  <si>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</si>
  <si>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</si>
  <si>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</si>
  <si>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</si>
  <si>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</si>
  <si>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</si>
  <si>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</si>
  <si>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</si>
  <si>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</si>
  <si>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</si>
  <si>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</si>
  <si>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</si>
  <si>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</si>
  <si>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</si>
  <si>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</si>
  <si>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</si>
  <si>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</si>
  <si>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</si>
  <si>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</si>
  <si>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</si>
  <si>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</si>
  <si>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</si>
  <si>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</si>
  <si>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</si>
  <si>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</si>
  <si>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</si>
  <si>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</si>
  <si>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</si>
  <si>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</si>
  <si>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</si>
  <si>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</si>
  <si>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</si>
  <si>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</si>
  <si>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</si>
  <si>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</si>
  <si>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</si>
  <si>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</si>
  <si>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</si>
  <si>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</si>
  <si>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</si>
  <si>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</si>
  <si>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</si>
  <si>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</si>
  <si>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</si>
  <si>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</si>
  <si>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</si>
  <si>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</si>
  <si>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</si>
  <si>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</si>
  <si>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</si>
  <si>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</si>
  <si>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</si>
  <si>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</si>
  <si>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</si>
  <si>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</si>
  <si>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</si>
  <si>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</si>
  <si>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</si>
  <si>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</si>
  <si>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</si>
  <si>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</si>
  <si>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</si>
  <si>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</si>
  <si>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</si>
  <si>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</si>
  <si>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</si>
  <si>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</si>
  <si>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</si>
  <si>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</si>
  <si>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</si>
  <si>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</si>
  <si>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</si>
  <si>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</si>
  <si>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</si>
  <si>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</si>
  <si>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</si>
  <si>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</si>
  <si>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</si>
  <si>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</si>
  <si>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</si>
  <si>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</si>
  <si>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</si>
  <si>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</si>
  <si>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</si>
  <si>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</si>
  <si>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</si>
  <si>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</si>
  <si>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</si>
  <si>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</si>
  <si>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</si>
  <si>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</si>
  <si>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</si>
  <si>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</si>
  <si>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</si>
  <si>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</si>
  <si>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</si>
  <si>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</si>
  <si>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</si>
  <si>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</si>
  <si>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</si>
  <si>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</si>
  <si>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</si>
  <si>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</si>
  <si>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</si>
  <si>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</si>
  <si>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</si>
  <si>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</si>
  <si>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</si>
  <si>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</si>
  <si>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</si>
  <si>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</si>
  <si>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</si>
  <si>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</si>
  <si>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</si>
  <si>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</si>
  <si>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</si>
  <si>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</si>
  <si>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</si>
  <si>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</si>
  <si>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</si>
  <si>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</si>
  <si>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</si>
  <si>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</si>
  <si>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</si>
  <si>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</si>
  <si>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</si>
  <si>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</si>
  <si>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</si>
  <si>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</si>
  <si>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</si>
  <si>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</si>
  <si>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</si>
  <si>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</si>
  <si>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</si>
  <si>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</si>
  <si>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</si>
  <si>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</si>
  <si>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</si>
  <si>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</si>
  <si>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</si>
  <si>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</si>
  <si>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</si>
  <si>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</si>
  <si>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</si>
  <si>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</si>
  <si>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</si>
  <si>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</si>
  <si>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</si>
  <si>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</si>
  <si>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</si>
  <si>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</si>
  <si>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</si>
  <si>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</si>
  <si>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</si>
  <si>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</si>
  <si>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</si>
  <si>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</si>
  <si>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</si>
  <si>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</si>
  <si>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</si>
  <si>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</si>
  <si>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</si>
  <si>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</si>
  <si>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</si>
  <si>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</si>
  <si>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</si>
  <si>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</si>
  <si>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</si>
  <si>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</si>
  <si>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</si>
  <si>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</si>
  <si>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</si>
  <si>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</si>
  <si>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</si>
  <si>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</si>
  <si>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</si>
  <si>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</si>
  <si>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</si>
  <si>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</si>
  <si>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</si>
  <si>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</si>
  <si>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</si>
  <si>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</si>
  <si>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</si>
  <si>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</si>
  <si>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</si>
  <si>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</si>
  <si>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</si>
  <si>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</si>
  <si>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</si>
  <si>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</si>
  <si>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</si>
  <si>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</si>
  <si>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</si>
  <si>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</si>
  <si>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</si>
  <si>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</si>
  <si>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</si>
  <si>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</si>
  <si>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</si>
  <si>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</si>
  <si>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</si>
  <si>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</si>
  <si>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</si>
  <si>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</si>
  <si>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</si>
  <si>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</si>
  <si>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</si>
  <si>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</si>
  <si>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</si>
  <si>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</si>
  <si>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</si>
  <si>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</si>
  <si>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</si>
  <si>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</si>
  <si>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</si>
  <si>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</si>
  <si>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</si>
  <si>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</si>
  <si>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</si>
  <si>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</si>
  <si>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</si>
  <si>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</si>
  <si>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</si>
  <si>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</si>
  <si>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</si>
  <si>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</si>
  <si>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</si>
  <si>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</si>
  <si>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</si>
  <si>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</si>
  <si>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</si>
  <si>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</si>
  <si>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</si>
  <si>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</si>
  <si>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</si>
  <si>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</si>
  <si>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</si>
  <si>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</si>
  <si>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</si>
  <si>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</si>
  <si>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</si>
  <si>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</si>
  <si>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</si>
  <si>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</si>
  <si>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</si>
  <si>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</si>
  <si>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</si>
  <si>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</si>
  <si>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</si>
  <si>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</si>
  <si>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</si>
  <si>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</si>
  <si>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</si>
  <si>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</si>
  <si>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</si>
  <si>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</si>
  <si>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</si>
  <si>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</si>
  <si>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</si>
  <si>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</si>
  <si>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</si>
  <si>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</si>
  <si>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</si>
  <si>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</si>
  <si>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</si>
  <si>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</si>
  <si>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</si>
  <si>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</si>
  <si>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</si>
  <si>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</si>
  <si>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</si>
  <si>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</si>
  <si>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</si>
  <si>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</si>
  <si>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</si>
  <si>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</si>
  <si>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</si>
  <si>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</si>
  <si>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</si>
  <si>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</si>
  <si>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</si>
  <si>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</si>
  <si>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</si>
  <si>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</si>
  <si>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</si>
  <si>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</si>
  <si>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</si>
  <si>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</si>
  <si>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</si>
  <si>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</si>
  <si>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</si>
  <si>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</si>
  <si>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</si>
  <si>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</si>
  <si>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</si>
  <si>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</si>
  <si>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</si>
  <si>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</si>
  <si>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</si>
  <si>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</si>
  <si>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</si>
  <si>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</si>
  <si>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</si>
  <si>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</si>
  <si>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</si>
  <si>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</si>
  <si>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</si>
  <si>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</si>
  <si>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</si>
  <si>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</si>
  <si>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</si>
  <si>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</si>
  <si>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</si>
  <si>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</si>
  <si>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</si>
  <si>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</si>
  <si>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</si>
  <si>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</si>
  <si>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</si>
  <si>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</si>
  <si>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</si>
  <si>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</si>
  <si>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</si>
  <si>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</si>
  <si>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</si>
  <si>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</si>
  <si>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</si>
  <si>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</si>
  <si>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</si>
  <si>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</si>
  <si>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</si>
  <si>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</si>
  <si>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</si>
  <si>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</si>
  <si>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</si>
  <si>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</si>
  <si>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</si>
  <si>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</si>
  <si>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</si>
  <si>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</si>
  <si>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</si>
  <si>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</si>
  <si>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</si>
  <si>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</si>
  <si>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</si>
  <si>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</si>
  <si>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</si>
  <si>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</si>
  <si>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</si>
  <si>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</si>
  <si>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</si>
  <si>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</si>
  <si>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</si>
  <si>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</si>
  <si>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</si>
  <si>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</si>
  <si>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</si>
  <si>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</si>
  <si>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</si>
  <si>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</si>
  <si>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</si>
  <si>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</si>
  <si>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</si>
  <si>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</si>
  <si>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</si>
  <si>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</si>
  <si>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</si>
  <si>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</si>
  <si>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</si>
  <si>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</si>
  <si>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</si>
  <si>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</si>
  <si>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</si>
  <si>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</si>
  <si>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</si>
  <si>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</si>
  <si>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</si>
  <si>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</si>
  <si>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</si>
  <si>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</si>
  <si>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</si>
  <si>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</si>
  <si>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</si>
  <si>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</si>
  <si>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</si>
  <si>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</si>
  <si>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</si>
  <si>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</si>
  <si>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</si>
  <si>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</si>
  <si>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</si>
  <si>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</si>
  <si>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</si>
  <si>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</si>
  <si>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</si>
  <si>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</si>
  <si>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</si>
  <si>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</si>
  <si>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</si>
  <si>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</si>
  <si>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</si>
  <si>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</si>
  <si>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</si>
  <si>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</si>
  <si>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</si>
  <si>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</si>
  <si>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</si>
  <si>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</si>
  <si>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</si>
  <si>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</si>
  <si>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</si>
  <si>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</si>
  <si>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</si>
  <si>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</si>
  <si>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</si>
  <si>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</si>
  <si>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</si>
  <si>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</si>
  <si>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</si>
  <si>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</si>
  <si>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</si>
  <si>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</si>
  <si>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</si>
  <si>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</si>
  <si>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</si>
  <si>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</si>
  <si>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</si>
  <si>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</si>
  <si>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</si>
  <si>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</si>
  <si>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</si>
  <si>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</si>
  <si>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</si>
  <si>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</si>
  <si>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</si>
  <si>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</si>
  <si>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</si>
  <si>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</si>
  <si>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</si>
  <si>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</si>
  <si>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</si>
  <si>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</si>
  <si>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</si>
  <si>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</si>
  <si>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</si>
  <si>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</si>
  <si>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</si>
  <si>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</si>
  <si>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</si>
  <si>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</si>
  <si>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</si>
  <si>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</si>
  <si>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</si>
  <si>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</si>
  <si>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</si>
  <si>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</si>
  <si>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</si>
  <si>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</si>
  <si>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</si>
  <si>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</si>
  <si>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</si>
  <si>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</si>
  <si>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</si>
  <si>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</si>
  <si>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</si>
  <si>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</si>
  <si>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</si>
  <si>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</si>
  <si>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</si>
  <si>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</si>
  <si>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</si>
  <si>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</si>
  <si>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</si>
  <si>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</si>
  <si>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</si>
  <si>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</si>
  <si>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</si>
  <si>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</si>
  <si>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</si>
  <si>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</si>
  <si>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</si>
  <si>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</si>
  <si>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</si>
  <si>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</si>
  <si>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</si>
  <si>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</si>
  <si>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</si>
  <si>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</si>
  <si>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</si>
  <si>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</si>
  <si>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</si>
  <si>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</si>
  <si>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</si>
  <si>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</si>
  <si>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</si>
  <si>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</si>
  <si>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</si>
  <si>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</si>
  <si>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</si>
  <si>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</si>
  <si>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</si>
  <si>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</si>
  <si>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</si>
  <si>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</si>
  <si>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</si>
  <si>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</si>
  <si>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</si>
  <si>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</si>
  <si>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</si>
  <si>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</si>
  <si>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</si>
  <si>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</si>
  <si>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</si>
  <si>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</si>
  <si>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</si>
  <si>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</si>
  <si>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</si>
  <si>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</si>
  <si>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</si>
  <si>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</si>
  <si>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</si>
  <si>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</si>
  <si>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</si>
  <si>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</si>
  <si>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</si>
  <si>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</si>
  <si>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</si>
  <si>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</si>
  <si>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</si>
  <si>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</si>
  <si>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</si>
  <si>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</si>
  <si>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</si>
  <si>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</si>
  <si>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</si>
  <si>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</si>
  <si>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</si>
  <si>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</si>
  <si>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</si>
  <si>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</si>
  <si>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</si>
  <si>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</si>
  <si>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</si>
  <si>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</si>
  <si>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</si>
  <si>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</si>
  <si>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</si>
  <si>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</si>
  <si>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</si>
  <si>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</si>
  <si>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</si>
  <si>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</si>
  <si>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</si>
  <si>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</si>
  <si>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</si>
  <si>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</si>
  <si>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</si>
  <si>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</si>
  <si>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</si>
  <si>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</si>
  <si>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</si>
  <si>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</si>
  <si>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</si>
  <si>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</si>
  <si>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</si>
  <si>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</si>
  <si>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</si>
  <si>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</si>
  <si>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</si>
  <si>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</si>
  <si>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</si>
  <si>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</si>
  <si>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</si>
  <si>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</si>
  <si>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</si>
  <si>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</si>
  <si>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</si>
  <si>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</si>
  <si>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</si>
  <si>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</si>
  <si>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</si>
  <si>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</si>
  <si>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</si>
  <si>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</si>
  <si>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</si>
  <si>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</si>
  <si>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</si>
  <si>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</si>
  <si>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</si>
  <si>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</si>
  <si>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</si>
  <si>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</si>
  <si>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</si>
  <si>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</si>
  <si>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</si>
  <si>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</si>
  <si>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</si>
  <si>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</si>
  <si>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</si>
  <si>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</si>
  <si>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</si>
  <si>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</si>
  <si>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</si>
  <si>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</si>
  <si>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</si>
  <si>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</si>
  <si>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</si>
  <si>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</si>
  <si>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</si>
  <si>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</si>
  <si>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</si>
  <si>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</si>
  <si>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</si>
  <si>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</si>
  <si>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</si>
  <si>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</si>
  <si>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</si>
  <si>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</si>
  <si>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</si>
  <si>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</si>
  <si>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</si>
  <si>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</si>
  <si>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</si>
  <si>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</si>
  <si>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</si>
  <si>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</si>
  <si>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</si>
  <si>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</si>
  <si>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</si>
  <si>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</si>
  <si>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</si>
  <si>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</si>
  <si>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</si>
  <si>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</si>
  <si>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</si>
  <si>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</si>
  <si>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</si>
  <si>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</si>
  <si>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</si>
  <si>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</si>
  <si>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</si>
  <si>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</si>
  <si>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</si>
  <si>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</si>
  <si>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</si>
  <si>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</si>
  <si>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</si>
  <si>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</si>
  <si>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</si>
  <si>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</si>
  <si>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</si>
  <si>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</si>
  <si>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</si>
  <si>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</si>
  <si>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</si>
  <si>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</si>
  <si>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</si>
  <si>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</si>
  <si>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</si>
  <si>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</si>
  <si>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</si>
  <si>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</si>
  <si>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</si>
  <si>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</si>
  <si>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</si>
  <si>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</si>
  <si>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</si>
  <si>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</si>
  <si>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</si>
  <si>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</si>
  <si>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</si>
  <si>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</si>
  <si>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</si>
  <si>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</si>
  <si>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</si>
  <si>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</si>
  <si>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</si>
  <si>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</si>
  <si>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</si>
  <si>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</si>
  <si>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</si>
  <si>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</si>
  <si>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</si>
  <si>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</si>
  <si>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</si>
  <si>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</si>
  <si>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</si>
  <si>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</si>
  <si>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</si>
  <si>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</si>
  <si>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</si>
  <si>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</si>
  <si>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</si>
  <si>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</si>
  <si>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</si>
  <si>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</si>
  <si>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</si>
  <si>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</si>
  <si>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</si>
  <si>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</si>
  <si>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</si>
  <si>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</si>
  <si>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</si>
  <si>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</si>
  <si>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</si>
  <si>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</si>
  <si>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</si>
  <si>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</si>
  <si>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</si>
  <si>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</si>
  <si>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</si>
  <si>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</si>
  <si>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</si>
  <si>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</si>
  <si>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</si>
  <si>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</si>
  <si>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</si>
  <si>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</si>
  <si>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</si>
  <si>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</si>
  <si>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</si>
  <si>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</si>
  <si>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</si>
  <si>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</si>
  <si>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</si>
  <si>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</si>
  <si>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</si>
  <si>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</si>
  <si>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</si>
  <si>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</si>
  <si>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</si>
  <si>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</si>
  <si>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</si>
  <si>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</si>
  <si>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</si>
  <si>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</si>
  <si>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</si>
  <si>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</si>
  <si>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</si>
  <si>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</si>
  <si>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</si>
  <si>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</si>
  <si>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</si>
  <si>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</si>
  <si>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</si>
  <si>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</si>
  <si>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</si>
  <si>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</si>
  <si>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</si>
  <si>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</si>
  <si>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</si>
  <si>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</si>
  <si>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</si>
  <si>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</si>
  <si>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</si>
  <si>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</si>
  <si>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</si>
  <si>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</si>
  <si>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</si>
  <si>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</si>
  <si>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</si>
  <si>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</si>
  <si>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</si>
  <si>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</si>
  <si>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</si>
  <si>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</si>
  <si>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</si>
  <si>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</si>
  <si>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</si>
  <si>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</si>
  <si>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</si>
  <si>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</si>
  <si>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</si>
  <si>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</si>
  <si>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</si>
  <si>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</si>
  <si>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</si>
  <si>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</si>
  <si>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</si>
  <si>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</si>
  <si>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</si>
  <si>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</si>
  <si>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</si>
  <si>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</si>
  <si>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</si>
  <si>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</si>
  <si>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</si>
  <si>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</si>
  <si>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</si>
  <si>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</si>
  <si>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</si>
  <si>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</si>
  <si>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</si>
  <si>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</si>
  <si>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</si>
  <si>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</si>
  <si>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</si>
  <si>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</si>
  <si>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</si>
  <si>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</si>
  <si>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</si>
  <si>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</si>
  <si>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</si>
  <si>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</si>
  <si>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</si>
  <si>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</si>
  <si>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</si>
  <si>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</si>
  <si>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</si>
  <si>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</si>
  <si>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</si>
  <si>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</si>
  <si>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</si>
  <si>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</si>
  <si>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</si>
  <si>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</si>
  <si>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</si>
  <si>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</si>
  <si>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</si>
  <si>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</si>
  <si>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</si>
  <si>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</si>
  <si>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</si>
  <si>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</si>
  <si>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</si>
  <si>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</si>
  <si>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</si>
  <si>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</si>
  <si>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</si>
  <si>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</si>
  <si>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</si>
  <si>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</si>
  <si>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</si>
  <si>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</si>
  <si>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</si>
  <si>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</si>
  <si>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</si>
  <si>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</si>
  <si>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</si>
  <si>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</si>
  <si>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</si>
  <si>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</si>
  <si>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</si>
  <si>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</si>
  <si>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</si>
  <si>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</si>
  <si>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</si>
  <si>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</si>
  <si>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</si>
  <si>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</si>
  <si>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</si>
  <si>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</si>
  <si>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</si>
  <si>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</si>
  <si>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</si>
  <si>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</si>
  <si>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</si>
  <si>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</si>
  <si>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</si>
  <si>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</si>
  <si>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</si>
  <si>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</si>
  <si>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</si>
  <si>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</si>
  <si>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</si>
  <si>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</si>
  <si>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七通</t>
  </si>
  <si>
    <t>跃层</t>
    <phoneticPr fontId="20" type="noConversion"/>
  </si>
  <si>
    <t>平层</t>
  </si>
  <si>
    <t>60-70（含）</t>
  </si>
  <si>
    <t>南北</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</si>
  <si>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</si>
  <si>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</si>
  <si>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</si>
  <si>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东西</t>
    <phoneticPr fontId="4" type="noConversion"/>
  </si>
  <si>
    <t>西</t>
    <phoneticPr fontId="20" type="noConversion"/>
  </si>
  <si>
    <t>低楼层/6</t>
  </si>
  <si>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</si>
  <si>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</si>
  <si>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</si>
  <si>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</si>
  <si>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</si>
  <si>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</si>
  <si>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</si>
  <si>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</si>
  <si>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</si>
  <si>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</si>
  <si>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</si>
  <si>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</si>
  <si>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</si>
  <si>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</si>
  <si>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</si>
  <si>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</si>
  <si>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</si>
  <si>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</si>
  <si>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六通</t>
  </si>
  <si>
    <t>缺少</t>
  </si>
  <si>
    <t>通热</t>
  </si>
  <si>
    <t>容积率修正</t>
  </si>
  <si>
    <t>未包含在土地购买价格中</t>
  </si>
  <si>
    <t>自定义</t>
  </si>
  <si>
    <t>未包含在土地取得成本中</t>
  </si>
  <si>
    <t>无</t>
  </si>
  <si>
    <t>住宅</t>
    <phoneticPr fontId="7" type="noConversion"/>
  </si>
  <si>
    <t>Ⅷ-密1</t>
  </si>
  <si>
    <t>居住用地（指二类居住用地）</t>
  </si>
  <si>
    <t>不临58条商业街</t>
  </si>
  <si>
    <t>有</t>
  </si>
  <si>
    <t>1000米以外</t>
  </si>
  <si>
    <t>六通一平</t>
  </si>
  <si>
    <t>50-60（含）</t>
  </si>
  <si>
    <t>估价对象所在区域基础设施水平——七通</t>
    <phoneticPr fontId="20" type="noConversion"/>
  </si>
  <si>
    <t>钢混</t>
  </si>
  <si>
    <t>精装修</t>
  </si>
  <si>
    <t>比较法-住宅</t>
  </si>
  <si>
    <t>杨红英</t>
  </si>
  <si>
    <t>多层板楼</t>
  </si>
  <si>
    <t>多层板楼</t>
    <phoneticPr fontId="4" type="noConversion"/>
  </si>
  <si>
    <t>小高层板楼</t>
  </si>
  <si>
    <t>小高层板楼</t>
    <phoneticPr fontId="4" type="noConversion"/>
  </si>
  <si>
    <t>5</t>
    <phoneticPr fontId="4" type="noConversion"/>
  </si>
  <si>
    <t>季度增幅（自定义）</t>
  </si>
  <si>
    <t>估价对象周围有康居小区、果园新里、大唐庄、密西花园等住宅小区</t>
  </si>
  <si>
    <t>估价对象周围有康居小区、果园新里、大唐庄、密西花园等住宅小区</t>
    <phoneticPr fontId="20" type="noConversion"/>
  </si>
  <si>
    <t>估价对象紧邻城市次干道——新西路，以估价对象为中心半径2公里范围内有密2路、密12路、密13路等公交线路，综合评价交通便捷度一般</t>
    <phoneticPr fontId="35" type="noConversion"/>
  </si>
  <si>
    <t>估价对象所在区域公共配套设施齐备情况一般</t>
  </si>
  <si>
    <t>估价对象所在区域公共配套设施齐备情况一般</t>
    <phoneticPr fontId="20" type="noConversion"/>
  </si>
  <si>
    <t>自然环境：滨河公园、白河郊野公园、密西公园等；人文环境：密云区博物馆、密云区政府等，综合评价环境状况较好</t>
  </si>
  <si>
    <t>自然环境：滨河公园、白河郊野公园、密西公园等；人文环境：密云区博物馆、密云区政府等，综合评价环境状况较好</t>
    <phoneticPr fontId="35" type="noConversion"/>
  </si>
  <si>
    <t>城市次干道——新西路</t>
    <phoneticPr fontId="20" type="noConversion"/>
  </si>
  <si>
    <t>北京市密云区（原密云县）果园街道新西路东侧、城后街北侧密云区大唐庄东南居住及配套项目11#住宅楼2层2单元-202号住宅用房</t>
    <phoneticPr fontId="4" type="noConversion"/>
  </si>
  <si>
    <t>北京市密云区果园新里南区</t>
    <phoneticPr fontId="4" type="noConversion"/>
  </si>
  <si>
    <t>北京市密云区康居南区</t>
    <phoneticPr fontId="4" type="noConversion"/>
  </si>
  <si>
    <t>40-50（含）</t>
  </si>
  <si>
    <t>估价对象所在区域基础设施水平——七通</t>
    <phoneticPr fontId="20" type="noConversion"/>
  </si>
  <si>
    <t>估价对象紧邻城市支路——康居路，以估价对象为中心半径2公里范围内有密2路、密12路、密13路等公交线路，综合评价交通便捷度一般</t>
    <phoneticPr fontId="20" type="noConversion"/>
  </si>
  <si>
    <r>
      <t>2/17</t>
    </r>
    <r>
      <rPr>
        <sz val="11"/>
        <rFont val="宋体"/>
        <family val="3"/>
        <charset val="134"/>
      </rPr>
      <t>（低楼层）</t>
    </r>
    <phoneticPr fontId="20" type="noConversion"/>
  </si>
  <si>
    <t>高楼层/6</t>
  </si>
  <si>
    <t>混合</t>
  </si>
  <si>
    <t>支路</t>
  </si>
  <si>
    <r>
      <t>2/17</t>
    </r>
    <r>
      <rPr>
        <sz val="11"/>
        <rFont val="宋体"/>
        <family val="3"/>
        <charset val="134"/>
      </rPr>
      <t>（低楼层）</t>
    </r>
    <phoneticPr fontId="20" type="noConversion"/>
  </si>
  <si>
    <t>顶层/6</t>
    <phoneticPr fontId="20" type="noConversion"/>
  </si>
  <si>
    <t>顶层/6</t>
    <phoneticPr fontId="20" type="noConversion"/>
  </si>
  <si>
    <t>低楼层/6</t>
    <phoneticPr fontId="20" type="noConversion"/>
  </si>
  <si>
    <t>高楼层/6</t>
    <phoneticPr fontId="20" type="noConversion"/>
  </si>
  <si>
    <t>估价对象紧邻城市次干道——果园路，以估价对象为中心半径2公里范围内有密2路、密12路、密13路等公交线路，综合评价交通便捷度一般</t>
    <phoneticPr fontId="20" type="noConversion"/>
  </si>
  <si>
    <t>次</t>
    <phoneticPr fontId="20" type="noConversion"/>
  </si>
  <si>
    <t>次</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</si>
</sst>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16</xdr:col>
      <xdr:colOff>522525</xdr:colOff>
      <xdr:row>204</xdr:row>
      <xdr:rowOff>132584</xdr:rowOff>
    </xdr:to>
    <xdr:pic>
      <xdr:nvPicPr>
        <xdr:cNvPr id="10" name="图片 9"/>
        <xdr:cNvPicPr>
          <a:picLocks noChangeAspect="1"/>
        </xdr:cNvPicPr>
      </xdr:nvPicPr>
      <xdr:blipFill>
        <a:blip xmlns:r="http://schemas.openxmlformats.org/officeDocument/2006/relationships" r:embed="rId1"/>
        <a:stretch>
          <a:fillRect/>
        </a:stretch>
      </xdr:blipFill>
      <xdr:spPr>
        <a:xfrm>
          <a:off x="685800" y="28975050"/>
          <a:ext cx="10809525" cy="6133334"/>
        </a:xfrm>
        <a:prstGeom prst="rect">
          <a:avLst/>
        </a:prstGeom>
      </xdr:spPr>
    </xdr:pic>
    <xdr:clientData/>
  </xdr:twoCellAnchor>
  <xdr:twoCellAnchor editAs="oneCell">
    <xdr:from>
      <xdr:col>0</xdr:col>
      <xdr:colOff>647700</xdr:colOff>
      <xdr:row>208</xdr:row>
      <xdr:rowOff>38100</xdr:rowOff>
    </xdr:from>
    <xdr:to>
      <xdr:col>15</xdr:col>
      <xdr:colOff>179748</xdr:colOff>
      <xdr:row>220</xdr:row>
      <xdr:rowOff>66414</xdr:rowOff>
    </xdr:to>
    <xdr:pic>
      <xdr:nvPicPr>
        <xdr:cNvPr id="12" name="图片 11"/>
        <xdr:cNvPicPr>
          <a:picLocks noChangeAspect="1"/>
        </xdr:cNvPicPr>
      </xdr:nvPicPr>
      <xdr:blipFill>
        <a:blip xmlns:r="http://schemas.openxmlformats.org/officeDocument/2006/relationships" r:embed="rId2"/>
        <a:stretch>
          <a:fillRect/>
        </a:stretch>
      </xdr:blipFill>
      <xdr:spPr>
        <a:xfrm>
          <a:off x="647700" y="35699700"/>
          <a:ext cx="9819048" cy="2085714"/>
        </a:xfrm>
        <a:prstGeom prst="rect">
          <a:avLst/>
        </a:prstGeom>
      </xdr:spPr>
    </xdr:pic>
    <xdr:clientData/>
  </xdr:twoCellAnchor>
  <xdr:twoCellAnchor editAs="oneCell">
    <xdr:from>
      <xdr:col>0</xdr:col>
      <xdr:colOff>685799</xdr:colOff>
      <xdr:row>0</xdr:row>
      <xdr:rowOff>0</xdr:rowOff>
    </xdr:from>
    <xdr:to>
      <xdr:col>14</xdr:col>
      <xdr:colOff>392740</xdr:colOff>
      <xdr:row>32</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799" y="0"/>
          <a:ext cx="9308141" cy="5562600"/>
        </a:xfrm>
        <a:prstGeom prst="rect">
          <a:avLst/>
        </a:prstGeom>
      </xdr:spPr>
    </xdr:pic>
    <xdr:clientData/>
  </xdr:twoCellAnchor>
  <xdr:twoCellAnchor editAs="oneCell">
    <xdr:from>
      <xdr:col>0</xdr:col>
      <xdr:colOff>0</xdr:colOff>
      <xdr:row>53</xdr:row>
      <xdr:rowOff>0</xdr:rowOff>
    </xdr:from>
    <xdr:to>
      <xdr:col>15</xdr:col>
      <xdr:colOff>646334</xdr:colOff>
      <xdr:row>88</xdr:row>
      <xdr:rowOff>94489</xdr:rowOff>
    </xdr:to>
    <xdr:pic>
      <xdr:nvPicPr>
        <xdr:cNvPr id="15" name="图片 14"/>
        <xdr:cNvPicPr>
          <a:picLocks noChangeAspect="1"/>
        </xdr:cNvPicPr>
      </xdr:nvPicPr>
      <xdr:blipFill>
        <a:blip xmlns:r="http://schemas.openxmlformats.org/officeDocument/2006/relationships" r:embed="rId4"/>
        <a:stretch>
          <a:fillRect/>
        </a:stretch>
      </xdr:blipFill>
      <xdr:spPr>
        <a:xfrm>
          <a:off x="0" y="9086850"/>
          <a:ext cx="10933334" cy="6095239"/>
        </a:xfrm>
        <a:prstGeom prst="rect">
          <a:avLst/>
        </a:prstGeom>
      </xdr:spPr>
    </xdr:pic>
    <xdr:clientData/>
  </xdr:twoCellAnchor>
  <xdr:twoCellAnchor editAs="oneCell">
    <xdr:from>
      <xdr:col>0</xdr:col>
      <xdr:colOff>0</xdr:colOff>
      <xdr:row>89</xdr:row>
      <xdr:rowOff>0</xdr:rowOff>
    </xdr:from>
    <xdr:to>
      <xdr:col>11</xdr:col>
      <xdr:colOff>141915</xdr:colOff>
      <xdr:row>107</xdr:row>
      <xdr:rowOff>18662</xdr:rowOff>
    </xdr:to>
    <xdr:pic>
      <xdr:nvPicPr>
        <xdr:cNvPr id="16" name="图片 15"/>
        <xdr:cNvPicPr>
          <a:picLocks noChangeAspect="1"/>
        </xdr:cNvPicPr>
      </xdr:nvPicPr>
      <xdr:blipFill>
        <a:blip xmlns:r="http://schemas.openxmlformats.org/officeDocument/2006/relationships" r:embed="rId5"/>
        <a:stretch>
          <a:fillRect/>
        </a:stretch>
      </xdr:blipFill>
      <xdr:spPr>
        <a:xfrm>
          <a:off x="0" y="15259050"/>
          <a:ext cx="7685715" cy="3104762"/>
        </a:xfrm>
        <a:prstGeom prst="rect">
          <a:avLst/>
        </a:prstGeom>
      </xdr:spPr>
    </xdr:pic>
    <xdr:clientData/>
  </xdr:twoCellAnchor>
  <xdr:twoCellAnchor editAs="oneCell">
    <xdr:from>
      <xdr:col>0</xdr:col>
      <xdr:colOff>0</xdr:colOff>
      <xdr:row>110</xdr:row>
      <xdr:rowOff>0</xdr:rowOff>
    </xdr:from>
    <xdr:to>
      <xdr:col>16</xdr:col>
      <xdr:colOff>141486</xdr:colOff>
      <xdr:row>146</xdr:row>
      <xdr:rowOff>132562</xdr:rowOff>
    </xdr:to>
    <xdr:pic>
      <xdr:nvPicPr>
        <xdr:cNvPr id="17" name="图片 16"/>
        <xdr:cNvPicPr>
          <a:picLocks noChangeAspect="1"/>
        </xdr:cNvPicPr>
      </xdr:nvPicPr>
      <xdr:blipFill>
        <a:blip xmlns:r="http://schemas.openxmlformats.org/officeDocument/2006/relationships" r:embed="rId6"/>
        <a:stretch>
          <a:fillRect/>
        </a:stretch>
      </xdr:blipFill>
      <xdr:spPr>
        <a:xfrm>
          <a:off x="0" y="18859500"/>
          <a:ext cx="11114286" cy="6304762"/>
        </a:xfrm>
        <a:prstGeom prst="rect">
          <a:avLst/>
        </a:prstGeom>
      </xdr:spPr>
    </xdr:pic>
    <xdr:clientData/>
  </xdr:twoCellAnchor>
  <xdr:twoCellAnchor editAs="oneCell">
    <xdr:from>
      <xdr:col>0</xdr:col>
      <xdr:colOff>0</xdr:colOff>
      <xdr:row>148</xdr:row>
      <xdr:rowOff>0</xdr:rowOff>
    </xdr:from>
    <xdr:to>
      <xdr:col>9</xdr:col>
      <xdr:colOff>494467</xdr:colOff>
      <xdr:row>170</xdr:row>
      <xdr:rowOff>132862</xdr:rowOff>
    </xdr:to>
    <xdr:pic>
      <xdr:nvPicPr>
        <xdr:cNvPr id="18" name="图片 17"/>
        <xdr:cNvPicPr>
          <a:picLocks noChangeAspect="1"/>
        </xdr:cNvPicPr>
      </xdr:nvPicPr>
      <xdr:blipFill>
        <a:blip xmlns:r="http://schemas.openxmlformats.org/officeDocument/2006/relationships" r:embed="rId7"/>
        <a:stretch>
          <a:fillRect/>
        </a:stretch>
      </xdr:blipFill>
      <xdr:spPr>
        <a:xfrm>
          <a:off x="0" y="25374600"/>
          <a:ext cx="6666667" cy="3904762"/>
        </a:xfrm>
        <a:prstGeom prst="rect">
          <a:avLst/>
        </a:prstGeom>
      </xdr:spPr>
    </xdr:pic>
    <xdr:clientData/>
  </xdr:twoCellAnchor>
  <xdr:twoCellAnchor editAs="oneCell">
    <xdr:from>
      <xdr:col>1</xdr:col>
      <xdr:colOff>1</xdr:colOff>
      <xdr:row>34</xdr:row>
      <xdr:rowOff>1</xdr:rowOff>
    </xdr:from>
    <xdr:to>
      <xdr:col>7</xdr:col>
      <xdr:colOff>428625</xdr:colOff>
      <xdr:row>53</xdr:row>
      <xdr:rowOff>89865</xdr:rowOff>
    </xdr:to>
    <xdr:pic>
      <xdr:nvPicPr>
        <xdr:cNvPr id="19" name="图片 18"/>
        <xdr:cNvPicPr>
          <a:picLocks noChangeAspect="1"/>
        </xdr:cNvPicPr>
      </xdr:nvPicPr>
      <xdr:blipFill>
        <a:blip xmlns:r="http://schemas.openxmlformats.org/officeDocument/2006/relationships" r:embed="rId8"/>
        <a:stretch>
          <a:fillRect/>
        </a:stretch>
      </xdr:blipFill>
      <xdr:spPr>
        <a:xfrm>
          <a:off x="685801" y="5829301"/>
          <a:ext cx="4543424" cy="33474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叶凌（注册号:1119970111）、杨红英（注册号:1120070085)</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估价对象为房地产，为所有。根据《不动产权证书》[]，估价对象建筑面积为87.32平方米，（分摊）出让国有建设用地使用权面积为0平方米。估价对象用途为。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2018年2月12日（评估专业人员实地查勘之日）</v>
      </c>
    </row>
    <row r="10" spans="1:2">
      <c r="A10" s="1708" t="s">
        <v>1120</v>
      </c>
      <c r="B10" s="1695" t="str">
        <f>'预评函-1'!A13</f>
        <v>本次估价的“房地产价值”是指在正常市场情况下，在价值时点2018年2月12日，估价对象规划用途为，假定未设立法定优先受偿款下的房地产市场价值。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87.32</v>
      </c>
    </row>
    <row r="19" spans="1:2">
      <c r="A19" s="1708" t="s">
        <v>1129</v>
      </c>
      <c r="B19" s="1695">
        <f ca="1">'预评函-2（1）'!D7</f>
        <v>1832410</v>
      </c>
    </row>
    <row r="20" spans="1:2">
      <c r="A20" s="1708" t="s">
        <v>1167</v>
      </c>
      <c r="B20" s="1695" t="str">
        <f>'预评函-2（1）'!C7</f>
        <v>总价（元）</v>
      </c>
    </row>
    <row r="21" spans="1:2">
      <c r="A21" s="1708" t="s">
        <v>1130</v>
      </c>
      <c r="B21" s="1695">
        <f ca="1">'预评函-2（1）'!D9</f>
        <v>20985</v>
      </c>
    </row>
    <row r="22" spans="1:2">
      <c r="A22" s="1708" t="s">
        <v>1131</v>
      </c>
      <c r="B22" s="1695" t="str">
        <f ca="1">'预评函-2（1）'!D8</f>
        <v>壹佰捌拾叁万贰仟肆佰壹拾元整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1832410</v>
      </c>
    </row>
    <row r="30" spans="1:2">
      <c r="A30" s="1708" t="s">
        <v>1137</v>
      </c>
      <c r="B30" s="1695" t="str">
        <f ca="1">'预评函-2（1）'!D16</f>
        <v>壹佰捌拾叁万贰仟肆佰壹拾元整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773306</v>
      </c>
    </row>
    <row r="38" spans="1:2">
      <c r="A38" s="1708" t="s">
        <v>1145</v>
      </c>
      <c r="B38" s="1695">
        <f ca="1">'预评函-2（2）'!E4</f>
        <v>8856</v>
      </c>
    </row>
    <row r="39" spans="1:2">
      <c r="A39" s="1708" t="s">
        <v>1146</v>
      </c>
      <c r="B39" s="1695" t="str">
        <f ca="1">'预评函-2（2）'!D5</f>
        <v>柒拾柒万叁仟叁佰零陆元整</v>
      </c>
    </row>
    <row r="40" spans="1:2">
      <c r="A40" s="1708" t="s">
        <v>1147</v>
      </c>
      <c r="B40" s="1695">
        <f ca="1">'预评函-2（2）'!F4</f>
        <v>1059104</v>
      </c>
    </row>
    <row r="41" spans="1:2">
      <c r="A41" s="1708" t="s">
        <v>1148</v>
      </c>
      <c r="B41" s="1695">
        <f ca="1">'预评函-2（2）'!G4</f>
        <v>12129</v>
      </c>
    </row>
    <row r="42" spans="1:2" s="1705" customFormat="1" ht="15.75" thickBot="1">
      <c r="A42" s="1709" t="s">
        <v>1149</v>
      </c>
      <c r="B42" s="1697" t="str">
        <f ca="1">'预评函-2（2）'!F5</f>
        <v>壹佰零伍万玖仟壹佰零肆元整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杨红英</v>
      </c>
    </row>
    <row r="55" spans="1:2" s="1705" customFormat="1" ht="15.75" thickBot="1">
      <c r="A55" s="1709" t="s">
        <v>1161</v>
      </c>
      <c r="B55" s="1697">
        <f>'预评函-3'!B5</f>
        <v>1120070085</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20985</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0" sqref="E20"/>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43143</v>
      </c>
      <c r="C2" s="2005" t="s">
        <v>1550</v>
      </c>
      <c r="D2" s="1089">
        <v>43143</v>
      </c>
      <c r="E2" s="1065"/>
      <c r="F2" s="1065"/>
      <c r="G2" s="1689"/>
      <c r="H2" s="1021"/>
    </row>
    <row r="3" spans="1:10" ht="13.5" thickBot="1">
      <c r="A3" s="2006" t="s">
        <v>1551</v>
      </c>
      <c r="B3" s="2007" t="s">
        <v>2811</v>
      </c>
      <c r="C3" s="1066">
        <f ca="1">SUMIF(注册房地产估价师,B3,估价师及机构信息!B3:B24)</f>
        <v>1119970111</v>
      </c>
      <c r="D3" s="2007" t="s">
        <v>2911</v>
      </c>
      <c r="E3" s="1067">
        <f>SUMIF(注册房地产估价师,D3,估价师及机构信息!B3:B24)</f>
        <v>1120070085</v>
      </c>
      <c r="F3" s="1068"/>
      <c r="G3" s="1690"/>
      <c r="H3" s="1021"/>
    </row>
    <row r="4" spans="1:10" ht="13.5" customHeight="1" thickTop="1">
      <c r="A4" s="2008" t="s">
        <v>1552</v>
      </c>
      <c r="B4" s="2009"/>
      <c r="C4" s="2010" t="s">
        <v>1553</v>
      </c>
      <c r="D4" s="2011" t="s">
        <v>2814</v>
      </c>
      <c r="E4" s="1065"/>
      <c r="F4" s="1065"/>
      <c r="G4" s="1689"/>
    </row>
    <row r="5" spans="1:10">
      <c r="A5" s="2012" t="s">
        <v>1554</v>
      </c>
      <c r="B5" s="2013"/>
      <c r="C5" s="2014" t="s">
        <v>1555</v>
      </c>
      <c r="D5" s="2015" t="s">
        <v>2815</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2812</v>
      </c>
      <c r="C6" s="2021"/>
      <c r="D6" s="2022" t="s">
        <v>1558</v>
      </c>
      <c r="E6" s="1023"/>
      <c r="F6" s="1022"/>
      <c r="G6" s="1075"/>
      <c r="I6" s="1071" t="str">
        <f>IF(COUNTIF(B5,"*上海银行*"),"上海银行","")</f>
        <v/>
      </c>
    </row>
    <row r="7" spans="1:10" ht="13.5" thickBot="1">
      <c r="A7" s="2006" t="s">
        <v>1559</v>
      </c>
      <c r="B7" s="2023" t="s">
        <v>2813</v>
      </c>
      <c r="C7" s="2024" t="str">
        <f>IF(B7="自然人","姓名","名称")</f>
        <v>姓名</v>
      </c>
      <c r="D7" s="2025"/>
      <c r="E7" s="1069"/>
      <c r="F7" s="1068"/>
      <c r="G7" s="1690"/>
    </row>
    <row r="8" spans="1:10" ht="13.5" thickTop="1">
      <c r="A8" s="2822" t="s">
        <v>1560</v>
      </c>
      <c r="B8" s="2026" t="s">
        <v>1561</v>
      </c>
      <c r="C8" s="2834"/>
      <c r="D8" s="2835"/>
      <c r="E8" s="2027" t="s">
        <v>1562</v>
      </c>
      <c r="F8" s="2028" t="s">
        <v>1563</v>
      </c>
      <c r="G8" s="691">
        <f>C6</f>
        <v>0</v>
      </c>
    </row>
    <row r="9" spans="1:10">
      <c r="A9" s="2822"/>
      <c r="B9" s="345" t="s">
        <v>1564</v>
      </c>
      <c r="C9" s="2717" t="s">
        <v>2899</v>
      </c>
      <c r="D9" s="2029"/>
      <c r="E9" s="1011" t="s">
        <v>1565</v>
      </c>
      <c r="F9" s="997" t="s">
        <v>485</v>
      </c>
      <c r="G9" s="1013"/>
    </row>
    <row r="10" spans="1:10" ht="13.5" thickBot="1">
      <c r="A10" s="2822"/>
      <c r="B10" s="345" t="s">
        <v>1566</v>
      </c>
      <c r="C10" s="2836"/>
      <c r="D10" s="2837"/>
      <c r="E10" s="2030" t="s">
        <v>1567</v>
      </c>
      <c r="F10" s="1014" t="s">
        <v>2900</v>
      </c>
      <c r="G10" s="1015"/>
    </row>
    <row r="11" spans="1:10" ht="13.5" thickBot="1">
      <c r="A11" s="2822"/>
      <c r="B11" s="2031" t="s">
        <v>1568</v>
      </c>
      <c r="C11" s="2838"/>
      <c r="D11" s="2839"/>
      <c r="E11" s="1023"/>
      <c r="F11" s="1022"/>
      <c r="G11" s="1075"/>
    </row>
    <row r="12" spans="1:10" ht="24.75" thickBot="1">
      <c r="A12" s="2825" t="s">
        <v>1569</v>
      </c>
      <c r="B12" s="2032" t="s">
        <v>1570</v>
      </c>
      <c r="C12" s="1017">
        <v>87.32</v>
      </c>
      <c r="D12" s="2032" t="s">
        <v>1571</v>
      </c>
      <c r="E12" s="2033" t="s">
        <v>1572</v>
      </c>
      <c r="F12" s="2034" t="s">
        <v>1573</v>
      </c>
      <c r="G12" s="1075"/>
    </row>
    <row r="13" spans="1:10" ht="21" customHeight="1" thickBot="1">
      <c r="A13" s="2826"/>
      <c r="B13" s="2035" t="s">
        <v>1574</v>
      </c>
      <c r="C13" s="1018">
        <v>0</v>
      </c>
      <c r="D13" s="2035" t="s">
        <v>1575</v>
      </c>
      <c r="E13" s="2036" t="s">
        <v>1572</v>
      </c>
      <c r="F13" s="1022"/>
      <c r="G13" s="1075"/>
      <c r="I13" s="2812"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2"/>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1.5</v>
      </c>
      <c r="D15" s="1068"/>
      <c r="E15" s="1068"/>
      <c r="F15" s="1068"/>
      <c r="G15" s="1690"/>
      <c r="I15" s="2812"/>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0" t="s">
        <v>1583</v>
      </c>
      <c r="C17" s="2841"/>
      <c r="D17" s="2842" t="s">
        <v>1584</v>
      </c>
      <c r="E17" s="2843"/>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8" t="s">
        <v>1599</v>
      </c>
      <c r="D27" s="2829"/>
      <c r="E27" s="1005"/>
      <c r="F27" s="1012" t="s">
        <v>1599</v>
      </c>
      <c r="G27" s="1005"/>
      <c r="I27" s="1072"/>
      <c r="K27" s="1072"/>
    </row>
    <row r="28" spans="1:15">
      <c r="A28" s="1009" t="s">
        <v>1600</v>
      </c>
      <c r="B28" s="979"/>
      <c r="C28" s="2830" t="s">
        <v>1601</v>
      </c>
      <c r="D28" s="2831"/>
      <c r="E28" s="979"/>
      <c r="F28" s="1900" t="s">
        <v>1601</v>
      </c>
      <c r="G28" s="979"/>
      <c r="I28" s="1072"/>
      <c r="K28" s="1072"/>
    </row>
    <row r="29" spans="1:15">
      <c r="A29" s="1009" t="s">
        <v>1602</v>
      </c>
      <c r="B29" s="979"/>
      <c r="C29" s="2830" t="s">
        <v>1602</v>
      </c>
      <c r="D29" s="2831"/>
      <c r="E29" s="979"/>
      <c r="F29" s="1900" t="s">
        <v>1603</v>
      </c>
      <c r="G29" s="979"/>
      <c r="I29" s="1072"/>
      <c r="K29" s="1072"/>
    </row>
    <row r="30" spans="1:15">
      <c r="A30" s="1009" t="s">
        <v>1604</v>
      </c>
      <c r="B30" s="979"/>
      <c r="C30" s="2819" t="s">
        <v>1605</v>
      </c>
      <c r="D30" s="2074"/>
      <c r="E30" s="1024" t="str">
        <f>E31&amp;" "&amp;E32&amp;" "&amp;E33&amp;" "&amp;E34</f>
        <v xml:space="preserve">   </v>
      </c>
      <c r="F30" s="1900" t="s">
        <v>1606</v>
      </c>
      <c r="G30" s="979"/>
    </row>
    <row r="31" spans="1:15">
      <c r="A31" s="1009" t="s">
        <v>1607</v>
      </c>
      <c r="B31" s="979"/>
      <c r="C31" s="2820"/>
      <c r="D31" s="1899" t="s">
        <v>1608</v>
      </c>
      <c r="E31" s="979"/>
      <c r="F31" s="1900" t="s">
        <v>1609</v>
      </c>
      <c r="G31" s="979"/>
    </row>
    <row r="32" spans="1:15" ht="24.75" thickBot="1">
      <c r="A32" s="1010" t="s">
        <v>1610</v>
      </c>
      <c r="B32" s="1006"/>
      <c r="C32" s="2820"/>
      <c r="D32" s="1899" t="s">
        <v>1611</v>
      </c>
      <c r="E32" s="979"/>
      <c r="F32" s="1900" t="s">
        <v>1612</v>
      </c>
      <c r="G32" s="979"/>
    </row>
    <row r="33" spans="1:7">
      <c r="A33" s="1008" t="s">
        <v>1613</v>
      </c>
      <c r="B33" s="1005"/>
      <c r="C33" s="2820"/>
      <c r="D33" s="1899" t="s">
        <v>1614</v>
      </c>
      <c r="E33" s="979"/>
      <c r="F33" s="1900" t="s">
        <v>1615</v>
      </c>
      <c r="G33" s="979"/>
    </row>
    <row r="34" spans="1:7" ht="13.5" thickBot="1">
      <c r="A34" s="1009" t="s">
        <v>1616</v>
      </c>
      <c r="B34" s="979"/>
      <c r="C34" s="2821"/>
      <c r="D34" s="1899" t="s">
        <v>1617</v>
      </c>
      <c r="E34" s="979"/>
      <c r="F34" s="1901" t="s">
        <v>1618</v>
      </c>
      <c r="G34" s="1007"/>
    </row>
    <row r="35" spans="1:7">
      <c r="A35" s="1009" t="s">
        <v>1570</v>
      </c>
      <c r="B35" s="979">
        <v>87.32</v>
      </c>
      <c r="C35" s="2830" t="s">
        <v>1619</v>
      </c>
      <c r="D35" s="2831"/>
      <c r="E35" s="979"/>
      <c r="F35" s="1020" t="s">
        <v>1620</v>
      </c>
      <c r="G35" s="1005"/>
    </row>
    <row r="36" spans="1:7" ht="13.5" thickBot="1">
      <c r="A36" s="1009" t="s">
        <v>1621</v>
      </c>
      <c r="B36" s="979"/>
      <c r="C36" s="2832" t="s">
        <v>1622</v>
      </c>
      <c r="D36" s="2833"/>
      <c r="E36" s="1006"/>
      <c r="F36" s="1897" t="s">
        <v>1623</v>
      </c>
      <c r="G36" s="979"/>
    </row>
    <row r="37" spans="1:7" ht="13.5" thickBot="1">
      <c r="A37" s="1009" t="s">
        <v>1624</v>
      </c>
      <c r="B37" s="979"/>
      <c r="C37" s="2817" t="s">
        <v>1625</v>
      </c>
      <c r="D37" s="2075" t="s">
        <v>1609</v>
      </c>
      <c r="E37" s="1005"/>
      <c r="F37" s="1901" t="s">
        <v>1626</v>
      </c>
      <c r="G37" s="1006"/>
    </row>
    <row r="38" spans="1:7">
      <c r="A38" s="1009" t="s">
        <v>1627</v>
      </c>
      <c r="B38" s="979"/>
      <c r="C38" s="2823"/>
      <c r="D38" s="1899" t="s">
        <v>1616</v>
      </c>
      <c r="E38" s="979"/>
      <c r="F38" s="1012" t="s">
        <v>1628</v>
      </c>
      <c r="G38" s="1005"/>
    </row>
    <row r="39" spans="1:7">
      <c r="A39" s="1009" t="s">
        <v>1629</v>
      </c>
      <c r="B39" s="979"/>
      <c r="C39" s="2823" t="s">
        <v>1630</v>
      </c>
      <c r="D39" s="1899" t="s">
        <v>1570</v>
      </c>
      <c r="E39" s="979"/>
      <c r="F39" s="1900" t="s">
        <v>1631</v>
      </c>
      <c r="G39" s="979"/>
    </row>
    <row r="40" spans="1:7" ht="24.75" customHeight="1" thickBot="1">
      <c r="A40" s="1010" t="s">
        <v>1632</v>
      </c>
      <c r="B40" s="1006"/>
      <c r="C40" s="2824"/>
      <c r="D40" s="1902" t="s">
        <v>1574</v>
      </c>
      <c r="E40" s="1006"/>
      <c r="F40" s="1901" t="s">
        <v>1633</v>
      </c>
      <c r="G40" s="1006"/>
    </row>
    <row r="41" spans="1:7">
      <c r="A41" s="1011" t="s">
        <v>1634</v>
      </c>
      <c r="B41" s="1061"/>
      <c r="C41" s="2813" t="s">
        <v>1634</v>
      </c>
      <c r="D41" s="2814"/>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5" t="s">
        <v>1637</v>
      </c>
      <c r="D48" s="2816"/>
      <c r="E48" s="1056"/>
      <c r="F48" s="1901" t="s">
        <v>1638</v>
      </c>
      <c r="G48" s="1006"/>
    </row>
    <row r="49" spans="1:15">
      <c r="A49" s="1009" t="s">
        <v>1639</v>
      </c>
      <c r="B49" s="1055"/>
      <c r="C49" s="2817" t="s">
        <v>1640</v>
      </c>
      <c r="D49" s="2818"/>
      <c r="E49" s="1057"/>
      <c r="F49" s="1085"/>
      <c r="G49" s="1086"/>
    </row>
    <row r="50" spans="1:15" ht="13.5" thickBot="1">
      <c r="A50" s="1009" t="s">
        <v>1641</v>
      </c>
      <c r="B50" s="1055"/>
      <c r="C50" s="2824" t="s">
        <v>1642</v>
      </c>
      <c r="D50" s="2827"/>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8" sqref="D28"/>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43143</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87.32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2808</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63.5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0.98</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261960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0.94</v>
      </c>
      <c r="F20" s="1239"/>
      <c r="G20" s="1861"/>
      <c r="H20" s="2848" t="s">
        <v>2874</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7" t="s">
        <v>2875</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7" t="s">
        <v>2876</v>
      </c>
      <c r="I22" s="2750" t="s">
        <v>2916</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7" t="s">
        <v>2877</v>
      </c>
      <c r="I23" s="2750" t="s">
        <v>2878</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7" t="s">
        <v>2879</v>
      </c>
      <c r="I24" s="2752">
        <f>ROUND(1-(1-I21)*I22/I23,2)</f>
        <v>0.92</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2880</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2013</v>
      </c>
      <c r="C26" s="1861"/>
      <c r="D26" s="2100" t="s">
        <v>1692</v>
      </c>
      <c r="E26" s="40">
        <v>0.02</v>
      </c>
      <c r="F26" s="1858" t="s">
        <v>1690</v>
      </c>
      <c r="G26" s="2083"/>
      <c r="H26" s="2849" t="s">
        <v>2881</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2882</v>
      </c>
      <c r="I27" s="2756" t="s">
        <v>2883</v>
      </c>
      <c r="J27" s="2756" t="s">
        <v>2884</v>
      </c>
      <c r="K27" s="2756" t="s">
        <v>2885</v>
      </c>
      <c r="L27" s="2756" t="s">
        <v>2886</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v>
      </c>
      <c r="G28" s="2083"/>
      <c r="H28" s="2755" t="s">
        <v>2887</v>
      </c>
      <c r="I28" s="2756">
        <v>100</v>
      </c>
      <c r="J28" s="2756" t="s">
        <v>2888</v>
      </c>
      <c r="K28" s="2756">
        <v>95</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2000</v>
      </c>
      <c r="C29" s="1239"/>
      <c r="D29" s="2104" t="s">
        <v>1697</v>
      </c>
      <c r="E29" s="989">
        <f>E30+E31</f>
        <v>5.5000000000000007E-2</v>
      </c>
      <c r="F29" s="1855"/>
      <c r="G29" s="2083"/>
      <c r="H29" s="2755" t="s">
        <v>2889</v>
      </c>
      <c r="I29" s="2756">
        <v>100</v>
      </c>
      <c r="J29" s="2756" t="s">
        <v>2888</v>
      </c>
      <c r="K29" s="2756">
        <v>95</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2890</v>
      </c>
      <c r="I30" s="2756">
        <v>100</v>
      </c>
      <c r="J30" s="2756" t="s">
        <v>2888</v>
      </c>
      <c r="K30" s="2756">
        <v>95</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5.000000000000001E-3</v>
      </c>
      <c r="F31" s="1855"/>
      <c r="G31" s="2083"/>
      <c r="H31" s="2758" t="s">
        <v>2880</v>
      </c>
      <c r="I31" s="2759">
        <f>1-I25</f>
        <v>0.5</v>
      </c>
      <c r="J31" s="2756" t="s">
        <v>2879</v>
      </c>
      <c r="K31" s="2760">
        <v>0.95</v>
      </c>
      <c r="L31" s="27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0.05</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t="s">
        <v>2919</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c r="D5" s="2151"/>
      <c r="E5" s="2155"/>
      <c r="F5" s="1893" t="s">
        <v>1749</v>
      </c>
      <c r="G5" s="2157" t="s">
        <v>1750</v>
      </c>
      <c r="H5" s="2148"/>
      <c r="I5" s="2148"/>
      <c r="J5" s="2148"/>
      <c r="K5" s="2148"/>
      <c r="L5" s="2148"/>
      <c r="M5" s="2148"/>
      <c r="N5" s="2148"/>
      <c r="O5" s="2148"/>
      <c r="P5" s="2148"/>
      <c r="Q5" s="2148"/>
      <c r="R5" s="2148"/>
    </row>
    <row r="6" spans="1:29" ht="81">
      <c r="A6" s="412"/>
      <c r="B6" s="1893" t="s">
        <v>1751</v>
      </c>
      <c r="C6" s="2722" t="s">
        <v>2920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2922</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2930</v>
      </c>
      <c r="D8" s="2158"/>
      <c r="E8" s="2158"/>
      <c r="F8" s="1248"/>
      <c r="G8" s="1248"/>
      <c r="H8" s="2148"/>
      <c r="I8" s="2148"/>
      <c r="J8" s="2148"/>
      <c r="K8" s="2148"/>
      <c r="L8" s="2148"/>
      <c r="M8" s="2148"/>
      <c r="N8" s="2148"/>
      <c r="O8" s="2148"/>
      <c r="P8" s="2148"/>
      <c r="Q8" s="2148"/>
      <c r="R8" s="2148"/>
    </row>
    <row r="9" spans="1:29" ht="67.5">
      <c r="A9" s="412"/>
      <c r="B9" s="1893" t="s">
        <v>1756</v>
      </c>
      <c r="C9" s="2727" t="s">
        <v>2924</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2925</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t="str">
        <f>C3</f>
        <v>估价对象周围有康居小区、果园新里、大唐庄、密西花园等住宅小区</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估价对象紧邻城市次干道——新西路，以估价对象为中心半径2公里范围内有密2路、密12路、密13路等公交线路，综合评价交通便捷度一般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自然环境：滨河公园、白河郊野公园、密西公园等；人文环境：密云区博物馆、密云区政府等，综合评价环境状况较好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城市次干道——新西路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4" zoomScaleNormal="100" zoomScaleSheetLayoutView="100" zoomScalePageLayoutView="80" workbookViewId="0">
      <selection activeCell="F27" sqref="F27"/>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6" t="str">
        <f>项目基本情况!B1</f>
        <v>房地产市场价值预评估</v>
      </c>
      <c r="B2" s="2916"/>
      <c r="C2" s="2916"/>
      <c r="D2" s="2916"/>
      <c r="E2" s="2916"/>
      <c r="F2" s="2916"/>
      <c r="G2" s="2916"/>
      <c r="H2" s="2916"/>
      <c r="I2" s="2916"/>
    </row>
    <row r="3" spans="1:12" ht="12.75">
      <c r="A3" s="2919" t="s">
        <v>1772</v>
      </c>
      <c r="B3" s="2920"/>
      <c r="C3" s="2920"/>
      <c r="D3" s="2920"/>
      <c r="E3" s="2920"/>
      <c r="F3" s="2920"/>
      <c r="G3" s="2920"/>
      <c r="H3" s="2920"/>
      <c r="I3" s="2920"/>
    </row>
    <row r="4" spans="1:12" ht="14.25">
      <c r="A4" s="2203" t="s">
        <v>1773</v>
      </c>
      <c r="B4" s="2204" t="s">
        <v>1774</v>
      </c>
      <c r="C4" s="2205" t="s">
        <v>2910</v>
      </c>
      <c r="D4" s="2205" t="s">
        <v>2858</v>
      </c>
      <c r="E4" s="2900" t="s">
        <v>1775</v>
      </c>
      <c r="F4" s="2901"/>
      <c r="G4" s="2901"/>
      <c r="H4" s="2901"/>
      <c r="I4" s="2911"/>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3" t="s">
        <v>1776</v>
      </c>
      <c r="B5" s="2855">
        <v>25</v>
      </c>
      <c r="C5" s="2904">
        <v>80</v>
      </c>
      <c r="D5" s="2918">
        <f>100-C5</f>
        <v>20</v>
      </c>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2121439</v>
      </c>
      <c r="D19" s="60">
        <f ca="1">SUMIF(INDIRECT("'"&amp;D4&amp;"'"&amp;"!A:A"),结果表!B19,INDIRECT("'"&amp;D4&amp;"'"&amp;"!B:B"))</f>
        <v>676249</v>
      </c>
      <c r="E19" s="2212" t="s">
        <v>1797</v>
      </c>
      <c r="F19" s="2213" t="s">
        <v>1796</v>
      </c>
      <c r="G19" s="61">
        <f ca="1">ROUND(C19*$C$18+D19*$D$18,0)</f>
        <v>1832401</v>
      </c>
      <c r="H19" s="2214" t="str">
        <f>'数据-取费表'!B3</f>
        <v>元</v>
      </c>
      <c r="I19" s="2201"/>
    </row>
    <row r="20" spans="1:35" ht="15">
      <c r="A20" s="2215"/>
      <c r="B20" s="2216" t="s">
        <v>1798</v>
      </c>
      <c r="C20" s="62">
        <f ca="1">SUMIF(INDIRECT("'"&amp;C4&amp;"'"&amp;"!A:A"),结果表!B20,INDIRECT("'"&amp;C4&amp;"'"&amp;"!B:B"))</f>
        <v>24295</v>
      </c>
      <c r="D20" s="63">
        <f ca="1">SUMIF(INDIRECT("'"&amp;D4&amp;"'"&amp;"!A:A"),结果表!B20,INDIRECT("'"&amp;D4&amp;"'"&amp;"!B:B"))</f>
        <v>7744</v>
      </c>
      <c r="E20" s="2215"/>
      <c r="F20" s="2216" t="s">
        <v>1798</v>
      </c>
      <c r="G20" s="64">
        <f ca="1">ROUND(C20*$C$18+D20*$D$18,0)</f>
        <v>20985</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2.1370678551835196</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2873</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20985</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8856</v>
      </c>
      <c r="D34" s="1092">
        <f ca="1">IF(D33="自定义",ROUND(C34/C32,3),1-D35)</f>
        <v>0.42200000000000004</v>
      </c>
      <c r="E34" s="2239" t="s">
        <v>1811</v>
      </c>
      <c r="F34" s="1834">
        <v>2000</v>
      </c>
      <c r="G34" s="2201"/>
      <c r="H34" s="2201"/>
      <c r="I34" s="2201"/>
    </row>
    <row r="35" spans="1:16" ht="15.75" hidden="1" thickBot="1">
      <c r="A35" s="2240"/>
      <c r="B35" s="2241" t="s">
        <v>1812</v>
      </c>
      <c r="C35" s="74">
        <f ca="1">IF(D33="自定义",F35,ROUND(C32*D35,0))</f>
        <v>12129</v>
      </c>
      <c r="D35" s="1091">
        <f ca="1">IF(D33="自定义",ROUND(C35/C32,3),IF(D33="成本法成本比率",成本法!C56,IF(D33="收益法收益比率",收益法!J38,收益法!J41)))</f>
        <v>0.57799999999999996</v>
      </c>
      <c r="E35" s="2242" t="s">
        <v>1813</v>
      </c>
      <c r="F35" s="80">
        <v>4460</v>
      </c>
      <c r="G35" s="2201"/>
      <c r="H35" s="2201"/>
      <c r="I35" s="2201"/>
    </row>
    <row r="36" spans="1:16" ht="15.75" hidden="1" thickBot="1">
      <c r="A36" s="2906" t="s">
        <v>1814</v>
      </c>
      <c r="B36" s="2243" t="s">
        <v>1815</v>
      </c>
      <c r="C36" s="70">
        <v>0</v>
      </c>
      <c r="D36" s="2244"/>
      <c r="E36" s="2245"/>
      <c r="F36" s="2245"/>
      <c r="G36" s="2201"/>
      <c r="H36" s="2201"/>
      <c r="I36" s="2201"/>
    </row>
    <row r="37" spans="1:16" ht="15.75" hidden="1" thickBot="1">
      <c r="A37" s="2907"/>
      <c r="B37" s="2246" t="s">
        <v>1816</v>
      </c>
      <c r="C37" s="72">
        <v>0</v>
      </c>
      <c r="D37" s="2211"/>
      <c r="E37" s="2211"/>
      <c r="F37" s="2245"/>
      <c r="G37" s="2211"/>
      <c r="H37" s="2211"/>
      <c r="I37" s="2211"/>
    </row>
    <row r="38" spans="1:16" ht="15.75" hidden="1" thickBot="1">
      <c r="A38" s="2908"/>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2" t="s">
        <v>1825</v>
      </c>
      <c r="B45" s="2913"/>
      <c r="C45" s="2914"/>
      <c r="D45" s="81">
        <f ca="1">ROUND(I102*F45,0)</f>
        <v>1832410</v>
      </c>
      <c r="E45" s="82" t="s">
        <v>1826</v>
      </c>
      <c r="F45" s="83">
        <v>1</v>
      </c>
      <c r="G45" s="84" t="s">
        <v>1827</v>
      </c>
      <c r="H45" s="2201"/>
      <c r="I45" s="2201"/>
      <c r="J45" s="2974" t="s">
        <v>1828</v>
      </c>
      <c r="K45" s="2974"/>
      <c r="L45" s="2974"/>
      <c r="M45" s="2974"/>
      <c r="N45" s="2974"/>
      <c r="O45" s="2974"/>
      <c r="P45" s="1851"/>
    </row>
    <row r="46" spans="1:16" ht="14.25" hidden="1" customHeight="1">
      <c r="A46" s="2897" t="s">
        <v>1829</v>
      </c>
      <c r="B46" s="2898"/>
      <c r="C46" s="2898"/>
      <c r="D46" s="2898"/>
      <c r="E46" s="2898"/>
      <c r="F46" s="2898"/>
      <c r="G46" s="2899"/>
      <c r="H46" s="2263"/>
      <c r="I46" s="1145"/>
      <c r="J46" s="1889">
        <v>1</v>
      </c>
      <c r="K46" s="2974" t="s">
        <v>1830</v>
      </c>
      <c r="L46" s="2974"/>
      <c r="M46" s="2975" t="str">
        <f>项目基本情况!B1</f>
        <v>房地产市场价值预评估</v>
      </c>
      <c r="N46" s="2975"/>
      <c r="O46" s="2975"/>
      <c r="P46" s="1851"/>
    </row>
    <row r="47" spans="1:16" ht="12" hidden="1" customHeight="1">
      <c r="A47" s="86" t="s">
        <v>1831</v>
      </c>
      <c r="B47" s="87"/>
      <c r="C47" s="88"/>
      <c r="D47" s="89" t="s">
        <v>1832</v>
      </c>
      <c r="E47" s="14" t="s">
        <v>1833</v>
      </c>
      <c r="F47" s="90" t="s">
        <v>1834</v>
      </c>
      <c r="G47" s="91" t="s">
        <v>1835</v>
      </c>
      <c r="H47" s="2263"/>
      <c r="I47" s="1145"/>
      <c r="J47" s="1889">
        <v>2</v>
      </c>
      <c r="K47" s="2974" t="s">
        <v>1836</v>
      </c>
      <c r="L47" s="2974"/>
      <c r="M47" s="2976">
        <f>'数据-取费表'!B2</f>
        <v>43143</v>
      </c>
      <c r="N47" s="2976"/>
      <c r="O47" s="2976"/>
      <c r="P47" s="1851"/>
    </row>
    <row r="48" spans="1:16" ht="25.5" hidden="1">
      <c r="A48" s="2909" t="s">
        <v>1837</v>
      </c>
      <c r="B48" s="2910"/>
      <c r="C48" s="2910"/>
      <c r="D48" s="56">
        <f ca="1">IF(H48="情况1",0,IF(H48="情况2",D52,IF(H48="情况3",D53,IF(H48="情况4",D54))))</f>
        <v>95983</v>
      </c>
      <c r="E48" s="1899" t="str">
        <f>IF(H48="情况4","(销售额-原购置价)×税（费）率","销售额×税（费）率")</f>
        <v>销售额×税（费）率</v>
      </c>
      <c r="F48" s="92">
        <f>IF(H48="情况1","免征",'数据-取费表'!E29)</f>
        <v>5.5000000000000007E-2</v>
      </c>
      <c r="G48" s="2264" t="s">
        <v>1838</v>
      </c>
      <c r="H48" s="2265" t="s">
        <v>1839</v>
      </c>
      <c r="I48" s="2263"/>
      <c r="J48" s="1889">
        <v>3</v>
      </c>
      <c r="K48" s="2974" t="s">
        <v>1840</v>
      </c>
      <c r="L48" s="2974"/>
      <c r="M48" s="2975">
        <f ca="1">I102</f>
        <v>1832410</v>
      </c>
      <c r="N48" s="2975"/>
      <c r="O48" s="2975"/>
      <c r="P48" s="1851"/>
    </row>
    <row r="49" spans="1:16" ht="25.5" hidden="1" customHeight="1">
      <c r="A49" s="93" t="s">
        <v>1841</v>
      </c>
      <c r="B49" s="2902" t="s">
        <v>1842</v>
      </c>
      <c r="C49" s="2902"/>
      <c r="D49" s="94">
        <v>0</v>
      </c>
      <c r="E49" s="13" t="s">
        <v>1843</v>
      </c>
      <c r="F49" s="18" t="s">
        <v>48</v>
      </c>
      <c r="G49" s="2967"/>
      <c r="H49" s="2201"/>
      <c r="I49" s="2266"/>
      <c r="J49" s="1889">
        <v>4</v>
      </c>
      <c r="K49" s="2974" t="str">
        <f>IF(项目基本情况!F5="房地产抵押价值","房地产抵押价值","抵押担保权已注销时的房地产抵押价值")</f>
        <v>抵押担保权已注销时的房地产抵押价值</v>
      </c>
      <c r="L49" s="2974"/>
      <c r="M49" s="2975" t="str">
        <f>IF(项目基本情况!E8="房地产抵押价值",I110,I112)</f>
        <v>——</v>
      </c>
      <c r="N49" s="2975"/>
      <c r="O49" s="2975"/>
      <c r="P49" s="1851"/>
    </row>
    <row r="50" spans="1:16" ht="25.5" hidden="1" customHeight="1">
      <c r="A50" s="95"/>
      <c r="B50" s="2902" t="s">
        <v>1844</v>
      </c>
      <c r="C50" s="2902"/>
      <c r="D50" s="96"/>
      <c r="E50" s="21"/>
      <c r="F50" s="97"/>
      <c r="G50" s="2968"/>
      <c r="H50" s="2201"/>
      <c r="I50" s="2266"/>
      <c r="J50" s="2974" t="s">
        <v>1845</v>
      </c>
      <c r="K50" s="2974"/>
      <c r="L50" s="2974"/>
      <c r="M50" s="2974"/>
      <c r="N50" s="2974"/>
      <c r="O50" s="2974"/>
      <c r="P50" s="1851"/>
    </row>
    <row r="51" spans="1:16" ht="12" hidden="1" customHeight="1">
      <c r="A51" s="98"/>
      <c r="B51" s="2902" t="s">
        <v>1846</v>
      </c>
      <c r="C51" s="2902"/>
      <c r="D51" s="99"/>
      <c r="E51" s="20"/>
      <c r="F51" s="97"/>
      <c r="G51" s="2969"/>
      <c r="H51" s="2201"/>
      <c r="I51" s="2266"/>
      <c r="J51" s="2267" t="s">
        <v>1847</v>
      </c>
      <c r="K51" s="2974" t="s">
        <v>1848</v>
      </c>
      <c r="L51" s="2974"/>
      <c r="M51" s="2267" t="s">
        <v>1849</v>
      </c>
      <c r="N51" s="2267" t="s">
        <v>1850</v>
      </c>
      <c r="O51" s="2267" t="s">
        <v>1851</v>
      </c>
      <c r="P51" s="1851"/>
    </row>
    <row r="52" spans="1:16" ht="24" hidden="1" customHeight="1">
      <c r="A52" s="100" t="s">
        <v>1852</v>
      </c>
      <c r="B52" s="2902" t="s">
        <v>1853</v>
      </c>
      <c r="C52" s="2902"/>
      <c r="D52" s="99">
        <f ca="1">ROUND(D45*'数据-取费表'!E29/(1+'数据-取费表'!F30),0)</f>
        <v>95983</v>
      </c>
      <c r="E52" s="10" t="s">
        <v>1854</v>
      </c>
      <c r="F52" s="101">
        <f>'数据-取费表'!E29</f>
        <v>5.5000000000000007E-2</v>
      </c>
      <c r="G52" s="2268"/>
      <c r="H52" s="2201"/>
      <c r="I52" s="2266"/>
      <c r="J52" s="1889">
        <v>1</v>
      </c>
      <c r="K52" s="2934" t="s">
        <v>1855</v>
      </c>
      <c r="L52" s="2934"/>
      <c r="M52" s="779">
        <f ca="1">D48</f>
        <v>95983</v>
      </c>
      <c r="N52" s="1889" t="str">
        <f>E48</f>
        <v>销售额×税（费）率</v>
      </c>
      <c r="O52" s="780">
        <f>F48</f>
        <v>5.5000000000000007E-2</v>
      </c>
      <c r="P52" s="1851"/>
    </row>
    <row r="53" spans="1:16" ht="12" hidden="1" customHeight="1">
      <c r="A53" s="100" t="s">
        <v>1856</v>
      </c>
      <c r="B53" s="2903" t="s">
        <v>1857</v>
      </c>
      <c r="C53" s="2831"/>
      <c r="D53" s="99">
        <f ca="1">ROUND(D45*'数据-取费表'!E29/(1+'数据-取费表'!F30),0)</f>
        <v>95983</v>
      </c>
      <c r="E53" s="10" t="s">
        <v>1854</v>
      </c>
      <c r="F53" s="101">
        <f>'数据-取费表'!E29</f>
        <v>5.5000000000000007E-2</v>
      </c>
      <c r="G53" s="2268"/>
      <c r="H53" s="2201"/>
      <c r="I53" s="2266"/>
      <c r="J53" s="1889">
        <v>2</v>
      </c>
      <c r="K53" s="2934" t="s">
        <v>1858</v>
      </c>
      <c r="L53" s="2934"/>
      <c r="M53" s="779">
        <f t="shared" ref="M53:O54" ca="1" si="1">D55</f>
        <v>916</v>
      </c>
      <c r="N53" s="1889" t="str">
        <f t="shared" si="1"/>
        <v>销售额×税（费）率</v>
      </c>
      <c r="O53" s="780">
        <f t="shared" si="1"/>
        <v>5.0000000000000001E-4</v>
      </c>
      <c r="P53" s="1851"/>
    </row>
    <row r="54" spans="1:16" ht="12" hidden="1" customHeight="1">
      <c r="A54" s="100" t="s">
        <v>1859</v>
      </c>
      <c r="B54" s="2903" t="s">
        <v>1860</v>
      </c>
      <c r="C54" s="2831"/>
      <c r="D54" s="99">
        <f ca="1">C68</f>
        <v>95983</v>
      </c>
      <c r="E54" s="20" t="s">
        <v>1861</v>
      </c>
      <c r="F54" s="101">
        <f>'数据-取费表'!E29</f>
        <v>5.5000000000000007E-2</v>
      </c>
      <c r="G54" s="2268"/>
      <c r="H54" s="2269"/>
      <c r="I54" s="2266"/>
      <c r="J54" s="1889">
        <v>3</v>
      </c>
      <c r="K54" s="2934" t="s">
        <v>1862</v>
      </c>
      <c r="L54" s="2934"/>
      <c r="M54" s="779">
        <f t="shared" ca="1" si="1"/>
        <v>1038802</v>
      </c>
      <c r="N54" s="1889" t="str">
        <f t="shared" si="1"/>
        <v>增值额×税（费）率</v>
      </c>
      <c r="O54" s="781" t="str">
        <f t="shared" si="1"/>
        <v>——</v>
      </c>
      <c r="P54" s="1851"/>
    </row>
    <row r="55" spans="1:16" ht="24" hidden="1" customHeight="1">
      <c r="A55" s="2823" t="s">
        <v>1863</v>
      </c>
      <c r="B55" s="2910"/>
      <c r="C55" s="2910"/>
      <c r="D55" s="102">
        <f ca="1">IF(H55="个人住宅",0,ROUND(D45*I55,0))</f>
        <v>916</v>
      </c>
      <c r="E55" s="10" t="s">
        <v>1864</v>
      </c>
      <c r="F55" s="101">
        <f>IF(H55="正常",I55,"免征")</f>
        <v>5.0000000000000001E-4</v>
      </c>
      <c r="G55" s="2268"/>
      <c r="H55" s="2265" t="s">
        <v>1865</v>
      </c>
      <c r="I55" s="103">
        <f>'数据-取费表'!E37</f>
        <v>5.0000000000000001E-4</v>
      </c>
      <c r="J55" s="1889">
        <f>IF(H59="非个人房产","",4)</f>
        <v>4</v>
      </c>
      <c r="K55" s="2934" t="str">
        <f>IF(H59="非个人房产","——","个人所得税")</f>
        <v>个人所得税</v>
      </c>
      <c r="L55" s="2934"/>
      <c r="M55" s="782">
        <f ca="1">D59</f>
        <v>18324</v>
      </c>
      <c r="N55" s="1892" t="str">
        <f>E59</f>
        <v>销售额×税（费）率</v>
      </c>
      <c r="O55" s="783">
        <f>F59</f>
        <v>0.01</v>
      </c>
      <c r="P55" s="1851"/>
    </row>
    <row r="56" spans="1:16" ht="24.75" hidden="1">
      <c r="A56" s="2823" t="s">
        <v>1866</v>
      </c>
      <c r="B56" s="2910"/>
      <c r="C56" s="2910"/>
      <c r="D56" s="102">
        <f ca="1">IF(H56="个人住宅",D57,D58)</f>
        <v>1038802</v>
      </c>
      <c r="E56" s="10" t="s">
        <v>1867</v>
      </c>
      <c r="F56" s="101" t="str">
        <f>IF(H56="正常",F58,"免征")</f>
        <v>——</v>
      </c>
      <c r="G56" s="2270" t="s">
        <v>1868</v>
      </c>
      <c r="H56" s="2271" t="s">
        <v>1865</v>
      </c>
      <c r="I56" s="1023"/>
      <c r="J56" s="1889" t="str">
        <f>IF(项目基本情况!I6="上海银行",IF(J55="",4,J55+1),"")</f>
        <v/>
      </c>
      <c r="K56" s="2952" t="str">
        <f>IF(项目基本情况!I6="上海银行","其他处置费用","")</f>
        <v/>
      </c>
      <c r="L56" s="2953"/>
      <c r="M56" s="779" t="str">
        <f>IF(项目基本情况!I6="上海银行",M69,"")</f>
        <v/>
      </c>
      <c r="N56" s="2965" t="str">
        <f>IF(项目基本情况!I6="上海银行","包含处置中涉及的律师、诉讼、拍卖、评估等费用","")</f>
        <v/>
      </c>
      <c r="O56" s="2966"/>
      <c r="P56" s="1851"/>
    </row>
    <row r="57" spans="1:16" ht="12.75" hidden="1">
      <c r="A57" s="100" t="s">
        <v>1841</v>
      </c>
      <c r="B57" s="2900" t="s">
        <v>1869</v>
      </c>
      <c r="C57" s="2911"/>
      <c r="D57" s="104">
        <v>0</v>
      </c>
      <c r="E57" s="13" t="s">
        <v>1843</v>
      </c>
      <c r="F57" s="71"/>
      <c r="G57" s="2268"/>
      <c r="H57" s="1023"/>
      <c r="I57" s="1023"/>
      <c r="J57" s="2934">
        <f>IF(AND(J55="",J56=""),4,IF(项目基本情况!I6="上海银行",J56+1,J55+1))</f>
        <v>5</v>
      </c>
      <c r="K57" s="2934" t="s">
        <v>1870</v>
      </c>
      <c r="L57" s="2272" t="s">
        <v>1871</v>
      </c>
      <c r="M57" s="784"/>
      <c r="N57" s="785">
        <f ca="1">SUMIF(M52:M56,"&lt;9e307")</f>
        <v>1154025</v>
      </c>
      <c r="O57" s="2273"/>
      <c r="P57" s="1847" t="e">
        <f ca="1">N57/M49</f>
        <v>#VALUE!</v>
      </c>
    </row>
    <row r="58" spans="1:16" ht="24.75" hidden="1">
      <c r="A58" s="100" t="s">
        <v>1852</v>
      </c>
      <c r="B58" s="2900" t="s">
        <v>1872</v>
      </c>
      <c r="C58" s="2901"/>
      <c r="D58" s="102">
        <f ca="1">IF(H58="转让取得",C81,C97)</f>
        <v>1038802</v>
      </c>
      <c r="E58" s="10" t="s">
        <v>1867</v>
      </c>
      <c r="F58" s="14" t="s">
        <v>48</v>
      </c>
      <c r="G58" s="2268"/>
      <c r="H58" s="2271" t="s">
        <v>1873</v>
      </c>
      <c r="I58" s="1023"/>
      <c r="J58" s="2934"/>
      <c r="K58" s="2934"/>
      <c r="L58" s="2272" t="s">
        <v>1874</v>
      </c>
      <c r="M58" s="786"/>
      <c r="N58" s="2274" t="str">
        <f ca="1">IF(H19="元",NUMBERSTRING(INT(N57),2)&amp;"元整",NUMBERSTRING(INT(N57*10000),2)&amp;"元整")</f>
        <v>壹佰壹拾伍万肆仟零贰拾伍元整</v>
      </c>
      <c r="O58" s="2275"/>
      <c r="P58" s="1851"/>
    </row>
    <row r="59" spans="1:16" ht="26.25" hidden="1" thickBot="1">
      <c r="A59" s="2824" t="s">
        <v>1875</v>
      </c>
      <c r="B59" s="2827"/>
      <c r="C59" s="2827"/>
      <c r="D59" s="105">
        <f ca="1">IF(H59="非个人房产","——",IF(H59="个人住宅",0,ROUND(D45*I59,0)))</f>
        <v>18324</v>
      </c>
      <c r="E59" s="106" t="str">
        <f>IF(H59="非个人房产","——","销售额×税（费）率")</f>
        <v>销售额×税（费）率</v>
      </c>
      <c r="F59" s="107">
        <f>IF(H59="非个人房产","——",IF(H59="个人住宅","免征",I59))</f>
        <v>0.01</v>
      </c>
      <c r="G59" s="2276" t="s">
        <v>1868</v>
      </c>
      <c r="H59" s="2271" t="s">
        <v>1876</v>
      </c>
      <c r="I59" s="108">
        <v>0.01</v>
      </c>
      <c r="J59" s="2932">
        <f>J57+1</f>
        <v>6</v>
      </c>
      <c r="K59" s="293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3"/>
      <c r="K60" s="2934"/>
      <c r="L60" s="2272" t="s">
        <v>1874</v>
      </c>
      <c r="M60" s="786"/>
      <c r="N60" s="2274" t="e">
        <f ca="1">IF(H19="元",NUMBERSTRING(INT(N59),2)&amp;"元整",NUMBERSTRING(INT(N59*10000),2)&amp;"元整")</f>
        <v>#VALUE!</v>
      </c>
      <c r="O60" s="2275"/>
      <c r="P60" s="1851"/>
    </row>
    <row r="61" spans="1:16" ht="13.5" hidden="1" thickBot="1">
      <c r="A61" s="2915" t="s">
        <v>1878</v>
      </c>
      <c r="B61" s="2915"/>
      <c r="C61" s="2915"/>
      <c r="D61" s="2915"/>
      <c r="E61" s="2915"/>
      <c r="F61" s="1023"/>
      <c r="G61" s="1023"/>
      <c r="H61" s="2254"/>
      <c r="I61" s="2201"/>
      <c r="J61" s="1889">
        <f>J59+1</f>
        <v>7</v>
      </c>
      <c r="K61" s="2934" t="s">
        <v>1879</v>
      </c>
      <c r="L61" s="2934"/>
      <c r="M61" s="789"/>
      <c r="N61" s="790" t="e">
        <f ca="1">IF(H19="元",ROUND(N59/项目基本情况!C12,0),ROUND(N59*10000/项目基本情况!C12,0))</f>
        <v>#VALUE!</v>
      </c>
      <c r="O61" s="2278"/>
      <c r="P61" s="1851"/>
    </row>
    <row r="62" spans="1:16" ht="12.75" hidden="1">
      <c r="A62" s="2922" t="s">
        <v>1880</v>
      </c>
      <c r="B62" s="292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1745152</v>
      </c>
      <c r="D63" s="113"/>
      <c r="E63" s="114"/>
      <c r="F63" s="1023"/>
      <c r="G63" s="1023"/>
      <c r="H63" s="2254"/>
      <c r="I63" s="2201"/>
      <c r="J63" s="295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1832410</v>
      </c>
      <c r="D64" s="118" t="s">
        <v>41</v>
      </c>
      <c r="E64" s="119"/>
      <c r="F64" s="1023"/>
      <c r="G64" s="1023"/>
      <c r="H64" s="2254"/>
      <c r="I64" s="2201"/>
      <c r="J64" s="295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4"/>
      <c r="K66" s="2279" t="s">
        <v>1893</v>
      </c>
      <c r="L66" s="1850" t="e">
        <f>M49*0.5%</f>
        <v>#VALUE!</v>
      </c>
      <c r="M66" s="14" t="e">
        <f>IF(L66&gt;0.5,0.5,ROUND(L66,0))</f>
        <v>#VALUE!</v>
      </c>
      <c r="N66" s="1851" t="s">
        <v>1894</v>
      </c>
      <c r="O66" s="1851"/>
      <c r="P66" s="1851"/>
    </row>
    <row r="67" spans="1:35" ht="12.75" hidden="1">
      <c r="A67" s="121" t="s">
        <v>42</v>
      </c>
      <c r="B67" s="122" t="s">
        <v>1895</v>
      </c>
      <c r="C67" s="125">
        <f ca="1">C63-C66</f>
        <v>1745152</v>
      </c>
      <c r="D67" s="118" t="s">
        <v>41</v>
      </c>
      <c r="E67" s="119"/>
      <c r="F67" s="1023"/>
      <c r="G67" s="1023"/>
      <c r="H67" s="2254"/>
      <c r="I67" s="2201"/>
      <c r="J67" s="295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95983</v>
      </c>
      <c r="D68" s="129">
        <f>'数据-取费表'!E29</f>
        <v>5.5000000000000007E-2</v>
      </c>
      <c r="E68" s="130"/>
      <c r="F68" s="1023"/>
      <c r="G68" s="1023"/>
      <c r="H68" s="2254"/>
      <c r="I68" s="2201"/>
      <c r="J68" s="295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6" t="s">
        <v>1900</v>
      </c>
      <c r="B70" s="2927"/>
      <c r="C70" s="2927"/>
      <c r="D70" s="2927"/>
      <c r="E70" s="2927"/>
      <c r="F70" s="2927"/>
      <c r="G70" s="2927"/>
      <c r="H70" s="2927"/>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2" t="s">
        <v>1880</v>
      </c>
      <c r="B71" s="292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1745152</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8726</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3" t="s">
        <v>1910</v>
      </c>
      <c r="F76" s="2902"/>
      <c r="G76" s="2902"/>
      <c r="H76" s="2917"/>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8726</v>
      </c>
      <c r="D78" s="146">
        <f>'数据-取费表'!E31</f>
        <v>5.000000000000001E-3</v>
      </c>
      <c r="E78" s="2894" t="s">
        <v>1915</v>
      </c>
      <c r="F78" s="2895"/>
      <c r="G78" s="2895"/>
      <c r="H78" s="289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1736426</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198.99449919779968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1038802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6" t="s">
        <v>1919</v>
      </c>
      <c r="B83" s="2927"/>
      <c r="C83" s="2927"/>
      <c r="D83" s="2927"/>
      <c r="E83" s="2927"/>
      <c r="F83" s="2927"/>
      <c r="G83" s="2927"/>
      <c r="H83" s="2927"/>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2" t="s">
        <v>1880</v>
      </c>
      <c r="B84" s="292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1745152</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8726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4" t="s">
        <v>1927</v>
      </c>
      <c r="F91" s="2895"/>
      <c r="G91" s="2895"/>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4" t="s">
        <v>1930</v>
      </c>
      <c r="F92" s="2895"/>
      <c r="G92" s="2895"/>
      <c r="H92" s="289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8726</v>
      </c>
      <c r="D93" s="146">
        <f>'数据-取费表'!E31</f>
        <v>5.000000000000001E-3</v>
      </c>
      <c r="E93" s="2894" t="s">
        <v>1915</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4" t="s">
        <v>1932</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1736426</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198.99449919779968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1038802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49" t="s">
        <v>1934</v>
      </c>
      <c r="B99" s="2950"/>
      <c r="C99" s="2950"/>
      <c r="D99" s="2951"/>
      <c r="E99" s="2201"/>
      <c r="F99" s="2960" t="s">
        <v>1935</v>
      </c>
      <c r="G99" s="2961"/>
      <c r="H99" s="2961"/>
      <c r="I99" s="2962"/>
    </row>
    <row r="100" spans="1:35" ht="15.75" hidden="1">
      <c r="A100" s="2963" t="s">
        <v>1936</v>
      </c>
      <c r="B100" s="2964"/>
      <c r="C100" s="721" t="str">
        <f>C4</f>
        <v>比较法-住宅</v>
      </c>
      <c r="D100" s="722" t="str">
        <f>D4</f>
        <v>收益法</v>
      </c>
      <c r="E100" s="2201"/>
      <c r="F100" s="2859" t="s">
        <v>1937</v>
      </c>
      <c r="G100" s="2860"/>
      <c r="H100" s="2859" t="s">
        <v>1938</v>
      </c>
      <c r="I100" s="2858"/>
    </row>
    <row r="101" spans="1:35" ht="15.75" hidden="1">
      <c r="A101" s="2941" t="s">
        <v>1939</v>
      </c>
      <c r="B101" s="2296" t="str">
        <f>IF(H19="元","总价（元）","总价（万元）")</f>
        <v>总价（元）</v>
      </c>
      <c r="C101" s="721">
        <f ca="1">C19</f>
        <v>2121439</v>
      </c>
      <c r="D101" s="722">
        <f ca="1">D19</f>
        <v>676249</v>
      </c>
      <c r="E101" s="2201"/>
      <c r="F101" s="2859" t="str">
        <f>项目基本情况!I1</f>
        <v>房地产</v>
      </c>
      <c r="G101" s="2860"/>
      <c r="H101" s="2857">
        <f>项目基本情况!C12</f>
        <v>87.32</v>
      </c>
      <c r="I101" s="2858"/>
    </row>
    <row r="102" spans="1:35" ht="15.75" hidden="1">
      <c r="A102" s="2941"/>
      <c r="B102" s="2296" t="s">
        <v>1940</v>
      </c>
      <c r="C102" s="723">
        <f ca="1">C20</f>
        <v>24295</v>
      </c>
      <c r="D102" s="724">
        <f ca="1">D20</f>
        <v>7744</v>
      </c>
      <c r="E102" s="2201"/>
      <c r="F102" s="2886" t="s">
        <v>1941</v>
      </c>
      <c r="G102" s="2887"/>
      <c r="H102" s="2297" t="str">
        <f>C106</f>
        <v>总价（元）</v>
      </c>
      <c r="I102" s="1868">
        <f ca="1">H121</f>
        <v>1832410</v>
      </c>
    </row>
    <row r="103" spans="1:35" ht="15" hidden="1">
      <c r="A103" s="2941" t="s">
        <v>1942</v>
      </c>
      <c r="B103" s="2298" t="str">
        <f>B101</f>
        <v>总价（元）</v>
      </c>
      <c r="C103" s="725">
        <f ca="1">H121</f>
        <v>1832410</v>
      </c>
      <c r="D103" s="726"/>
      <c r="E103" s="2201"/>
      <c r="F103" s="2886"/>
      <c r="G103" s="2887"/>
      <c r="H103" s="2297" t="s">
        <v>1940</v>
      </c>
      <c r="I103" s="1051">
        <f ca="1">I121</f>
        <v>20985</v>
      </c>
    </row>
    <row r="104" spans="1:35" ht="16.5" hidden="1" thickBot="1">
      <c r="A104" s="2942"/>
      <c r="B104" s="2299" t="s">
        <v>1940</v>
      </c>
      <c r="C104" s="727">
        <f ca="1">I121</f>
        <v>20985</v>
      </c>
      <c r="D104" s="728"/>
      <c r="E104" s="2201"/>
      <c r="F104" s="2958"/>
      <c r="G104" s="2959"/>
      <c r="H104" s="2943"/>
      <c r="I104" s="2944"/>
    </row>
    <row r="105" spans="1:35" ht="15.75" hidden="1">
      <c r="A105" s="2949" t="s">
        <v>1943</v>
      </c>
      <c r="B105" s="2950"/>
      <c r="C105" s="2950"/>
      <c r="D105" s="2951"/>
      <c r="E105" s="2201"/>
      <c r="F105" s="2947" t="s">
        <v>1944</v>
      </c>
      <c r="G105" s="2948"/>
      <c r="H105" s="2300" t="str">
        <f>C108</f>
        <v>总额（元）</v>
      </c>
      <c r="I105" s="1868">
        <f>SUMIF(I106:I108,"&lt;9E307")</f>
        <v>0</v>
      </c>
    </row>
    <row r="106" spans="1:35" ht="15" hidden="1">
      <c r="A106" s="2873" t="s">
        <v>1945</v>
      </c>
      <c r="B106" s="2874"/>
      <c r="C106" s="2297" t="str">
        <f>B101</f>
        <v>总价（元）</v>
      </c>
      <c r="D106" s="1052">
        <f ca="1">H121</f>
        <v>1832410</v>
      </c>
      <c r="E106" s="2201"/>
      <c r="F106" s="2875" t="s">
        <v>1946</v>
      </c>
      <c r="G106" s="2876"/>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3"/>
      <c r="B107" s="2874"/>
      <c r="C107" s="2297" t="s">
        <v>1940</v>
      </c>
      <c r="D107" s="1053">
        <f ca="1">I121</f>
        <v>20985</v>
      </c>
      <c r="E107" s="2201"/>
      <c r="F107" s="2875" t="s">
        <v>1947</v>
      </c>
      <c r="G107" s="2876"/>
      <c r="H107" s="2300" t="str">
        <f>C110</f>
        <v>总额（元）</v>
      </c>
      <c r="I107" s="1051">
        <f>C37</f>
        <v>0</v>
      </c>
      <c r="K107" s="2301"/>
    </row>
    <row r="108" spans="1:35" ht="15" hidden="1">
      <c r="A108" s="2880" t="s">
        <v>1948</v>
      </c>
      <c r="B108" s="2881"/>
      <c r="C108" s="2300" t="str">
        <f>IF(H19="元","总额（元）","总额（万元）")</f>
        <v>总额（元）</v>
      </c>
      <c r="D108" s="1052">
        <f>IF(D36="正常操作",I106+I107+I108,I107+I108)</f>
        <v>0</v>
      </c>
      <c r="E108" s="2201"/>
      <c r="F108" s="2875" t="s">
        <v>1949</v>
      </c>
      <c r="G108" s="2876"/>
      <c r="H108" s="2300" t="str">
        <f>C111</f>
        <v>总额（元）</v>
      </c>
      <c r="I108" s="1051">
        <f>C38</f>
        <v>0</v>
      </c>
    </row>
    <row r="109" spans="1:35" ht="15.75" hidden="1">
      <c r="A109" s="2875" t="s">
        <v>1946</v>
      </c>
      <c r="B109" s="2876"/>
      <c r="C109" s="2300" t="str">
        <f>C108</f>
        <v>总额（元）</v>
      </c>
      <c r="D109" s="638">
        <f>IF(D36="同一抵押权人同一抵押物续贷",C36&amp;"（未扣减，详见特别提示）",C36)</f>
        <v>0</v>
      </c>
      <c r="E109" s="2201"/>
      <c r="F109" s="2958"/>
      <c r="G109" s="2959"/>
      <c r="H109" s="2945"/>
      <c r="I109" s="2946"/>
    </row>
    <row r="110" spans="1:35" ht="28.5" hidden="1" customHeight="1">
      <c r="A110" s="2875" t="s">
        <v>1947</v>
      </c>
      <c r="B110" s="2876"/>
      <c r="C110" s="2300" t="str">
        <f>C108</f>
        <v>总额（元）</v>
      </c>
      <c r="D110" s="638">
        <f>C37</f>
        <v>0</v>
      </c>
      <c r="E110" s="2201"/>
      <c r="F110" s="2861" t="str">
        <f>IF(项目基本情况!F5="已注销","——","3.房地产抵押价值")</f>
        <v>3.房地产抵押价值</v>
      </c>
      <c r="G110" s="2862"/>
      <c r="H110" s="2302" t="str">
        <f>C112</f>
        <v>总价（元）</v>
      </c>
      <c r="I110" s="1869">
        <f ca="1">IF(F110="——","——",I102-I105)</f>
        <v>1832410</v>
      </c>
    </row>
    <row r="111" spans="1:35" ht="15" hidden="1">
      <c r="A111" s="2875" t="s">
        <v>1949</v>
      </c>
      <c r="B111" s="2876"/>
      <c r="C111" s="2300" t="str">
        <f>C108</f>
        <v>总额（元）</v>
      </c>
      <c r="D111" s="638">
        <f>C38</f>
        <v>0</v>
      </c>
      <c r="E111" s="2201"/>
      <c r="F111" s="2977"/>
      <c r="G111" s="2978"/>
      <c r="H111" s="2297" t="s">
        <v>1940</v>
      </c>
      <c r="I111" s="2303">
        <f ca="1">D113</f>
        <v>20985</v>
      </c>
    </row>
    <row r="112" spans="1:35" ht="26.25" hidden="1" customHeight="1">
      <c r="A112" s="2873" t="str">
        <f>IF(项目基本情况!F5="已注销","——","3.房地产抵押价值")</f>
        <v>3.房地产抵押价值</v>
      </c>
      <c r="B112" s="2874"/>
      <c r="C112" s="2297" t="str">
        <f>B101</f>
        <v>总价（元）</v>
      </c>
      <c r="D112" s="1052">
        <f ca="1">IF(A112="——","——",D106-D108)</f>
        <v>1832410</v>
      </c>
      <c r="E112" s="2201"/>
      <c r="F112" s="2861" t="str">
        <f>IF(项目基本情况!F5="已注销及未注销","4.抵押担保权已注销时的房地产抵押价值",IF(项目基本情况!F5="已注销","3.抵押担保权已注销时的房地产抵押价值","——"))</f>
        <v>——</v>
      </c>
      <c r="G112" s="2862"/>
      <c r="H112" s="2302" t="str">
        <f>C114</f>
        <v>总价（元）</v>
      </c>
      <c r="I112" s="1869" t="str">
        <f>IF(F112="——","——",I102-I107-I108)</f>
        <v>——</v>
      </c>
    </row>
    <row r="113" spans="1:15" ht="15" hidden="1">
      <c r="A113" s="2873"/>
      <c r="B113" s="2874"/>
      <c r="C113" s="2297" t="s">
        <v>1940</v>
      </c>
      <c r="D113" s="1053">
        <f ca="1">ROUND(IF(D112=D106,D107,IF(H19="元",D112/项目基本情况!C12,D112*10000/项目基本情况!C12)),0)</f>
        <v>20985</v>
      </c>
      <c r="E113" s="2201"/>
      <c r="F113" s="2977"/>
      <c r="G113" s="2978"/>
      <c r="H113" s="2297" t="s">
        <v>1940</v>
      </c>
      <c r="I113" s="2304" t="str">
        <f>D115</f>
        <v>——</v>
      </c>
    </row>
    <row r="114" spans="1:15" ht="15.75" hidden="1">
      <c r="A114" s="2873" t="str">
        <f>IF(项目基本情况!F5="已注销及未注销","4.抵押担保权已注销时的房地产抵押价值",IF(项目基本情况!F5="已注销","3.抵押担保权已注销时的房地产抵押价值","——"))</f>
        <v>——</v>
      </c>
      <c r="B114" s="2874"/>
      <c r="C114" s="2297" t="str">
        <f>B101</f>
        <v>总价（元）</v>
      </c>
      <c r="D114" s="1052" t="str">
        <f>IF(A114="——","——",D106-D110-D111)</f>
        <v>——</v>
      </c>
      <c r="E114" s="2201"/>
      <c r="F114" s="2861" t="str">
        <f>IF(项目基本情况!G5="抵押净值",IF(OR(项目基本情况!F5="已注销",项目基本情况!F5="房地产抵押价值"),"4.抵押净值","5.抵押净值"),"——")</f>
        <v>——</v>
      </c>
      <c r="G114" s="2862"/>
      <c r="H114" s="2297" t="str">
        <f>C116</f>
        <v>总价（元）</v>
      </c>
      <c r="I114" s="1868" t="str">
        <f>IF(F114="——","——",N59)</f>
        <v>——</v>
      </c>
    </row>
    <row r="115" spans="1:15" ht="15.75" hidden="1" thickBot="1">
      <c r="A115" s="2873"/>
      <c r="B115" s="2874"/>
      <c r="C115" s="2297" t="s">
        <v>1940</v>
      </c>
      <c r="D115" s="1053" t="str">
        <f>IF(A114="——","——",ROUND(IF(D114=D106,D107,IF(H19="元",D114/项目基本情况!C12,D114*10000/项目基本情况!C12)),0))</f>
        <v>——</v>
      </c>
      <c r="E115" s="2201"/>
      <c r="F115" s="2863"/>
      <c r="G115" s="2864"/>
      <c r="H115" s="2305" t="s">
        <v>1940</v>
      </c>
      <c r="I115" s="1870" t="str">
        <f ca="1">D117</f>
        <v>——</v>
      </c>
    </row>
    <row r="116" spans="1:15" ht="15.75" hidden="1">
      <c r="A116" s="2873" t="str">
        <f>IF(项目基本情况!G5="抵押净值",IF(OR(项目基本情况!F5="已注销",项目基本情况!F5="房地产抵押价值"),"4.抵押净值","5.抵押净值"),"——")</f>
        <v>——</v>
      </c>
      <c r="B116" s="2874"/>
      <c r="C116" s="2297" t="str">
        <f>B101</f>
        <v>总价（元）</v>
      </c>
      <c r="D116" s="1052" t="str">
        <f>IF(A116="——","——",N59)</f>
        <v>——</v>
      </c>
      <c r="E116" s="2201"/>
      <c r="F116" s="2973"/>
      <c r="G116" s="2973"/>
      <c r="H116" s="2929"/>
      <c r="I116" s="2929"/>
      <c r="N116" s="55"/>
      <c r="O116" s="55"/>
    </row>
    <row r="117" spans="1:15" ht="15.75" hidden="1" thickBot="1">
      <c r="A117" s="2878"/>
      <c r="B117" s="2879"/>
      <c r="C117" s="2305" t="s">
        <v>1940</v>
      </c>
      <c r="D117" s="1054" t="str">
        <f ca="1">IF(D116=D112,D113,IF(A116="——","——",N61))</f>
        <v>——</v>
      </c>
      <c r="E117" s="2201"/>
      <c r="F117" s="2853" t="str">
        <f>IF(B32="总价","（以上估价结果中单价为总价除以建筑面积得出）","（以上估价结果中总价为楼面单价乘以建筑面积得出）")</f>
        <v>（以上估价结果中总价为楼面单价乘以建筑面积得出）</v>
      </c>
      <c r="G117" s="2853"/>
      <c r="H117" s="2853"/>
      <c r="I117" s="2853"/>
      <c r="N117" s="55"/>
      <c r="O117" s="55"/>
    </row>
    <row r="118" spans="1:15" ht="15" hidden="1">
      <c r="A118" s="2930" t="s">
        <v>1950</v>
      </c>
      <c r="B118" s="2931"/>
      <c r="C118" s="2931"/>
      <c r="D118" s="2931"/>
      <c r="E118" s="2931"/>
      <c r="F118" s="2931"/>
      <c r="G118" s="2931"/>
      <c r="H118" s="2931"/>
      <c r="I118" s="2931"/>
    </row>
    <row r="119" spans="1:15" ht="14.25" hidden="1">
      <c r="A119" s="2854" t="s">
        <v>1951</v>
      </c>
      <c r="B119" s="2884" t="s">
        <v>1952</v>
      </c>
      <c r="C119" s="2884" t="s">
        <v>1953</v>
      </c>
      <c r="D119" s="2956" t="s">
        <v>1954</v>
      </c>
      <c r="E119" s="2957"/>
      <c r="F119" s="2855" t="s">
        <v>1812</v>
      </c>
      <c r="G119" s="2855"/>
      <c r="H119" s="2855" t="s">
        <v>1955</v>
      </c>
      <c r="I119" s="2955"/>
    </row>
    <row r="120" spans="1:15" ht="14.25" hidden="1">
      <c r="A120" s="2854"/>
      <c r="B120" s="2885"/>
      <c r="C120" s="2885"/>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87.32</v>
      </c>
      <c r="C121" s="1893">
        <f>项目基本情况!C13</f>
        <v>0</v>
      </c>
      <c r="D121" s="1893">
        <f ca="1">ROUND(IF(B32="总价",C34,IF('数据-取费表'!B3="万元",E121*B121/10000,E121*B121)),0)</f>
        <v>773306</v>
      </c>
      <c r="E121" s="1893">
        <f ca="1">ROUND(IF(B32="楼面单价",C34,IF(H19="元",D121/B121,D121*10000/B121)),0)</f>
        <v>8856</v>
      </c>
      <c r="F121" s="1893">
        <f ca="1">ROUND(IF(B32="总价",C35,IF('数据-取费表'!B3="万元",G121*B121/10000,G121*B121)),0)</f>
        <v>1059104</v>
      </c>
      <c r="G121" s="1893">
        <f ca="1">ROUND(IF(B32="楼面单价",C35,IF(H19="元",F121/B121,F121*10000/B121)),0)</f>
        <v>12129</v>
      </c>
      <c r="H121" s="1893">
        <f ca="1">ROUND(IF(B32="总价",C32,IF('数据-取费表'!B3="万元",I121*B121/10000,I121*B121)),0)</f>
        <v>1832410</v>
      </c>
      <c r="I121" s="638">
        <f ca="1">ROUND(IF(B32="楼面单价",C32,IF(H19="元",H121/B121,H121*10000/B121)),0)</f>
        <v>20985</v>
      </c>
    </row>
    <row r="122" spans="1:15" ht="14.25" hidden="1">
      <c r="A122" s="2854" t="s">
        <v>1959</v>
      </c>
      <c r="B122" s="2855"/>
      <c r="C122" s="2855"/>
      <c r="D122" s="2888" t="str">
        <f ca="1">IF(H19="元",NUMBERSTRING(INT(D121),2)&amp;"元整",NUMBERSTRING(INT(D121*10000),2)&amp;"元整")</f>
        <v>柒拾柒万叁仟叁佰零陆元整</v>
      </c>
      <c r="E122" s="2935"/>
      <c r="F122" s="2888" t="str">
        <f ca="1">IF(H19="元",NUMBERSTRING(INT(F121),2)&amp;"元整",NUMBERSTRING(INT(F121*10000),2)&amp;"元整")</f>
        <v>壹佰零伍万玖仟壹佰零肆元整</v>
      </c>
      <c r="G122" s="2935"/>
      <c r="H122" s="2888" t="str">
        <f ca="1">IF(H19="元",NUMBERSTRING(INT(H121),2)&amp;"元整",NUMBERSTRING(INT(H121*10000),2)&amp;"元整")</f>
        <v>壹佰捌拾叁万贰仟肆佰壹拾元整</v>
      </c>
      <c r="I122" s="2889"/>
    </row>
    <row r="123" spans="1:15" ht="15" hidden="1">
      <c r="A123" s="2936" t="str">
        <f>IF(项目基本情况!D5="房地产市场价值","——",MID(A108,3,LEN(A108)-2))</f>
        <v>——</v>
      </c>
      <c r="B123" s="2866"/>
      <c r="C123" s="2937"/>
      <c r="D123" s="2865">
        <f>I105</f>
        <v>0</v>
      </c>
      <c r="E123" s="2866"/>
      <c r="F123" s="2866"/>
      <c r="G123" s="2866"/>
      <c r="H123" s="2866"/>
      <c r="I123" s="2867"/>
    </row>
    <row r="124" spans="1:15" ht="14.25" hidden="1">
      <c r="A124" s="2938" t="s">
        <v>1959</v>
      </c>
      <c r="B124" s="2939"/>
      <c r="C124" s="2940"/>
      <c r="D124" s="2868">
        <f>H109</f>
        <v>0</v>
      </c>
      <c r="E124" s="2869"/>
      <c r="F124" s="2869"/>
      <c r="G124" s="2869"/>
      <c r="H124" s="2869"/>
      <c r="I124" s="2870"/>
    </row>
    <row r="125" spans="1:15" ht="15" hidden="1">
      <c r="A125" s="2871" t="str">
        <f>IF(项目基本情况!D5="房地产市场价值","——",MID(A112,3,LEN(A112)-2))</f>
        <v>——</v>
      </c>
      <c r="B125" s="2872"/>
      <c r="C125" s="2872"/>
      <c r="D125" s="2865">
        <f ca="1">I110</f>
        <v>1832410</v>
      </c>
      <c r="E125" s="2866"/>
      <c r="F125" s="2866"/>
      <c r="G125" s="2866"/>
      <c r="H125" s="2866"/>
      <c r="I125" s="2867"/>
    </row>
    <row r="126" spans="1:15" ht="14.25" hidden="1">
      <c r="A126" s="2854" t="s">
        <v>1959</v>
      </c>
      <c r="B126" s="2855"/>
      <c r="C126" s="2855"/>
      <c r="D126" s="2868">
        <f ca="1">I111</f>
        <v>20985</v>
      </c>
      <c r="E126" s="2869"/>
      <c r="F126" s="2869"/>
      <c r="G126" s="2869"/>
      <c r="H126" s="2869"/>
      <c r="I126" s="2870"/>
    </row>
    <row r="127" spans="1:15" ht="15.75" hidden="1" thickBot="1">
      <c r="A127" s="2871" t="str">
        <f>IF(项目基本情况!D5="房地产市场价值","——",MID(A114,3,LEN(A114)-2))</f>
        <v>——</v>
      </c>
      <c r="B127" s="2872"/>
      <c r="C127" s="2872"/>
      <c r="D127" s="2970" t="str">
        <f>I112</f>
        <v>——</v>
      </c>
      <c r="E127" s="2971"/>
      <c r="F127" s="2971"/>
      <c r="G127" s="2971"/>
      <c r="H127" s="2971"/>
      <c r="I127" s="2972"/>
    </row>
    <row r="128" spans="1:15" ht="15.75" hidden="1" thickTop="1" thickBot="1">
      <c r="A128" s="2854" t="s">
        <v>1959</v>
      </c>
      <c r="B128" s="2855"/>
      <c r="C128" s="2856"/>
      <c r="D128" s="2928" t="str">
        <f>I113</f>
        <v>——</v>
      </c>
      <c r="E128" s="2928"/>
      <c r="F128" s="2928"/>
      <c r="G128" s="2928"/>
      <c r="H128" s="2928"/>
      <c r="I128" s="2928"/>
    </row>
    <row r="129" spans="1:9" ht="16.5" hidden="1" thickTop="1" thickBot="1">
      <c r="A129" s="2871" t="str">
        <f>IF(项目基本情况!D5="房地产市场价值","——",MID(F114,3,LEN(F114)-2))</f>
        <v>——</v>
      </c>
      <c r="B129" s="2872"/>
      <c r="C129" s="2865"/>
      <c r="D129" s="2877" t="str">
        <f>I114</f>
        <v>——</v>
      </c>
      <c r="E129" s="2877"/>
      <c r="F129" s="2877"/>
      <c r="G129" s="2877"/>
      <c r="H129" s="2877"/>
      <c r="I129" s="2877"/>
    </row>
    <row r="130" spans="1:9" ht="15.75" hidden="1" thickTop="1" thickBot="1">
      <c r="A130" s="2882" t="s">
        <v>1959</v>
      </c>
      <c r="B130" s="2883"/>
      <c r="C130" s="2883"/>
      <c r="D130" s="2890">
        <f>H116</f>
        <v>0</v>
      </c>
      <c r="E130" s="2891"/>
      <c r="F130" s="2891"/>
      <c r="G130" s="2891"/>
      <c r="H130" s="2891"/>
      <c r="I130" s="289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2" t="str">
        <f>IF(B32="总价","（以上估价结果中楼面单价为总价除以建筑面积得出）","（以上估价结果中总价为楼面单价乘以建筑面积得出）")</f>
        <v>（以上估价结果中总价为楼面单价乘以建筑面积得出）</v>
      </c>
      <c r="B132" s="2852"/>
      <c r="C132" s="2852"/>
      <c r="D132" s="2852"/>
      <c r="E132" s="2852"/>
      <c r="F132" s="2852"/>
      <c r="G132" s="2852"/>
      <c r="H132" s="2852"/>
      <c r="I132" s="2852"/>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2867</v>
      </c>
      <c r="E134" s="2309">
        <f ca="1">G20-ROUND(F134*0.1,0)</f>
        <v>18886</v>
      </c>
      <c r="F134" s="2309">
        <f ca="1">G20</f>
        <v>20985</v>
      </c>
      <c r="G134" s="2309"/>
      <c r="H134" s="2310"/>
      <c r="I134" s="2311"/>
    </row>
    <row r="135" spans="1:9" ht="21.75" hidden="1" customHeight="1">
      <c r="A135" s="2312">
        <v>2</v>
      </c>
      <c r="B135" s="2313"/>
      <c r="C135" s="2313"/>
      <c r="D135" s="2309"/>
      <c r="E135" s="2309">
        <f>'数据-取费表'!B5-结果表!F135</f>
        <v>84.41</v>
      </c>
      <c r="F135" s="2309">
        <v>2.91</v>
      </c>
      <c r="G135" s="2739" t="s">
        <v>2868</v>
      </c>
      <c r="H135" s="2740" t="s">
        <v>2869</v>
      </c>
      <c r="I135" s="2311"/>
    </row>
    <row r="136" spans="1:9" ht="21.75" hidden="1" customHeight="1">
      <c r="A136" s="2312">
        <v>3</v>
      </c>
      <c r="B136" s="2313"/>
      <c r="C136" s="2313"/>
      <c r="D136" s="2309"/>
      <c r="E136" s="2309">
        <f ca="1">ROUND(E134*E135,0)</f>
        <v>1594167</v>
      </c>
      <c r="F136" s="2309">
        <f ca="1">ROUND(F134*F135,0)</f>
        <v>61066</v>
      </c>
      <c r="G136" s="2741">
        <f ca="1">E136+F136</f>
        <v>1655233</v>
      </c>
      <c r="H136" s="2741">
        <f ca="1">ROUND(G136/项目基本情况!C12,0)</f>
        <v>18956</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9" t="s">
        <v>1968</v>
      </c>
      <c r="B2" s="2989"/>
      <c r="C2" s="2989"/>
      <c r="D2" s="2989"/>
      <c r="E2" s="2989"/>
      <c r="F2" s="2989"/>
      <c r="G2" s="2989"/>
      <c r="H2" s="2989"/>
      <c r="I2" s="2989"/>
    </row>
    <row r="3" spans="1:12" ht="12.75">
      <c r="A3" s="2919" t="s">
        <v>1772</v>
      </c>
      <c r="B3" s="2920"/>
      <c r="C3" s="2920"/>
      <c r="D3" s="2920"/>
      <c r="E3" s="2920"/>
      <c r="F3" s="2920"/>
      <c r="G3" s="2920"/>
      <c r="H3" s="2920"/>
      <c r="I3" s="2920"/>
    </row>
    <row r="4" spans="1:12" ht="14.25">
      <c r="A4" s="2203" t="s">
        <v>1773</v>
      </c>
      <c r="B4" s="2204" t="s">
        <v>1774</v>
      </c>
      <c r="C4" s="2205"/>
      <c r="D4" s="2205"/>
      <c r="E4" s="2900" t="s">
        <v>1969</v>
      </c>
      <c r="F4" s="2901"/>
      <c r="G4" s="2901"/>
      <c r="H4" s="2901"/>
      <c r="I4" s="291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3" t="s">
        <v>1776</v>
      </c>
      <c r="B5" s="2855">
        <v>25</v>
      </c>
      <c r="C5" s="2904"/>
      <c r="D5" s="2918"/>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0" t="s">
        <v>1972</v>
      </c>
      <c r="B31" s="2980"/>
      <c r="C31" s="2980"/>
      <c r="D31" s="2980"/>
      <c r="E31" s="2980"/>
      <c r="F31" s="2980"/>
      <c r="G31" s="2980"/>
      <c r="H31" s="2980"/>
      <c r="I31" s="298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6" t="s">
        <v>1981</v>
      </c>
      <c r="B37" s="2243" t="s">
        <v>1982</v>
      </c>
      <c r="C37" s="70"/>
      <c r="D37" s="2244"/>
      <c r="E37" s="2245"/>
      <c r="F37" s="2245"/>
      <c r="G37" s="2201"/>
      <c r="H37" s="2201"/>
      <c r="I37" s="2201"/>
    </row>
    <row r="38" spans="1:16" ht="15.75" thickBot="1">
      <c r="A38" s="2907"/>
      <c r="B38" s="2246" t="s">
        <v>1983</v>
      </c>
      <c r="C38" s="72"/>
      <c r="D38" s="2211"/>
      <c r="E38" s="2211"/>
      <c r="F38" s="2245"/>
      <c r="G38" s="2211"/>
      <c r="H38" s="2211"/>
      <c r="I38" s="2211"/>
    </row>
    <row r="39" spans="1:16" ht="15.75" thickBot="1">
      <c r="A39" s="290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2" t="s">
        <v>1994</v>
      </c>
      <c r="B46" s="2913"/>
      <c r="C46" s="2914"/>
      <c r="D46" s="81">
        <f>ROUND(I103*F46,0)</f>
        <v>0</v>
      </c>
      <c r="E46" s="82" t="s">
        <v>1995</v>
      </c>
      <c r="F46" s="83">
        <v>1</v>
      </c>
      <c r="G46" s="84" t="s">
        <v>1996</v>
      </c>
      <c r="H46" s="2201"/>
      <c r="I46" s="2201"/>
      <c r="J46" s="2974" t="s">
        <v>1828</v>
      </c>
      <c r="K46" s="2974"/>
      <c r="L46" s="2974"/>
      <c r="M46" s="2974"/>
      <c r="N46" s="2974"/>
      <c r="O46" s="2974"/>
      <c r="P46" s="1851"/>
    </row>
    <row r="47" spans="1:16" ht="14.25" customHeight="1">
      <c r="A47" s="2897" t="s">
        <v>1829</v>
      </c>
      <c r="B47" s="2898"/>
      <c r="C47" s="2898"/>
      <c r="D47" s="2898"/>
      <c r="E47" s="2898"/>
      <c r="F47" s="2898"/>
      <c r="G47" s="2899"/>
      <c r="H47" s="2263"/>
      <c r="I47" s="1145"/>
      <c r="J47" s="1889">
        <v>1</v>
      </c>
      <c r="K47" s="2974" t="s">
        <v>1830</v>
      </c>
      <c r="L47" s="2974"/>
      <c r="M47" s="2990"/>
      <c r="N47" s="2990"/>
      <c r="O47" s="2990"/>
      <c r="P47" s="1851"/>
    </row>
    <row r="48" spans="1:16" ht="12" customHeight="1">
      <c r="A48" s="86" t="s">
        <v>1831</v>
      </c>
      <c r="B48" s="87"/>
      <c r="C48" s="88"/>
      <c r="D48" s="89" t="s">
        <v>1832</v>
      </c>
      <c r="E48" s="14" t="s">
        <v>1833</v>
      </c>
      <c r="F48" s="90" t="s">
        <v>1834</v>
      </c>
      <c r="G48" s="91" t="s">
        <v>1835</v>
      </c>
      <c r="H48" s="2263"/>
      <c r="I48" s="1145"/>
      <c r="J48" s="1889">
        <v>2</v>
      </c>
      <c r="K48" s="2974" t="s">
        <v>1836</v>
      </c>
      <c r="L48" s="2974"/>
      <c r="M48" s="2976">
        <f>'数据-取费表'!B2</f>
        <v>43143</v>
      </c>
      <c r="N48" s="2976"/>
      <c r="O48" s="2976"/>
      <c r="P48" s="1851"/>
    </row>
    <row r="49" spans="1:16" ht="25.5">
      <c r="A49" s="2909" t="s">
        <v>1837</v>
      </c>
      <c r="B49" s="2910"/>
      <c r="C49" s="2910"/>
      <c r="D49" s="56">
        <f>IF(H49="情况1",0,IF(H49="情况2",D53,IF(H49="情况3",D54,IF(H49="情况4",D55))))</f>
        <v>0</v>
      </c>
      <c r="E49" s="1899" t="str">
        <f>IF(H49="情况4","(销售额-原购置价)×税（费）率","销售额×税（费）率")</f>
        <v>销售额×税（费）率</v>
      </c>
      <c r="F49" s="92">
        <f>IF(H49="情况1","免征",'数据-取费表'!E29)</f>
        <v>5.5000000000000007E-2</v>
      </c>
      <c r="G49" s="2264" t="s">
        <v>1838</v>
      </c>
      <c r="H49" s="2265" t="s">
        <v>1839</v>
      </c>
      <c r="I49" s="2263"/>
      <c r="J49" s="1889">
        <v>3</v>
      </c>
      <c r="K49" s="2974" t="s">
        <v>1840</v>
      </c>
      <c r="L49" s="2974"/>
      <c r="M49" s="2975">
        <f>I103</f>
        <v>0</v>
      </c>
      <c r="N49" s="2975"/>
      <c r="O49" s="2975"/>
      <c r="P49" s="1851"/>
    </row>
    <row r="50" spans="1:16" ht="25.5" customHeight="1">
      <c r="A50" s="93" t="s">
        <v>1841</v>
      </c>
      <c r="B50" s="2902" t="s">
        <v>1842</v>
      </c>
      <c r="C50" s="2902"/>
      <c r="D50" s="94">
        <v>0</v>
      </c>
      <c r="E50" s="13" t="s">
        <v>1843</v>
      </c>
      <c r="F50" s="18" t="s">
        <v>48</v>
      </c>
      <c r="G50" s="2967"/>
      <c r="H50" s="2201"/>
      <c r="I50" s="2266"/>
      <c r="J50" s="1889">
        <v>4</v>
      </c>
      <c r="K50" s="2974" t="str">
        <f>IF(项目基本情况!F5="房地产抵押价值","房地产抵押价值","抵押担保权已注销时的房地产抵押价值")</f>
        <v>抵押担保权已注销时的房地产抵押价值</v>
      </c>
      <c r="L50" s="2974"/>
      <c r="M50" s="2975" t="str">
        <f>IF(项目基本情况!E8="房地产抵押价值",I111,I113)</f>
        <v>——</v>
      </c>
      <c r="N50" s="2975"/>
      <c r="O50" s="2975"/>
      <c r="P50" s="1851"/>
    </row>
    <row r="51" spans="1:16" ht="25.5" customHeight="1">
      <c r="A51" s="95"/>
      <c r="B51" s="2902" t="s">
        <v>1844</v>
      </c>
      <c r="C51" s="2902"/>
      <c r="D51" s="96"/>
      <c r="E51" s="21"/>
      <c r="F51" s="97"/>
      <c r="G51" s="2968"/>
      <c r="H51" s="2201"/>
      <c r="I51" s="2266"/>
      <c r="J51" s="2974" t="s">
        <v>1845</v>
      </c>
      <c r="K51" s="2974"/>
      <c r="L51" s="2974"/>
      <c r="M51" s="2974"/>
      <c r="N51" s="2974"/>
      <c r="O51" s="2974"/>
      <c r="P51" s="1851"/>
    </row>
    <row r="52" spans="1:16" ht="12" customHeight="1">
      <c r="A52" s="98"/>
      <c r="B52" s="2902" t="s">
        <v>1846</v>
      </c>
      <c r="C52" s="2902"/>
      <c r="D52" s="99"/>
      <c r="E52" s="20"/>
      <c r="F52" s="97"/>
      <c r="G52" s="2969"/>
      <c r="H52" s="2201"/>
      <c r="I52" s="2266"/>
      <c r="J52" s="2267" t="s">
        <v>1847</v>
      </c>
      <c r="K52" s="2974" t="s">
        <v>1848</v>
      </c>
      <c r="L52" s="2974"/>
      <c r="M52" s="2267" t="s">
        <v>1849</v>
      </c>
      <c r="N52" s="2267" t="s">
        <v>1850</v>
      </c>
      <c r="O52" s="2267" t="s">
        <v>1851</v>
      </c>
      <c r="P52" s="1851"/>
    </row>
    <row r="53" spans="1:16" ht="24" customHeight="1">
      <c r="A53" s="100" t="s">
        <v>1852</v>
      </c>
      <c r="B53" s="2902" t="s">
        <v>1853</v>
      </c>
      <c r="C53" s="2902"/>
      <c r="D53" s="99">
        <f>ROUND(D46*'数据-取费表'!E29/(1+'数据-取费表'!F30),0)</f>
        <v>0</v>
      </c>
      <c r="E53" s="10" t="s">
        <v>1854</v>
      </c>
      <c r="F53" s="101">
        <f>'数据-取费表'!E29</f>
        <v>5.5000000000000007E-2</v>
      </c>
      <c r="G53" s="2268"/>
      <c r="H53" s="2201"/>
      <c r="I53" s="2266"/>
      <c r="J53" s="1889">
        <v>1</v>
      </c>
      <c r="K53" s="2934" t="s">
        <v>1855</v>
      </c>
      <c r="L53" s="2934"/>
      <c r="M53" s="779">
        <f>D49</f>
        <v>0</v>
      </c>
      <c r="N53" s="1889" t="str">
        <f>E49</f>
        <v>销售额×税（费）率</v>
      </c>
      <c r="O53" s="780">
        <f>F49</f>
        <v>5.5000000000000007E-2</v>
      </c>
      <c r="P53" s="1851"/>
    </row>
    <row r="54" spans="1:16" ht="12" customHeight="1">
      <c r="A54" s="100" t="s">
        <v>1856</v>
      </c>
      <c r="B54" s="2903" t="s">
        <v>1857</v>
      </c>
      <c r="C54" s="2831"/>
      <c r="D54" s="99">
        <f>ROUND(D46*'数据-取费表'!E29/(1+'数据-取费表'!F30),0)</f>
        <v>0</v>
      </c>
      <c r="E54" s="10" t="s">
        <v>1854</v>
      </c>
      <c r="F54" s="101">
        <f>'数据-取费表'!E29</f>
        <v>5.5000000000000007E-2</v>
      </c>
      <c r="G54" s="2268"/>
      <c r="H54" s="2201"/>
      <c r="I54" s="2266"/>
      <c r="J54" s="1889">
        <v>2</v>
      </c>
      <c r="K54" s="2934" t="s">
        <v>1858</v>
      </c>
      <c r="L54" s="2934"/>
      <c r="M54" s="779">
        <f t="shared" ref="M54:O55" si="1">D56</f>
        <v>0</v>
      </c>
      <c r="N54" s="1889" t="str">
        <f t="shared" si="1"/>
        <v>销售额×税（费）率</v>
      </c>
      <c r="O54" s="780">
        <f t="shared" si="1"/>
        <v>5.0000000000000001E-4</v>
      </c>
      <c r="P54" s="1851"/>
    </row>
    <row r="55" spans="1:16" ht="12" customHeight="1">
      <c r="A55" s="100" t="s">
        <v>1859</v>
      </c>
      <c r="B55" s="2903" t="s">
        <v>1860</v>
      </c>
      <c r="C55" s="2831"/>
      <c r="D55" s="99">
        <f>C69</f>
        <v>0</v>
      </c>
      <c r="E55" s="20" t="s">
        <v>1861</v>
      </c>
      <c r="F55" s="101">
        <f>'数据-取费表'!E29</f>
        <v>5.5000000000000007E-2</v>
      </c>
      <c r="G55" s="2268"/>
      <c r="H55" s="2269"/>
      <c r="I55" s="2266"/>
      <c r="J55" s="1889">
        <v>3</v>
      </c>
      <c r="K55" s="2934" t="s">
        <v>1862</v>
      </c>
      <c r="L55" s="2934"/>
      <c r="M55" s="779">
        <f t="shared" si="1"/>
        <v>0</v>
      </c>
      <c r="N55" s="1889" t="str">
        <f t="shared" si="1"/>
        <v>增值额×税（费）率</v>
      </c>
      <c r="O55" s="781" t="str">
        <f t="shared" si="1"/>
        <v>——</v>
      </c>
      <c r="P55" s="1851"/>
    </row>
    <row r="56" spans="1:16" ht="24" customHeight="1">
      <c r="A56" s="2823" t="s">
        <v>1863</v>
      </c>
      <c r="B56" s="2910"/>
      <c r="C56" s="291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4" t="str">
        <f>IF(H60="非个人房产","——","个人所得税")</f>
        <v>——</v>
      </c>
      <c r="L56" s="2934"/>
      <c r="M56" s="782" t="str">
        <f>D60</f>
        <v>——</v>
      </c>
      <c r="N56" s="1892" t="str">
        <f>E60</f>
        <v>——</v>
      </c>
      <c r="O56" s="783" t="str">
        <f>F60</f>
        <v>——</v>
      </c>
      <c r="P56" s="1851"/>
    </row>
    <row r="57" spans="1:16" ht="24.75">
      <c r="A57" s="2823" t="s">
        <v>1866</v>
      </c>
      <c r="B57" s="2910"/>
      <c r="C57" s="2910"/>
      <c r="D57" s="102">
        <f>IF(H57="个人住宅",D58,D59)</f>
        <v>0</v>
      </c>
      <c r="E57" s="10" t="s">
        <v>1867</v>
      </c>
      <c r="F57" s="101" t="str">
        <f>IF(H57="正常",F59,"免征")</f>
        <v>——</v>
      </c>
      <c r="G57" s="2270" t="s">
        <v>1868</v>
      </c>
      <c r="H57" s="2271" t="s">
        <v>1865</v>
      </c>
      <c r="I57" s="1023"/>
      <c r="J57" s="1889" t="str">
        <f>IF(项目基本情况!I6="上海银行",IF(J56="",4,J56+1),"")</f>
        <v/>
      </c>
      <c r="K57" s="2952" t="str">
        <f>IF(项目基本情况!I6="上海银行","其他处置费用","")</f>
        <v/>
      </c>
      <c r="L57" s="2953"/>
      <c r="M57" s="779" t="str">
        <f>IF(项目基本情况!I6="上海银行",M70,"")</f>
        <v/>
      </c>
      <c r="N57" s="2965" t="str">
        <f>IF(项目基本情况!I6="上海银行","包含处置中涉及的律师、诉讼、拍卖、评估等费用","")</f>
        <v/>
      </c>
      <c r="O57" s="2966"/>
      <c r="P57" s="1851"/>
    </row>
    <row r="58" spans="1:16" ht="12.75">
      <c r="A58" s="100" t="s">
        <v>1841</v>
      </c>
      <c r="B58" s="2900" t="s">
        <v>1869</v>
      </c>
      <c r="C58" s="2911"/>
      <c r="D58" s="104">
        <v>0</v>
      </c>
      <c r="E58" s="13" t="s">
        <v>1843</v>
      </c>
      <c r="F58" s="71"/>
      <c r="G58" s="2268"/>
      <c r="H58" s="1023"/>
      <c r="I58" s="1023"/>
      <c r="J58" s="2934">
        <f>IF(AND(J56="",J57=""),4,IF(项目基本情况!I6="上海银行",J57+1,J56+1))</f>
        <v>4</v>
      </c>
      <c r="K58" s="2934" t="s">
        <v>1870</v>
      </c>
      <c r="L58" s="2272" t="s">
        <v>1871</v>
      </c>
      <c r="M58" s="784"/>
      <c r="N58" s="785">
        <f>SUMIF(M53:M57,"&lt;9e307")</f>
        <v>0</v>
      </c>
      <c r="O58" s="2273"/>
      <c r="P58" s="1847" t="e">
        <f>N58/M50</f>
        <v>#VALUE!</v>
      </c>
    </row>
    <row r="59" spans="1:16" ht="24.75">
      <c r="A59" s="100" t="s">
        <v>1852</v>
      </c>
      <c r="B59" s="2900" t="s">
        <v>1872</v>
      </c>
      <c r="C59" s="2901"/>
      <c r="D59" s="102">
        <f>IF(H59="转让取得",C82,C98)</f>
        <v>0</v>
      </c>
      <c r="E59" s="10" t="s">
        <v>1867</v>
      </c>
      <c r="F59" s="14" t="s">
        <v>48</v>
      </c>
      <c r="G59" s="2268"/>
      <c r="H59" s="2271" t="s">
        <v>1873</v>
      </c>
      <c r="I59" s="1023"/>
      <c r="J59" s="2934"/>
      <c r="K59" s="2934"/>
      <c r="L59" s="2272" t="s">
        <v>1874</v>
      </c>
      <c r="M59" s="786"/>
      <c r="N59" s="2274" t="str">
        <f>IF(H19="元",NUMBERSTRING(INT(N58),2)&amp;"元整",NUMBERSTRING(INT(N58*10000),2)&amp;"元整")</f>
        <v>零元整</v>
      </c>
      <c r="O59" s="2275"/>
      <c r="P59" s="1851"/>
    </row>
    <row r="60" spans="1:16" ht="24.75" thickBot="1">
      <c r="A60" s="2824" t="s">
        <v>1875</v>
      </c>
      <c r="B60" s="2827"/>
      <c r="C60" s="2827"/>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2">
        <f>J58+1</f>
        <v>5</v>
      </c>
      <c r="K60" s="2934" t="s">
        <v>1877</v>
      </c>
      <c r="L60" s="1889" t="s">
        <v>1871</v>
      </c>
      <c r="M60" s="787"/>
      <c r="N60" s="788" t="e">
        <f>M50-N58</f>
        <v>#VALUE!</v>
      </c>
      <c r="O60" s="2277"/>
      <c r="P60" s="1851"/>
    </row>
    <row r="61" spans="1:16" ht="12" customHeight="1">
      <c r="A61" s="2074"/>
      <c r="B61" s="2201"/>
      <c r="C61" s="2201"/>
      <c r="D61" s="2201"/>
      <c r="E61" s="1023"/>
      <c r="F61" s="1023"/>
      <c r="G61" s="1023"/>
      <c r="H61" s="2254"/>
      <c r="I61" s="2201"/>
      <c r="J61" s="2933"/>
      <c r="K61" s="2934"/>
      <c r="L61" s="2272" t="s">
        <v>1874</v>
      </c>
      <c r="M61" s="786"/>
      <c r="N61" s="2274" t="e">
        <f>IF(H19="元",NUMBERSTRING(INT(N60),2)&amp;"元整",NUMBERSTRING(INT(N60*10000),2)&amp;"元整")</f>
        <v>#VALUE!</v>
      </c>
      <c r="O61" s="2275"/>
      <c r="P61" s="1851"/>
    </row>
    <row r="62" spans="1:16" ht="13.5" thickBot="1">
      <c r="A62" s="2915" t="s">
        <v>1878</v>
      </c>
      <c r="B62" s="2915"/>
      <c r="C62" s="2915"/>
      <c r="D62" s="2915"/>
      <c r="E62" s="2915"/>
      <c r="F62" s="1023"/>
      <c r="G62" s="1023"/>
      <c r="H62" s="2254"/>
      <c r="I62" s="2201"/>
      <c r="J62" s="1889">
        <f>J60+1</f>
        <v>6</v>
      </c>
      <c r="K62" s="2934" t="s">
        <v>1879</v>
      </c>
      <c r="L62" s="2934"/>
      <c r="M62" s="789"/>
      <c r="N62" s="790" t="e">
        <f>IF(H19="元",ROUND(N60/项目基本情况!C12,0),ROUND(N60*10000/项目基本情况!C12,0))</f>
        <v>#VALUE!</v>
      </c>
      <c r="O62" s="2278"/>
      <c r="P62" s="1851"/>
    </row>
    <row r="63" spans="1:16" ht="12.75">
      <c r="A63" s="2922" t="s">
        <v>1880</v>
      </c>
      <c r="B63" s="292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5.5000000000000007E-2</v>
      </c>
      <c r="E69" s="130"/>
      <c r="F69" s="1023"/>
      <c r="G69" s="1023"/>
      <c r="H69" s="2254"/>
      <c r="I69" s="2201"/>
      <c r="J69" s="295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6" t="s">
        <v>1900</v>
      </c>
      <c r="B71" s="2927"/>
      <c r="C71" s="2927"/>
      <c r="D71" s="2927"/>
      <c r="E71" s="2927"/>
      <c r="F71" s="2927"/>
      <c r="G71" s="2927"/>
      <c r="H71" s="2927"/>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2" t="s">
        <v>1880</v>
      </c>
      <c r="B72" s="292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3" t="s">
        <v>1910</v>
      </c>
      <c r="F77" s="2902"/>
      <c r="G77" s="2902"/>
      <c r="H77" s="2917"/>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5.000000000000001E-3</v>
      </c>
      <c r="E79" s="2894" t="s">
        <v>1915</v>
      </c>
      <c r="F79" s="2895"/>
      <c r="G79" s="2895"/>
      <c r="H79" s="289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6" t="s">
        <v>1919</v>
      </c>
      <c r="B84" s="2927"/>
      <c r="C84" s="2927"/>
      <c r="D84" s="2927"/>
      <c r="E84" s="2927"/>
      <c r="F84" s="2927"/>
      <c r="G84" s="2927"/>
      <c r="H84" s="2927"/>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2" t="s">
        <v>1880</v>
      </c>
      <c r="B85" s="292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4" t="s">
        <v>1927</v>
      </c>
      <c r="F92" s="2895"/>
      <c r="G92" s="2895"/>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4" t="s">
        <v>1930</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5.000000000000001E-3</v>
      </c>
      <c r="E94" s="2894" t="s">
        <v>1915</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4" t="s">
        <v>1932</v>
      </c>
      <c r="F95" s="2895"/>
      <c r="G95" s="2895"/>
      <c r="H95" s="289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49" t="s">
        <v>1934</v>
      </c>
      <c r="B100" s="2950"/>
      <c r="C100" s="2950"/>
      <c r="D100" s="2951"/>
      <c r="E100" s="2201"/>
      <c r="F100" s="2960" t="s">
        <v>1935</v>
      </c>
      <c r="G100" s="2961"/>
      <c r="H100" s="2961"/>
      <c r="I100" s="2962"/>
    </row>
    <row r="101" spans="1:35" ht="15.75">
      <c r="A101" s="2963" t="s">
        <v>1936</v>
      </c>
      <c r="B101" s="2964"/>
      <c r="C101" s="721">
        <f>C4</f>
        <v>0</v>
      </c>
      <c r="D101" s="722">
        <f>D4</f>
        <v>0</v>
      </c>
      <c r="E101" s="2201"/>
      <c r="F101" s="2859" t="s">
        <v>1937</v>
      </c>
      <c r="G101" s="2860"/>
      <c r="H101" s="2985" t="s">
        <v>1938</v>
      </c>
      <c r="I101" s="2858"/>
    </row>
    <row r="102" spans="1:35" ht="15.75">
      <c r="A102" s="2986" t="s">
        <v>1998</v>
      </c>
      <c r="B102" s="2296" t="str">
        <f>IF(H19="元","总价（元）","总价（万元）")</f>
        <v>总价（元）</v>
      </c>
      <c r="C102" s="721" t="e">
        <f ca="1">C19</f>
        <v>#REF!</v>
      </c>
      <c r="D102" s="722" t="e">
        <f ca="1">D19</f>
        <v>#REF!</v>
      </c>
      <c r="E102" s="2201"/>
      <c r="F102" s="2987"/>
      <c r="G102" s="2988"/>
      <c r="H102" s="2857">
        <f>典型户型修正!B25</f>
        <v>0</v>
      </c>
      <c r="I102" s="2858"/>
    </row>
    <row r="103" spans="1:35" ht="15.75">
      <c r="A103" s="2986"/>
      <c r="B103" s="2296" t="s">
        <v>1940</v>
      </c>
      <c r="C103" s="723" t="e">
        <f ca="1">C20</f>
        <v>#REF!</v>
      </c>
      <c r="D103" s="724" t="e">
        <f ca="1">D20</f>
        <v>#REF!</v>
      </c>
      <c r="E103" s="2201"/>
      <c r="F103" s="2886" t="s">
        <v>1941</v>
      </c>
      <c r="G103" s="2887"/>
      <c r="H103" s="2297" t="str">
        <f>C109</f>
        <v>总价（元）</v>
      </c>
      <c r="I103" s="1868">
        <f>H124</f>
        <v>0</v>
      </c>
    </row>
    <row r="104" spans="1:35" ht="15">
      <c r="A104" s="2986" t="s">
        <v>1999</v>
      </c>
      <c r="B104" s="2298" t="str">
        <f>B102</f>
        <v>总价（元）</v>
      </c>
      <c r="C104" s="1191" t="e">
        <f ca="1">ROUND(IF('数据-取费表'!B4="总价",G19,IF(H19="元",G20*'数据-取费表'!E5,G20*'数据-取费表'!E5/10000)),0)</f>
        <v>#REF!</v>
      </c>
      <c r="D104" s="726"/>
      <c r="E104" s="2201"/>
      <c r="F104" s="2886"/>
      <c r="G104" s="2887"/>
      <c r="H104" s="2297" t="s">
        <v>1940</v>
      </c>
      <c r="I104" s="1051" t="e">
        <f>I124</f>
        <v>#DIV/0!</v>
      </c>
    </row>
    <row r="105" spans="1:35" ht="15.75">
      <c r="A105" s="2986"/>
      <c r="B105" s="2296" t="s">
        <v>1940</v>
      </c>
      <c r="C105" s="1193" t="e">
        <f ca="1">ROUND(IF('数据-取费表'!B4="楼面单价",G20,IF(H19="元",G19/'数据-取费表'!E5,G19*10000/'数据-取费表'!E5)),0)</f>
        <v>#REF!</v>
      </c>
      <c r="D105" s="726"/>
      <c r="E105" s="2201"/>
      <c r="F105" s="2958"/>
      <c r="G105" s="2959"/>
      <c r="H105" s="2943"/>
      <c r="I105" s="2944"/>
    </row>
    <row r="106" spans="1:35" ht="15.75">
      <c r="A106" s="2979" t="s">
        <v>2000</v>
      </c>
      <c r="B106" s="2336" t="str">
        <f>B102</f>
        <v>总价（元）</v>
      </c>
      <c r="C106" s="725">
        <f>H124</f>
        <v>0</v>
      </c>
      <c r="D106" s="1190"/>
      <c r="E106" s="2201"/>
      <c r="F106" s="2947" t="s">
        <v>1944</v>
      </c>
      <c r="G106" s="2948"/>
      <c r="H106" s="2300" t="str">
        <f>C111</f>
        <v>总额（元）</v>
      </c>
      <c r="I106" s="1868">
        <f>SUMIF(I107:I109,"&lt;9E307")</f>
        <v>0</v>
      </c>
    </row>
    <row r="107" spans="1:35" ht="15.75" thickBot="1">
      <c r="A107" s="2942"/>
      <c r="B107" s="2299" t="s">
        <v>1940</v>
      </c>
      <c r="C107" s="727" t="e">
        <f>I124</f>
        <v>#DIV/0!</v>
      </c>
      <c r="D107" s="728"/>
      <c r="E107" s="2201"/>
      <c r="F107" s="2875" t="s">
        <v>1946</v>
      </c>
      <c r="G107" s="2876"/>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2" t="s">
        <v>1943</v>
      </c>
      <c r="B108" s="2983"/>
      <c r="C108" s="2983"/>
      <c r="D108" s="2984"/>
      <c r="E108" s="2201"/>
      <c r="F108" s="2875" t="s">
        <v>1947</v>
      </c>
      <c r="G108" s="2876"/>
      <c r="H108" s="2300" t="str">
        <f>C113</f>
        <v>总额（元）</v>
      </c>
      <c r="I108" s="1051">
        <f>C38</f>
        <v>0</v>
      </c>
      <c r="K108" s="2301"/>
    </row>
    <row r="109" spans="1:35" ht="15">
      <c r="A109" s="2873" t="s">
        <v>2001</v>
      </c>
      <c r="B109" s="2874"/>
      <c r="C109" s="2297" t="str">
        <f>B102</f>
        <v>总价（元）</v>
      </c>
      <c r="D109" s="1052">
        <f>H124</f>
        <v>0</v>
      </c>
      <c r="E109" s="2201"/>
      <c r="F109" s="2875" t="s">
        <v>1949</v>
      </c>
      <c r="G109" s="2876"/>
      <c r="H109" s="2300" t="str">
        <f>C114</f>
        <v>总额（元）</v>
      </c>
      <c r="I109" s="1051">
        <f>C39</f>
        <v>0</v>
      </c>
    </row>
    <row r="110" spans="1:35" ht="15.75">
      <c r="A110" s="2873"/>
      <c r="B110" s="2874"/>
      <c r="C110" s="2297" t="s">
        <v>1940</v>
      </c>
      <c r="D110" s="1053" t="e">
        <f>I124</f>
        <v>#DIV/0!</v>
      </c>
      <c r="E110" s="2201"/>
      <c r="F110" s="2958"/>
      <c r="G110" s="2959"/>
      <c r="H110" s="2945"/>
      <c r="I110" s="2946"/>
    </row>
    <row r="111" spans="1:35" ht="28.5" customHeight="1">
      <c r="A111" s="2880" t="s">
        <v>1948</v>
      </c>
      <c r="B111" s="2881"/>
      <c r="C111" s="2300" t="str">
        <f>IF(H19="元","总额（元）","总额（万元）")</f>
        <v>总额（元）</v>
      </c>
      <c r="D111" s="1052">
        <f>IF(D37="正常操作",I107+I108+I109,I108+I109)</f>
        <v>0</v>
      </c>
      <c r="E111" s="2201"/>
      <c r="F111" s="2861" t="str">
        <f>IF(项目基本情况!F5="已注销","——","3.房地产抵押价值")</f>
        <v>3.房地产抵押价值</v>
      </c>
      <c r="G111" s="2862"/>
      <c r="H111" s="2337" t="str">
        <f>C115</f>
        <v>总价（元）</v>
      </c>
      <c r="I111" s="1868">
        <f>IF(F111="——","——",I103-I106)</f>
        <v>0</v>
      </c>
    </row>
    <row r="112" spans="1:35" ht="15">
      <c r="A112" s="2875" t="s">
        <v>1946</v>
      </c>
      <c r="B112" s="2876"/>
      <c r="C112" s="2300" t="str">
        <f>C111</f>
        <v>总额（元）</v>
      </c>
      <c r="D112" s="638">
        <f>IF(D37="同一抵押权人同一抵押物续贷",C37&amp;"（未扣减，详见特别提示）",C37)</f>
        <v>0</v>
      </c>
      <c r="E112" s="2201"/>
      <c r="F112" s="2977"/>
      <c r="G112" s="2978"/>
      <c r="H112" s="2297" t="s">
        <v>1940</v>
      </c>
      <c r="I112" s="2303" t="e">
        <f>D116</f>
        <v>#DIV/0!</v>
      </c>
    </row>
    <row r="113" spans="1:26" ht="15.75">
      <c r="A113" s="2875" t="s">
        <v>1947</v>
      </c>
      <c r="B113" s="2876"/>
      <c r="C113" s="2300" t="str">
        <f>C111</f>
        <v>总额（元）</v>
      </c>
      <c r="D113" s="638">
        <f>C38</f>
        <v>0</v>
      </c>
      <c r="E113" s="2201"/>
      <c r="F113" s="2861" t="str">
        <f>IF(项目基本情况!F5="已注销及未注销","4.抵押担保权已注销时的房地产抵押价值",IF(项目基本情况!F5="已注销","3.抵押担保权已注销时的房地产抵押价值","——"))</f>
        <v>——</v>
      </c>
      <c r="G113" s="2862"/>
      <c r="H113" s="2337" t="str">
        <f>C117</f>
        <v>总价（元）</v>
      </c>
      <c r="I113" s="1868" t="str">
        <f>IF(F113="——","——",I103-I108-I109)</f>
        <v>——</v>
      </c>
    </row>
    <row r="114" spans="1:26" ht="15">
      <c r="A114" s="2875" t="s">
        <v>1949</v>
      </c>
      <c r="B114" s="2876"/>
      <c r="C114" s="2300" t="str">
        <f>C111</f>
        <v>总额（元）</v>
      </c>
      <c r="D114" s="638">
        <f>C39</f>
        <v>0</v>
      </c>
      <c r="E114" s="2201"/>
      <c r="F114" s="2977"/>
      <c r="G114" s="2978"/>
      <c r="H114" s="2297" t="s">
        <v>1940</v>
      </c>
      <c r="I114" s="1051" t="str">
        <f>D118</f>
        <v>——</v>
      </c>
    </row>
    <row r="115" spans="1:26" ht="15.75">
      <c r="A115" s="2873" t="str">
        <f>IF(项目基本情况!F5="已注销","——","3.房地产抵押价值")</f>
        <v>3.房地产抵押价值</v>
      </c>
      <c r="B115" s="2874"/>
      <c r="C115" s="2297" t="str">
        <f>B102</f>
        <v>总价（元）</v>
      </c>
      <c r="D115" s="1052">
        <f>IF(A115="——","——",D109-D111)</f>
        <v>0</v>
      </c>
      <c r="E115" s="2201"/>
      <c r="F115" s="2861" t="str">
        <f>IF(项目基本情况!G5="抵押净值",IF(OR(项目基本情况!F5="已注销",项目基本情况!F5="房地产抵押价值"),"4.抵押净值","5.抵押净值"),"——")</f>
        <v>——</v>
      </c>
      <c r="G115" s="2862"/>
      <c r="H115" s="2297" t="str">
        <f>C119</f>
        <v>总价（元）</v>
      </c>
      <c r="I115" s="1868" t="str">
        <f>IF(F115="——","——",N60)</f>
        <v>——</v>
      </c>
    </row>
    <row r="116" spans="1:26" ht="15.75" thickBot="1">
      <c r="A116" s="2873"/>
      <c r="B116" s="2874"/>
      <c r="C116" s="2297" t="s">
        <v>2002</v>
      </c>
      <c r="D116" s="1053" t="e">
        <f>ROUND(IF(D115=D109,D110,IF(H19="元",D115/B124,D115*10000/B124)),0)</f>
        <v>#DIV/0!</v>
      </c>
      <c r="E116" s="2201"/>
      <c r="F116" s="2863"/>
      <c r="G116" s="2864"/>
      <c r="H116" s="2305" t="s">
        <v>2002</v>
      </c>
      <c r="I116" s="1870" t="str">
        <f>D120</f>
        <v>——</v>
      </c>
    </row>
    <row r="117" spans="1:26" ht="15.75">
      <c r="A117" s="2873" t="str">
        <f>IF(项目基本情况!F5="已注销及未注销","4.抵押担保权已注销时的房地产抵押价值",IF(项目基本情况!F5="已注销","3.抵押担保权已注销时的房地产抵押价值","——"))</f>
        <v>——</v>
      </c>
      <c r="B117" s="2874"/>
      <c r="C117" s="2297" t="str">
        <f>B102</f>
        <v>总价（元）</v>
      </c>
      <c r="D117" s="1052" t="str">
        <f>IF(A117="——","——",D109-D113-D114)</f>
        <v>——</v>
      </c>
      <c r="E117" s="2201"/>
      <c r="F117" s="2973"/>
      <c r="G117" s="2973"/>
      <c r="H117" s="2929"/>
      <c r="I117" s="2929"/>
      <c r="N117" s="55"/>
      <c r="O117" s="55"/>
    </row>
    <row r="118" spans="1:26" s="1851" customFormat="1" ht="15">
      <c r="A118" s="2873"/>
      <c r="B118" s="2874"/>
      <c r="C118" s="2297" t="s">
        <v>2002</v>
      </c>
      <c r="D118" s="1053" t="str">
        <f>IF(A117="——","——",IF(H19="元",ROUND(D117/B124,0),ROUND(D117*10000/B124,0)))</f>
        <v>——</v>
      </c>
      <c r="E118" s="2201"/>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9"/>
      <c r="K118" s="799"/>
      <c r="L118" s="799"/>
      <c r="M118" s="799"/>
      <c r="N118" s="55"/>
      <c r="O118" s="55"/>
      <c r="P118" s="799"/>
      <c r="Q118" s="799"/>
      <c r="R118" s="799"/>
      <c r="S118" s="799"/>
      <c r="T118" s="799"/>
      <c r="U118" s="799"/>
      <c r="V118" s="799"/>
      <c r="W118" s="799"/>
      <c r="X118" s="799"/>
      <c r="Y118" s="799"/>
      <c r="Z118" s="799"/>
    </row>
    <row r="119" spans="1:26" s="1851" customFormat="1" ht="15">
      <c r="A119" s="2873" t="str">
        <f>IF(项目基本情况!G5="抵押净值",IF(OR(项目基本情况!F5="已注销",项目基本情况!F5="房地产抵押价值"),"4.抵押净值","5.抵押净值"),"——")</f>
        <v>——</v>
      </c>
      <c r="B119" s="2874"/>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8"/>
      <c r="B120" s="287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0" t="s">
        <v>2003</v>
      </c>
      <c r="B121" s="2931"/>
      <c r="C121" s="2931"/>
      <c r="D121" s="2931"/>
      <c r="E121" s="2931"/>
      <c r="F121" s="2931"/>
      <c r="G121" s="2931"/>
      <c r="H121" s="2931"/>
      <c r="I121" s="293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4" t="s">
        <v>1951</v>
      </c>
      <c r="B122" s="2884" t="s">
        <v>2004</v>
      </c>
      <c r="C122" s="2884" t="s">
        <v>2005</v>
      </c>
      <c r="D122" s="2956" t="s">
        <v>1954</v>
      </c>
      <c r="E122" s="2957"/>
      <c r="F122" s="2855" t="s">
        <v>2006</v>
      </c>
      <c r="G122" s="2855"/>
      <c r="H122" s="2855" t="s">
        <v>1955</v>
      </c>
      <c r="I122" s="295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4"/>
      <c r="B123" s="2885"/>
      <c r="C123" s="2885"/>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4" t="s">
        <v>1959</v>
      </c>
      <c r="B125" s="2855"/>
      <c r="C125" s="2855"/>
      <c r="D125" s="2888" t="str">
        <f>IF(H19="元",NUMBERSTRING(INT(D124),2)&amp;"元整",NUMBERSTRING(INT(D124*10000),2)&amp;"元整")</f>
        <v>零元整</v>
      </c>
      <c r="E125" s="2935"/>
      <c r="F125" s="2888" t="str">
        <f>IF(H19="元",NUMBERSTRING(INT(F124),2)&amp;"元整",NUMBERSTRING(INT(F124*10000),2)&amp;"元整")</f>
        <v>零元整</v>
      </c>
      <c r="G125" s="2935"/>
      <c r="H125" s="2888" t="str">
        <f>IF(H19="元",NUMBERSTRING(INT(H124),2)&amp;"元整",NUMBERSTRING(INT(H124*10000),2)&amp;"元整")</f>
        <v>零元整</v>
      </c>
      <c r="I125" s="288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6" t="str">
        <f>IF(项目基本情况!D5="房地产市场价值","——",MID(A111,3,LEN(A111)-2))</f>
        <v>——</v>
      </c>
      <c r="B126" s="2866"/>
      <c r="C126" s="2937"/>
      <c r="D126" s="2865">
        <f>I106</f>
        <v>0</v>
      </c>
      <c r="E126" s="2866"/>
      <c r="F126" s="2866"/>
      <c r="G126" s="2866"/>
      <c r="H126" s="2866"/>
      <c r="I126" s="2867"/>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8" t="s">
        <v>1959</v>
      </c>
      <c r="B127" s="2939"/>
      <c r="C127" s="2940"/>
      <c r="D127" s="2868">
        <f>H110</f>
        <v>0</v>
      </c>
      <c r="E127" s="2869"/>
      <c r="F127" s="2869"/>
      <c r="G127" s="2869"/>
      <c r="H127" s="2869"/>
      <c r="I127" s="2870"/>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1" t="str">
        <f>IF(项目基本情况!D5="房地产市场价值","——",MID(A115,3,LEN(A115)-2))</f>
        <v>——</v>
      </c>
      <c r="B128" s="2872"/>
      <c r="C128" s="2872"/>
      <c r="D128" s="2865">
        <f>I111</f>
        <v>0</v>
      </c>
      <c r="E128" s="2866"/>
      <c r="F128" s="2866"/>
      <c r="G128" s="2866"/>
      <c r="H128" s="2866"/>
      <c r="I128" s="2867"/>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4" t="s">
        <v>1959</v>
      </c>
      <c r="B129" s="2855"/>
      <c r="C129" s="2855"/>
      <c r="D129" s="2868" t="e">
        <f>I112</f>
        <v>#DIV/0!</v>
      </c>
      <c r="E129" s="2869"/>
      <c r="F129" s="2869"/>
      <c r="G129" s="2869"/>
      <c r="H129" s="2869"/>
      <c r="I129" s="2870"/>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1" t="str">
        <f>IF(项目基本情况!D5="房地产市场价值","——",MID(A117,3,LEN(A117)-2))</f>
        <v>——</v>
      </c>
      <c r="B130" s="2872"/>
      <c r="C130" s="2872"/>
      <c r="D130" s="2970" t="str">
        <f>I113</f>
        <v>——</v>
      </c>
      <c r="E130" s="2971"/>
      <c r="F130" s="2971"/>
      <c r="G130" s="2971"/>
      <c r="H130" s="2971"/>
      <c r="I130" s="2972"/>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4" t="s">
        <v>1959</v>
      </c>
      <c r="B131" s="2855"/>
      <c r="C131" s="2856"/>
      <c r="D131" s="2928" t="str">
        <f>I114</f>
        <v>——</v>
      </c>
      <c r="E131" s="2928"/>
      <c r="F131" s="2928"/>
      <c r="G131" s="2928"/>
      <c r="H131" s="2928"/>
      <c r="I131" s="292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1" t="str">
        <f>IF(项目基本情况!D5="房地产市场价值","——",MID(F115,3,LEN(F115)-2))</f>
        <v>——</v>
      </c>
      <c r="B132" s="2872"/>
      <c r="C132" s="2865"/>
      <c r="D132" s="2877" t="str">
        <f>I115</f>
        <v>——</v>
      </c>
      <c r="E132" s="2877"/>
      <c r="F132" s="2877"/>
      <c r="G132" s="2877"/>
      <c r="H132" s="2877"/>
      <c r="I132" s="287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2" t="s">
        <v>1959</v>
      </c>
      <c r="B133" s="2883"/>
      <c r="C133" s="2883"/>
      <c r="D133" s="2890">
        <f>H117</f>
        <v>0</v>
      </c>
      <c r="E133" s="2891"/>
      <c r="F133" s="2891"/>
      <c r="G133" s="2891"/>
      <c r="H133" s="2891"/>
      <c r="I133" s="289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2" t="str">
        <f>IF(B32="总价","（以上估价结果中楼面单价为总价除以建筑面积得出）","（以上估价结果中总价为楼面单价乘以建筑面积得出）")</f>
        <v>（以上估价结果中总价为楼面单价乘以建筑面积得出）</v>
      </c>
      <c r="B135" s="2852"/>
      <c r="C135" s="2852"/>
      <c r="D135" s="2852"/>
      <c r="E135" s="2852"/>
      <c r="F135" s="2852"/>
      <c r="G135" s="2852"/>
      <c r="H135" s="2852"/>
      <c r="I135" s="2852"/>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6.0000000000000053E-2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6" zoomScale="90" zoomScaleNormal="90" zoomScaleSheetLayoutView="100" workbookViewId="0">
      <selection activeCell="D24" sqref="D2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676249</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7744</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22800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22800</v>
      </c>
      <c r="D6" s="81" t="s">
        <v>2801</v>
      </c>
      <c r="E6" s="320" t="s">
        <v>2110</v>
      </c>
      <c r="F6" s="321">
        <f>'数据-取费表'!B29</f>
        <v>2000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2802</v>
      </c>
      <c r="E10" s="331" t="s">
        <v>2117</v>
      </c>
      <c r="F10" s="2346" t="s">
        <v>2896</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390574</v>
      </c>
      <c r="D13" s="1424" t="s">
        <v>2124</v>
      </c>
      <c r="E13" s="1424" t="s">
        <v>2125</v>
      </c>
      <c r="F13" s="1425">
        <f>'数据-取费表'!E20</f>
        <v>0.94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261960</v>
      </c>
      <c r="D14" s="1894" t="s">
        <v>2128</v>
      </c>
      <c r="E14" s="1895"/>
      <c r="F14" s="980"/>
      <c r="G14" s="1241"/>
      <c r="H14" s="338" t="s">
        <v>2108</v>
      </c>
      <c r="I14" s="320" t="s">
        <v>2129</v>
      </c>
      <c r="J14" s="14">
        <f ca="1">C29</f>
        <v>415504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7859</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13098</v>
      </c>
      <c r="D16" s="320" t="s">
        <v>2132</v>
      </c>
      <c r="E16" s="320" t="s">
        <v>2133</v>
      </c>
      <c r="F16" s="343">
        <f>IF('数据-取费表'!B10="住宅",'数据-取费表'!E22,0)</f>
        <v>0.05</v>
      </c>
      <c r="G16" s="1241"/>
      <c r="H16" s="1422" t="s">
        <v>14</v>
      </c>
      <c r="I16" s="1423" t="s">
        <v>2138</v>
      </c>
      <c r="J16" s="328">
        <f ca="1">ROUND(J17+J22+J23+J24,0)</f>
        <v>4155</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17464</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3929</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5.5000000000000007E-2</v>
      </c>
    </row>
    <row r="19" spans="1:37" s="342" customFormat="1" ht="18" customHeight="1">
      <c r="A19" s="338" t="s">
        <v>2144</v>
      </c>
      <c r="B19" s="320" t="s">
        <v>2153</v>
      </c>
      <c r="C19" s="14">
        <f>SUM(C14:C18)</f>
        <v>304310</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6086</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4155</v>
      </c>
      <c r="K22" s="1899" t="s">
        <v>2171</v>
      </c>
      <c r="L22" s="320" t="s">
        <v>2133</v>
      </c>
      <c r="M22" s="351">
        <f>'数据-取费表'!B44</f>
        <v>0.01</v>
      </c>
    </row>
    <row r="23" spans="1:37" ht="18" customHeight="1">
      <c r="A23" s="338" t="s">
        <v>2150</v>
      </c>
      <c r="B23" s="320" t="s">
        <v>2172</v>
      </c>
      <c r="C23" s="14">
        <f ca="1">IF('数据-取费表'!B23&lt;=1,ROUND(C19*F24*F23/2,0)+ROUND(C20*F24*F23/2,0),ROUND(C19*(POWER((1+F24),F23/2)-1),0)+ROUND(C20*(POWER((1+F24),F23/2)-1),0))</f>
        <v>10994</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1E-3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-4155</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62079</v>
      </c>
      <c r="D26" s="345" t="s">
        <v>2187</v>
      </c>
      <c r="E26" s="331" t="s">
        <v>2188</v>
      </c>
      <c r="F26" s="330">
        <f>'数据-取费表'!E28</f>
        <v>0.2</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4.0000000000000001E-3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5.2400000000000002E-2</v>
      </c>
      <c r="D28" s="345" t="s">
        <v>2199</v>
      </c>
      <c r="E28" s="320" t="s">
        <v>2159</v>
      </c>
      <c r="F28" s="343">
        <f>'数据-取费表'!E29</f>
        <v>5.5000000000000007E-2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415504</v>
      </c>
      <c r="D29" s="1435"/>
      <c r="E29" s="1433"/>
      <c r="F29" s="1436"/>
      <c r="G29" s="792"/>
      <c r="H29" s="357" t="s">
        <v>24</v>
      </c>
      <c r="I29" s="358" t="s">
        <v>2203</v>
      </c>
      <c r="J29" s="359">
        <f ca="1">ROUND(J26/(1+F40)^F41,0)</f>
        <v>0</v>
      </c>
      <c r="K29" s="360" t="s">
        <v>2204</v>
      </c>
      <c r="L29" s="361"/>
      <c r="M29" s="362">
        <f>IF(D1="仅计算典型户型",'数据-取费表'!E5,'数据-取费表'!B5)</f>
        <v>87.32</v>
      </c>
    </row>
    <row r="30" spans="1:37" ht="18" customHeight="1" thickTop="1">
      <c r="A30" s="1422" t="s">
        <v>14</v>
      </c>
      <c r="B30" s="1423" t="s">
        <v>2205</v>
      </c>
      <c r="C30" s="328">
        <f ca="1">ROUND(C31+C36+C37+C38,0)</f>
        <v>5914</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1140</v>
      </c>
      <c r="D31" s="1894" t="s">
        <v>2207</v>
      </c>
      <c r="E31" s="1899" t="s">
        <v>2208</v>
      </c>
      <c r="F31" s="344">
        <f>IF(项目基本情况!B7="企业","",IF('数据-取费表'!B10="住宅",5%,IF(F6*F7*F8/12/(1+'数据-取费表'!F30)&gt;20000,12%,7%)))</f>
        <v>0.05</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5.5000000000000007E-2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31246</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4155</v>
      </c>
      <c r="D36" s="1899" t="s">
        <v>2215</v>
      </c>
      <c r="E36" s="320" t="s">
        <v>2159</v>
      </c>
      <c r="F36" s="351">
        <f>'数据-取费表'!B44</f>
        <v>0.01</v>
      </c>
      <c r="G36" s="792"/>
      <c r="H36" s="1232"/>
      <c r="I36" s="370" t="s">
        <v>2216</v>
      </c>
      <c r="J36" s="371"/>
      <c r="K36" s="1236"/>
      <c r="L36" s="1232"/>
      <c r="M36" s="1232"/>
    </row>
    <row r="37" spans="1:18" ht="18" customHeight="1">
      <c r="A37" s="338" t="s">
        <v>2163</v>
      </c>
      <c r="B37" s="320" t="s">
        <v>2174</v>
      </c>
      <c r="C37" s="14">
        <f ca="1">ROUND(C13*F37,0)</f>
        <v>391</v>
      </c>
      <c r="D37" s="1899" t="s">
        <v>2175</v>
      </c>
      <c r="E37" s="320" t="s">
        <v>2176</v>
      </c>
      <c r="F37" s="352">
        <f>'数据-取费表'!B45</f>
        <v>1E-3</v>
      </c>
      <c r="G37" s="792"/>
      <c r="H37" s="1232"/>
      <c r="I37" s="217" t="s">
        <v>2217</v>
      </c>
      <c r="J37" s="372"/>
      <c r="K37" s="1236"/>
      <c r="L37" s="1232"/>
      <c r="M37" s="1232"/>
    </row>
    <row r="38" spans="1:18" ht="18" customHeight="1" thickBot="1">
      <c r="A38" s="1432" t="s">
        <v>2168</v>
      </c>
      <c r="B38" s="1433" t="s">
        <v>2157</v>
      </c>
      <c r="C38" s="1434">
        <f ca="1">ROUND(C5*F38,0)</f>
        <v>228</v>
      </c>
      <c r="D38" s="1435" t="s">
        <v>2180</v>
      </c>
      <c r="E38" s="1433" t="s">
        <v>2176</v>
      </c>
      <c r="F38" s="1428">
        <f>'数据-取费表'!B46</f>
        <v>0.01</v>
      </c>
      <c r="G38" s="792"/>
      <c r="H38" s="1232"/>
      <c r="I38" s="366" t="s">
        <v>2218</v>
      </c>
      <c r="J38" s="221">
        <f ca="1">ROUND(J34/C39,3)</f>
        <v>1.85</v>
      </c>
      <c r="K38" s="1237"/>
      <c r="L38" s="1232"/>
      <c r="M38" s="1232"/>
    </row>
    <row r="39" spans="1:18" ht="18" customHeight="1" thickTop="1">
      <c r="A39" s="1422" t="s">
        <v>22</v>
      </c>
      <c r="B39" s="1437" t="s">
        <v>2219</v>
      </c>
      <c r="C39" s="328">
        <f ca="1">C5-C30</f>
        <v>16886</v>
      </c>
      <c r="D39" s="1438" t="s">
        <v>2220</v>
      </c>
      <c r="E39" s="1439"/>
      <c r="F39" s="1440"/>
      <c r="G39" s="792"/>
      <c r="H39" s="1232"/>
      <c r="I39" s="366" t="s">
        <v>2221</v>
      </c>
      <c r="J39" s="221">
        <f ca="1">1-J38</f>
        <v>-0.85000000000000009</v>
      </c>
      <c r="K39" s="1237"/>
      <c r="L39" s="1232"/>
      <c r="M39" s="1232"/>
    </row>
    <row r="40" spans="1:18" s="792" customFormat="1" ht="18" customHeight="1">
      <c r="A40" s="317" t="s">
        <v>23</v>
      </c>
      <c r="B40" s="318" t="s">
        <v>2222</v>
      </c>
      <c r="C40" s="319">
        <f ca="1">ROUND(C39*(1-((1+F42)/(1+F40))^F41)/(F40-F42),0)</f>
        <v>676249</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2816</v>
      </c>
      <c r="F41" s="356">
        <f>IF('数据-取费表'!B28="租赁期内按合同租金",'数据-取费表'!B34,IF(E41="收益年期(n)",'数据-取费表'!B33,'数据-取费表'!B13))</f>
        <v>63.5</v>
      </c>
      <c r="H41" s="1239"/>
      <c r="I41" s="220" t="s">
        <v>2096</v>
      </c>
      <c r="J41" s="221">
        <f ca="1">ROUND(C13/C40,3)</f>
        <v>0.57799999999999996</v>
      </c>
      <c r="K41" s="1236"/>
      <c r="L41" s="1239"/>
      <c r="M41" s="1239"/>
      <c r="Q41" s="796"/>
    </row>
    <row r="42" spans="1:18" s="792" customFormat="1" ht="18" customHeight="1">
      <c r="A42" s="326"/>
      <c r="B42" s="327"/>
      <c r="C42" s="328"/>
      <c r="D42" s="350"/>
      <c r="E42" s="320" t="s">
        <v>2200</v>
      </c>
      <c r="F42" s="330">
        <f>'数据-取费表'!B31</f>
        <v>0.03</v>
      </c>
      <c r="H42" s="1239"/>
      <c r="I42" s="220" t="s">
        <v>2097</v>
      </c>
      <c r="J42" s="222">
        <f ca="1">1-J41</f>
        <v>0.42200000000000004</v>
      </c>
      <c r="K42" s="1236"/>
      <c r="L42" s="1239"/>
      <c r="M42" s="1239"/>
      <c r="Q42" s="796"/>
    </row>
    <row r="43" spans="1:18" s="792" customFormat="1" ht="18" customHeight="1" thickBot="1">
      <c r="A43" s="357" t="s">
        <v>24</v>
      </c>
      <c r="B43" s="358" t="s">
        <v>2225</v>
      </c>
      <c r="C43" s="359">
        <f ca="1">ROUND(C40/F43,0)</f>
        <v>7744</v>
      </c>
      <c r="D43" s="360" t="s">
        <v>2226</v>
      </c>
      <c r="E43" s="361" t="s">
        <v>2227</v>
      </c>
      <c r="F43" s="362">
        <f>IF(D1="仅计算典型户型",'数据-取费表'!E5,'数据-取费表'!B5)</f>
        <v>87.32</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676249</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-771098</v>
      </c>
      <c r="D47" s="2351" t="str">
        <f>C2</f>
        <v>元</v>
      </c>
      <c r="E47" s="777"/>
      <c r="F47" s="777"/>
      <c r="I47" s="2352" t="s">
        <v>2238</v>
      </c>
      <c r="J47" s="1345"/>
      <c r="K47" s="1346"/>
      <c r="L47" s="1359">
        <f>IF(M48="住宅",0,IF(L49&gt;J52,L61,J61))</f>
        <v>0</v>
      </c>
      <c r="O47" s="1373" t="s">
        <v>960</v>
      </c>
      <c r="P47" s="1370" t="s">
        <v>2239</v>
      </c>
      <c r="Q47" s="1371">
        <f ca="1">C29</f>
        <v>415504</v>
      </c>
      <c r="R47" s="1372" t="s">
        <v>2234</v>
      </c>
    </row>
    <row r="48" spans="1:18" s="792" customFormat="1" ht="15.75" thickBot="1">
      <c r="A48" s="313" t="s">
        <v>2240</v>
      </c>
      <c r="B48" s="314" t="s">
        <v>2241</v>
      </c>
      <c r="C48" s="314" t="s">
        <v>2242</v>
      </c>
      <c r="D48" s="314" t="s">
        <v>2243</v>
      </c>
      <c r="E48" s="1299" t="s">
        <v>2244</v>
      </c>
      <c r="F48" s="1300"/>
      <c r="I48" s="2353" t="s">
        <v>2245</v>
      </c>
      <c r="J48" s="2354"/>
      <c r="K48" s="2355" t="s">
        <v>2246</v>
      </c>
      <c r="L48" s="1347">
        <f>'数据-取费表'!B11</f>
        <v>70</v>
      </c>
      <c r="M48" s="1360" t="str">
        <f>IF('数据-取费表'!B10="住宅","住宅","非住宅")</f>
        <v>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c r="K49" s="2358" t="s">
        <v>2250</v>
      </c>
      <c r="L49" s="1129">
        <f>'数据-取费表'!B13</f>
        <v>63.5</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2013</v>
      </c>
      <c r="K50" s="2360" t="s">
        <v>2255</v>
      </c>
      <c r="L50" s="1348"/>
      <c r="O50" s="1373" t="s">
        <v>963</v>
      </c>
      <c r="P50" s="1370" t="s">
        <v>2256</v>
      </c>
      <c r="Q50" s="1371">
        <f>J54</f>
        <v>-5</v>
      </c>
      <c r="R50" s="1372" t="s">
        <v>2257</v>
      </c>
    </row>
    <row r="51" spans="1:18" s="792" customFormat="1" ht="15.75" thickBot="1">
      <c r="A51" s="322"/>
      <c r="B51" s="323"/>
      <c r="C51" s="324"/>
      <c r="D51" s="325"/>
      <c r="E51" s="340" t="s">
        <v>2111</v>
      </c>
      <c r="F51" s="1298">
        <f>F7</f>
        <v>1</v>
      </c>
      <c r="I51" s="2356" t="s">
        <v>2258</v>
      </c>
      <c r="J51" s="1349">
        <f>SUMPRODUCT((I64:I66=J48)*(J63:L63=J49)*(J64:L66))</f>
        <v>0</v>
      </c>
      <c r="K51" s="2360" t="s">
        <v>2259</v>
      </c>
      <c r="L51" s="1348"/>
      <c r="O51" s="1369" t="s">
        <v>964</v>
      </c>
      <c r="P51" s="1370" t="str">
        <f>IF(C2="元","收益价值(元)","收益价值(万元)")</f>
        <v>收益价值(元)</v>
      </c>
      <c r="Q51" s="1371">
        <f ca="1">ROUND(IF(C2="元",Q45+Q46,(Q45+Q46)/10000),0)</f>
        <v>676249</v>
      </c>
      <c r="R51" s="1372" t="s">
        <v>965</v>
      </c>
    </row>
    <row r="52" spans="1:18" s="792" customFormat="1" ht="16.5" thickBot="1">
      <c r="A52" s="322"/>
      <c r="B52" s="323"/>
      <c r="C52" s="324"/>
      <c r="D52" s="325"/>
      <c r="E52" s="320" t="s">
        <v>2113</v>
      </c>
      <c r="F52" s="321">
        <f>F8</f>
        <v>12</v>
      </c>
      <c r="I52" s="2361" t="s">
        <v>2260</v>
      </c>
      <c r="J52" s="1350">
        <f>IF(J50="",J51,J50+J51-YEAR('数据-取费表'!B2))</f>
        <v>-5</v>
      </c>
      <c r="K52" s="2362" t="s">
        <v>2261</v>
      </c>
      <c r="L52" s="1351">
        <f ca="1">ROUND(-PV('数据-取费表'!B15,L49,(C40-C13*J35)),0)</f>
        <v>14788836</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-5</v>
      </c>
      <c r="K54" s="2991" t="s">
        <v>2800</v>
      </c>
      <c r="L54" s="2992"/>
      <c r="O54" s="1369" t="s">
        <v>958</v>
      </c>
      <c r="P54" s="1370" t="s">
        <v>2233</v>
      </c>
      <c r="Q54" s="1371">
        <f ca="1">C40+J29</f>
        <v>676249</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390574</v>
      </c>
      <c r="D57" s="1296"/>
      <c r="E57" s="1297"/>
      <c r="F57" s="1304"/>
      <c r="I57" s="2371" t="s">
        <v>2271</v>
      </c>
      <c r="J57" s="1357" t="s">
        <v>2861</v>
      </c>
      <c r="K57" s="2356" t="s">
        <v>2272</v>
      </c>
      <c r="L57" s="1129">
        <f>IF(L49&lt;J52,"——",L49-J52)</f>
        <v>68.5</v>
      </c>
      <c r="O57" s="1373" t="s">
        <v>961</v>
      </c>
      <c r="P57" s="1370" t="s">
        <v>2273</v>
      </c>
      <c r="Q57" s="1374">
        <f>L53</f>
        <v>0</v>
      </c>
      <c r="R57" s="1372"/>
    </row>
    <row r="58" spans="1:18" s="792" customFormat="1" ht="29.25" thickBot="1">
      <c r="A58" s="1303"/>
      <c r="B58" s="320" t="s">
        <v>2202</v>
      </c>
      <c r="C58" s="189">
        <f ca="1">C29</f>
        <v>415504</v>
      </c>
      <c r="D58" s="1296"/>
      <c r="E58" s="1297"/>
      <c r="F58" s="1304"/>
      <c r="I58" s="2372" t="s">
        <v>2274</v>
      </c>
      <c r="J58" s="1356" t="str">
        <f>IF(OR(M48="住宅",J52&lt;L49,J57="是"),"——",J52-L49)</f>
        <v>——</v>
      </c>
      <c r="K58" s="2356" t="s">
        <v>2275</v>
      </c>
      <c r="L58" s="1129">
        <f ca="1">IF(L49&lt;J52,"——",IF(L56="比较法",L50,IF(L56="基准地价",L51,L52)))</f>
        <v>14788836</v>
      </c>
      <c r="O58" s="1373" t="s">
        <v>962</v>
      </c>
      <c r="P58" s="1370" t="s">
        <v>2276</v>
      </c>
      <c r="Q58" s="1371" t="e">
        <f>L59</f>
        <v>#DIV/0!</v>
      </c>
      <c r="R58" s="1372" t="s">
        <v>2277</v>
      </c>
    </row>
    <row r="59" spans="1:18" s="792" customFormat="1" ht="29.25" thickBot="1">
      <c r="A59" s="333" t="s">
        <v>14</v>
      </c>
      <c r="B59" s="334" t="s">
        <v>2205</v>
      </c>
      <c r="C59" s="335">
        <f ca="1">ROUND(C60+C65+C66+C67,0)</f>
        <v>4546</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0.05</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676249</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5.5000000000000007E-2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676249</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4155</v>
      </c>
      <c r="D65" s="1899" t="s">
        <v>2215</v>
      </c>
      <c r="E65" s="320" t="s">
        <v>2159</v>
      </c>
      <c r="F65" s="351">
        <f t="shared" si="0"/>
        <v>0.01</v>
      </c>
      <c r="I65" s="2375" t="s">
        <v>2296</v>
      </c>
      <c r="J65" s="1880">
        <v>50</v>
      </c>
      <c r="K65" s="1880">
        <v>35</v>
      </c>
      <c r="L65" s="1880">
        <v>60</v>
      </c>
      <c r="M65" s="1879">
        <v>0</v>
      </c>
      <c r="O65" s="1373" t="s">
        <v>960</v>
      </c>
      <c r="P65" s="1370" t="s">
        <v>2270</v>
      </c>
      <c r="Q65" s="1375">
        <f ca="1">L52</f>
        <v>14788836</v>
      </c>
      <c r="R65" s="1376" t="s">
        <v>2297</v>
      </c>
    </row>
    <row r="66" spans="1:18" s="792" customFormat="1" ht="20.25" thickBot="1">
      <c r="A66" s="338" t="s">
        <v>20</v>
      </c>
      <c r="B66" s="320" t="s">
        <v>2174</v>
      </c>
      <c r="C66" s="14">
        <f ca="1">ROUND(C57*F66,0)</f>
        <v>391</v>
      </c>
      <c r="D66" s="1899" t="s">
        <v>2175</v>
      </c>
      <c r="E66" s="320" t="s">
        <v>2176</v>
      </c>
      <c r="F66" s="352">
        <f t="shared" si="0"/>
        <v>1E-3</v>
      </c>
      <c r="I66" s="2375" t="s">
        <v>2298</v>
      </c>
      <c r="J66" s="1880">
        <v>40</v>
      </c>
      <c r="K66" s="1880">
        <v>30</v>
      </c>
      <c r="L66" s="1880">
        <v>50</v>
      </c>
      <c r="M66" s="1878">
        <v>0.02</v>
      </c>
      <c r="O66" s="1373" t="s">
        <v>961</v>
      </c>
      <c r="P66" s="1377" t="s">
        <v>2299</v>
      </c>
      <c r="Q66" s="1371">
        <f ca="1">ROUND(Q67-Q68*Q69,0)</f>
        <v>-14360</v>
      </c>
      <c r="R66" s="1372"/>
    </row>
    <row r="67" spans="1:18" s="792" customFormat="1" ht="15.75" thickBot="1">
      <c r="A67" s="338" t="s">
        <v>21</v>
      </c>
      <c r="B67" s="320" t="s">
        <v>2157</v>
      </c>
      <c r="C67" s="14">
        <f ca="1">ROUND(C49*F67,0)</f>
        <v>0</v>
      </c>
      <c r="D67" s="1899" t="s">
        <v>2180</v>
      </c>
      <c r="E67" s="320" t="s">
        <v>2176</v>
      </c>
      <c r="F67" s="330">
        <f t="shared" si="0"/>
        <v>0.01</v>
      </c>
      <c r="O67" s="1373" t="s">
        <v>966</v>
      </c>
      <c r="P67" s="1377" t="s">
        <v>2300</v>
      </c>
      <c r="Q67" s="1371">
        <f ca="1">C39</f>
        <v>16886</v>
      </c>
      <c r="R67" s="1372" t="s">
        <v>2234</v>
      </c>
    </row>
    <row r="68" spans="1:18" ht="15.75" thickBot="1">
      <c r="A68" s="333" t="s">
        <v>22</v>
      </c>
      <c r="B68" s="90" t="s">
        <v>2184</v>
      </c>
      <c r="C68" s="335">
        <f ca="1">C49-C59</f>
        <v>-4546</v>
      </c>
      <c r="D68" s="1894" t="s">
        <v>2185</v>
      </c>
      <c r="E68" s="1898"/>
      <c r="F68" s="354"/>
      <c r="H68" s="792"/>
      <c r="I68" s="792"/>
      <c r="J68" s="792"/>
      <c r="K68" s="792"/>
      <c r="L68" s="792"/>
      <c r="M68" s="792"/>
      <c r="O68" s="1373" t="s">
        <v>967</v>
      </c>
      <c r="P68" s="1377" t="s">
        <v>2301</v>
      </c>
      <c r="Q68" s="1371">
        <f ca="1">C13</f>
        <v>390574</v>
      </c>
      <c r="R68" s="1372" t="s">
        <v>2234</v>
      </c>
    </row>
    <row r="69" spans="1:18" ht="15.75" thickBot="1">
      <c r="A69" s="317" t="s">
        <v>23</v>
      </c>
      <c r="B69" s="318" t="s">
        <v>2222</v>
      </c>
      <c r="C69" s="319">
        <f ca="1">ROUND(C68*(1-((1+F71)/(1+F69))^F70)/(F69-F71),0)</f>
        <v>-94849</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63.5</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-1086</v>
      </c>
      <c r="D72" s="360" t="s">
        <v>2226</v>
      </c>
      <c r="E72" s="361" t="s">
        <v>2227</v>
      </c>
      <c r="F72" s="362">
        <f>F43</f>
        <v>87.32</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676249</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9" t="s">
        <v>1025</v>
      </c>
      <c r="B1" s="3010"/>
      <c r="C1" s="3011"/>
      <c r="D1" s="3012">
        <f>SUM(I10,I15,I20,I21,I23)</f>
        <v>0</v>
      </c>
      <c r="E1" s="3012"/>
      <c r="F1" s="3012"/>
      <c r="G1" s="3012"/>
      <c r="H1" s="3012"/>
      <c r="I1" s="3013"/>
    </row>
    <row r="2" spans="1:9">
      <c r="A2" s="2999" t="s">
        <v>1026</v>
      </c>
      <c r="B2" s="3000" t="s">
        <v>975</v>
      </c>
      <c r="C2" s="3000"/>
      <c r="D2" s="1391" t="s">
        <v>976</v>
      </c>
      <c r="E2" s="1391" t="s">
        <v>977</v>
      </c>
      <c r="F2" s="1391" t="s">
        <v>978</v>
      </c>
      <c r="G2" s="1391" t="s">
        <v>979</v>
      </c>
      <c r="H2" s="1391" t="s">
        <v>980</v>
      </c>
      <c r="I2" s="1392" t="s">
        <v>981</v>
      </c>
    </row>
    <row r="3" spans="1:9">
      <c r="A3" s="2999"/>
      <c r="B3" s="3000" t="s">
        <v>982</v>
      </c>
      <c r="C3" s="3000"/>
      <c r="D3" s="1393"/>
      <c r="E3" s="1391"/>
      <c r="F3" s="1394"/>
      <c r="G3" s="1394"/>
      <c r="H3" s="1395"/>
      <c r="I3" s="1396">
        <f>ROUND(D3*E3*F3*G3*H3/10000,0)</f>
        <v>0</v>
      </c>
    </row>
    <row r="4" spans="1:9">
      <c r="A4" s="2999"/>
      <c r="B4" s="3000" t="s">
        <v>983</v>
      </c>
      <c r="C4" s="3000"/>
      <c r="D4" s="1393"/>
      <c r="E4" s="1391"/>
      <c r="F4" s="1394"/>
      <c r="G4" s="1394"/>
      <c r="H4" s="1395"/>
      <c r="I4" s="1396">
        <f t="shared" ref="I4:I9" si="0">ROUND(D4*E4*F4*G4*H4/10000,0)</f>
        <v>0</v>
      </c>
    </row>
    <row r="5" spans="1:9">
      <c r="A5" s="2999"/>
      <c r="B5" s="3000" t="s">
        <v>984</v>
      </c>
      <c r="C5" s="3000"/>
      <c r="D5" s="1393"/>
      <c r="E5" s="1391"/>
      <c r="F5" s="1394"/>
      <c r="G5" s="1394"/>
      <c r="H5" s="1395"/>
      <c r="I5" s="1396">
        <f t="shared" si="0"/>
        <v>0</v>
      </c>
    </row>
    <row r="6" spans="1:9">
      <c r="A6" s="2999"/>
      <c r="B6" s="3000" t="s">
        <v>985</v>
      </c>
      <c r="C6" s="3000"/>
      <c r="D6" s="1393"/>
      <c r="E6" s="1391"/>
      <c r="F6" s="1394"/>
      <c r="G6" s="1394"/>
      <c r="H6" s="1395"/>
      <c r="I6" s="1396">
        <f t="shared" si="0"/>
        <v>0</v>
      </c>
    </row>
    <row r="7" spans="1:9">
      <c r="A7" s="2999"/>
      <c r="B7" s="3000" t="s">
        <v>986</v>
      </c>
      <c r="C7" s="3000"/>
      <c r="D7" s="1393"/>
      <c r="E7" s="1391"/>
      <c r="F7" s="1394"/>
      <c r="G7" s="1394"/>
      <c r="H7" s="1395"/>
      <c r="I7" s="1396">
        <f t="shared" si="0"/>
        <v>0</v>
      </c>
    </row>
    <row r="8" spans="1:9">
      <c r="A8" s="2999"/>
      <c r="B8" s="3000" t="s">
        <v>987</v>
      </c>
      <c r="C8" s="3000"/>
      <c r="D8" s="1393"/>
      <c r="E8" s="1391"/>
      <c r="F8" s="1394"/>
      <c r="G8" s="1394"/>
      <c r="H8" s="1395"/>
      <c r="I8" s="1396">
        <f t="shared" si="0"/>
        <v>0</v>
      </c>
    </row>
    <row r="9" spans="1:9">
      <c r="A9" s="2999"/>
      <c r="B9" s="3000" t="s">
        <v>988</v>
      </c>
      <c r="C9" s="3000"/>
      <c r="D9" s="1393"/>
      <c r="E9" s="1391"/>
      <c r="F9" s="1394"/>
      <c r="G9" s="1394"/>
      <c r="H9" s="1395"/>
      <c r="I9" s="1396">
        <f t="shared" si="0"/>
        <v>0</v>
      </c>
    </row>
    <row r="10" spans="1:9">
      <c r="A10" s="2999"/>
      <c r="B10" s="3001" t="s">
        <v>989</v>
      </c>
      <c r="C10" s="3001"/>
      <c r="D10" s="1397">
        <v>527</v>
      </c>
      <c r="E10" s="1397" t="e">
        <f>ROUND(D1*10000/D10/H9,0)</f>
        <v>#DIV/0!</v>
      </c>
      <c r="F10" s="1398"/>
      <c r="G10" s="1398"/>
      <c r="H10" s="1399"/>
      <c r="I10" s="1400">
        <f>SUM(I3:I9)</f>
        <v>0</v>
      </c>
    </row>
    <row r="11" spans="1:9" ht="14.25">
      <c r="A11" s="2999" t="s">
        <v>1027</v>
      </c>
      <c r="B11" s="3000" t="s">
        <v>990</v>
      </c>
      <c r="C11" s="3000"/>
      <c r="D11" s="1393" t="s">
        <v>991</v>
      </c>
      <c r="E11" s="1393" t="s">
        <v>992</v>
      </c>
      <c r="F11" s="1394" t="s">
        <v>993</v>
      </c>
      <c r="G11" s="1394" t="s">
        <v>980</v>
      </c>
      <c r="H11" s="1401" t="s">
        <v>994</v>
      </c>
      <c r="I11" s="1392" t="s">
        <v>981</v>
      </c>
    </row>
    <row r="12" spans="1:9">
      <c r="A12" s="2999"/>
      <c r="B12" s="3000" t="s">
        <v>995</v>
      </c>
      <c r="C12" s="3000"/>
      <c r="D12" s="1393"/>
      <c r="E12" s="1393"/>
      <c r="F12" s="1394"/>
      <c r="G12" s="1395"/>
      <c r="H12" s="1402"/>
      <c r="I12" s="1392">
        <f>ROUND(D12*E12*F12*G12/10000,0)</f>
        <v>0</v>
      </c>
    </row>
    <row r="13" spans="1:9">
      <c r="A13" s="2999"/>
      <c r="B13" s="3000" t="s">
        <v>996</v>
      </c>
      <c r="C13" s="3000"/>
      <c r="D13" s="1393"/>
      <c r="E13" s="1393"/>
      <c r="F13" s="1394"/>
      <c r="G13" s="1395"/>
      <c r="H13" s="1402"/>
      <c r="I13" s="1392">
        <f>ROUND(D13*E13*F13*G13/10000,0)</f>
        <v>0</v>
      </c>
    </row>
    <row r="14" spans="1:9">
      <c r="A14" s="2999"/>
      <c r="B14" s="3000" t="s">
        <v>997</v>
      </c>
      <c r="C14" s="3000"/>
      <c r="D14" s="1393"/>
      <c r="E14" s="1393"/>
      <c r="F14" s="1394"/>
      <c r="G14" s="1395"/>
      <c r="H14" s="1402"/>
      <c r="I14" s="1392">
        <f>ROUND(D14*E14*F14*G14/10000,0)</f>
        <v>0</v>
      </c>
    </row>
    <row r="15" spans="1:9">
      <c r="A15" s="2999"/>
      <c r="B15" s="3001" t="s">
        <v>989</v>
      </c>
      <c r="C15" s="3001"/>
      <c r="D15" s="1397"/>
      <c r="E15" s="1397">
        <f>SUM(E12:E14)</f>
        <v>0</v>
      </c>
      <c r="F15" s="1398"/>
      <c r="G15" s="1395"/>
      <c r="H15" s="1402"/>
      <c r="I15" s="1403">
        <f>SUM(I12:I14)</f>
        <v>0</v>
      </c>
    </row>
    <row r="16" spans="1:9" ht="24">
      <c r="A16" s="2999" t="s">
        <v>1028</v>
      </c>
      <c r="B16" s="3000" t="s">
        <v>998</v>
      </c>
      <c r="C16" s="3000"/>
      <c r="D16" s="1393" t="s">
        <v>976</v>
      </c>
      <c r="E16" s="1404" t="s">
        <v>999</v>
      </c>
      <c r="F16" s="1394" t="s">
        <v>1000</v>
      </c>
      <c r="G16" s="1395" t="s">
        <v>980</v>
      </c>
      <c r="H16" s="1401" t="s">
        <v>994</v>
      </c>
      <c r="I16" s="1392" t="s">
        <v>981</v>
      </c>
    </row>
    <row r="17" spans="1:9" ht="14.25">
      <c r="A17" s="2999"/>
      <c r="B17" s="3000" t="s">
        <v>1001</v>
      </c>
      <c r="C17" s="3000"/>
      <c r="D17" s="1393"/>
      <c r="E17" s="1393"/>
      <c r="F17" s="1394"/>
      <c r="G17" s="1395"/>
      <c r="H17" s="1405"/>
      <c r="I17" s="1406">
        <f>ROUND(D17*E17*F17*G17/10000,0)</f>
        <v>0</v>
      </c>
    </row>
    <row r="18" spans="1:9" ht="14.25">
      <c r="A18" s="2999"/>
      <c r="B18" s="3000" t="s">
        <v>1002</v>
      </c>
      <c r="C18" s="3000"/>
      <c r="D18" s="1393"/>
      <c r="E18" s="1393"/>
      <c r="F18" s="1394"/>
      <c r="G18" s="1395"/>
      <c r="H18" s="1405"/>
      <c r="I18" s="1406">
        <f>ROUND(D18*E18*F18*G18/10000,0)</f>
        <v>0</v>
      </c>
    </row>
    <row r="19" spans="1:9" ht="14.25">
      <c r="A19" s="2999"/>
      <c r="B19" s="3000" t="s">
        <v>1003</v>
      </c>
      <c r="C19" s="3000"/>
      <c r="D19" s="1393"/>
      <c r="E19" s="1393"/>
      <c r="F19" s="1394"/>
      <c r="G19" s="1395"/>
      <c r="H19" s="1405"/>
      <c r="I19" s="1406">
        <f>ROUND(D19*E19*F19*G19/10000,0)</f>
        <v>0</v>
      </c>
    </row>
    <row r="20" spans="1:9">
      <c r="A20" s="2999"/>
      <c r="B20" s="3001" t="s">
        <v>989</v>
      </c>
      <c r="C20" s="3001"/>
      <c r="D20" s="1397">
        <f>SUM(D17:D19)</f>
        <v>0</v>
      </c>
      <c r="E20" s="1397"/>
      <c r="F20" s="1398"/>
      <c r="G20" s="1395"/>
      <c r="H20" s="1402"/>
      <c r="I20" s="1403">
        <f>SUM(I17:I19)</f>
        <v>0</v>
      </c>
    </row>
    <row r="21" spans="1:9">
      <c r="A21" s="2999"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2996">
        <f>C27-C30-C31-C32</f>
        <v>0</v>
      </c>
      <c r="F26" s="2996"/>
      <c r="G26" s="2996"/>
      <c r="H26" s="1835" t="s">
        <v>1223</v>
      </c>
    </row>
    <row r="27" spans="1:9">
      <c r="A27" s="1415">
        <v>1</v>
      </c>
      <c r="B27" s="1416" t="s">
        <v>1008</v>
      </c>
      <c r="C27" s="1416">
        <f>C28+C29</f>
        <v>0</v>
      </c>
      <c r="D27" s="1416"/>
      <c r="E27" s="2997"/>
      <c r="F27" s="2997"/>
      <c r="G27" s="2997"/>
    </row>
    <row r="28" spans="1:9">
      <c r="A28" s="1417" t="s">
        <v>1009</v>
      </c>
      <c r="B28" s="1416" t="s">
        <v>1010</v>
      </c>
      <c r="C28" s="1416"/>
      <c r="D28" s="1416"/>
      <c r="E28" s="2997"/>
      <c r="F28" s="2997"/>
      <c r="G28" s="299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8"/>
      <c r="F32" s="2998"/>
      <c r="G32" s="2998"/>
    </row>
    <row r="33" spans="1:7" hidden="1">
      <c r="A33" s="2993" t="s">
        <v>1019</v>
      </c>
      <c r="B33" s="2994"/>
      <c r="C33" s="2994"/>
      <c r="D33" s="2995"/>
      <c r="E33" s="2996"/>
      <c r="F33" s="2996"/>
      <c r="G33" s="2996"/>
    </row>
    <row r="34" spans="1:7" hidden="1">
      <c r="A34" s="1419">
        <v>1</v>
      </c>
      <c r="B34" s="1416" t="s">
        <v>1020</v>
      </c>
      <c r="C34" s="1416"/>
      <c r="D34" s="1416"/>
      <c r="E34" s="2997"/>
      <c r="F34" s="2997"/>
      <c r="G34" s="2997"/>
    </row>
    <row r="35" spans="1:7" hidden="1">
      <c r="A35" s="1419">
        <v>2</v>
      </c>
      <c r="B35" s="1416" t="s">
        <v>1021</v>
      </c>
      <c r="C35" s="1416"/>
      <c r="D35" s="1416"/>
      <c r="E35" s="2997"/>
      <c r="F35" s="2997"/>
      <c r="G35" s="2997"/>
    </row>
    <row r="36" spans="1:7" hidden="1">
      <c r="A36" s="1419">
        <v>3</v>
      </c>
      <c r="B36" s="1416" t="s">
        <v>1022</v>
      </c>
      <c r="C36" s="1416"/>
      <c r="D36" s="1416"/>
      <c r="E36" s="2997"/>
      <c r="F36" s="2997"/>
      <c r="G36" s="2997"/>
    </row>
    <row r="37" spans="1:7" hidden="1">
      <c r="A37" s="1419">
        <v>4</v>
      </c>
      <c r="B37" s="1416" t="s">
        <v>1023</v>
      </c>
      <c r="C37" s="1416"/>
      <c r="D37" s="1416"/>
      <c r="E37" s="2997"/>
      <c r="F37" s="2997"/>
      <c r="G37" s="2997"/>
    </row>
    <row r="38" spans="1:7" hidden="1">
      <c r="A38" s="2993" t="s">
        <v>1024</v>
      </c>
      <c r="B38" s="2994"/>
      <c r="C38" s="2994"/>
      <c r="D38" s="2995"/>
      <c r="E38" s="2996"/>
      <c r="F38" s="2996"/>
      <c r="G38" s="29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叶凌（注册号:1119970111）、杨红英（注册号:1120070085)</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C5" sqref="C5:D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2859</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2121439</v>
      </c>
      <c r="C2" s="164" t="str">
        <f>'数据-取费表'!B3</f>
        <v>元</v>
      </c>
      <c r="D2" s="2391" t="s">
        <v>1257</v>
      </c>
      <c r="E2" s="1849">
        <f ca="1">SUMIF(INDIRECT("'"&amp;G2&amp;"'"&amp;"!A:A"),"承租人权益价值",INDIRECT("'"&amp;G2&amp;"'"&amp;"!c:c"))</f>
        <v>-771098</v>
      </c>
      <c r="F2" s="2392" t="str">
        <f>C2</f>
        <v>元</v>
      </c>
      <c r="G2" s="2718" t="s">
        <v>2817</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24295</v>
      </c>
      <c r="C3" s="380" t="s">
        <v>2340</v>
      </c>
      <c r="D3" s="379">
        <f>IF(C1="仅计算典型户型",'数据-取费表'!E5,'数据-取费表'!B5)</f>
        <v>87.32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53" t="s">
        <v>2342</v>
      </c>
      <c r="D4" s="3054"/>
      <c r="E4" s="3055" t="s">
        <v>2343</v>
      </c>
      <c r="F4" s="3056"/>
      <c r="G4" s="3053" t="s">
        <v>2344</v>
      </c>
      <c r="H4" s="3054"/>
      <c r="I4" s="3053" t="s">
        <v>2345</v>
      </c>
      <c r="J4" s="3054"/>
      <c r="K4" s="2402"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0" t="s">
        <v>2344</v>
      </c>
      <c r="AC4" s="3050" t="s">
        <v>2345</v>
      </c>
    </row>
    <row r="5" spans="1:29" ht="71.25" customHeight="1" thickBot="1">
      <c r="A5" s="384"/>
      <c r="B5" s="385"/>
      <c r="C5" s="3038" t="s">
        <v>2926</v>
      </c>
      <c r="D5" s="3039"/>
      <c r="E5" s="3064" t="s">
        <v>2927</v>
      </c>
      <c r="F5" s="3065"/>
      <c r="G5" s="3038" t="s">
        <v>2928</v>
      </c>
      <c r="H5" s="3039"/>
      <c r="I5" s="3038" t="s">
        <v>2928</v>
      </c>
      <c r="J5" s="3039"/>
      <c r="K5" s="2403"/>
      <c r="L5" s="1245"/>
      <c r="M5" s="1246"/>
      <c r="N5" s="1246"/>
      <c r="O5" s="1246"/>
      <c r="P5" s="3059"/>
      <c r="Q5" s="3060"/>
      <c r="R5" s="3044"/>
      <c r="S5" s="3045"/>
      <c r="T5" s="3044"/>
      <c r="U5" s="3045"/>
      <c r="V5" s="3063"/>
      <c r="W5" s="3063"/>
      <c r="X5" s="1906"/>
      <c r="Y5" s="3044"/>
      <c r="Z5" s="3045"/>
      <c r="AA5" s="3051"/>
      <c r="AB5" s="3051"/>
      <c r="AC5" s="3051"/>
    </row>
    <row r="6" spans="1:29" ht="15.75" hidden="1" thickBot="1">
      <c r="A6" s="386"/>
      <c r="B6" s="387"/>
      <c r="C6" s="3066"/>
      <c r="D6" s="3037"/>
      <c r="E6" s="3067" t="s">
        <v>2352</v>
      </c>
      <c r="F6" s="3068"/>
      <c r="G6" s="3036" t="s">
        <v>2352</v>
      </c>
      <c r="H6" s="3037"/>
      <c r="I6" s="3036" t="s">
        <v>2352</v>
      </c>
      <c r="J6" s="3037"/>
      <c r="K6" s="2403"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43143</v>
      </c>
      <c r="D7" s="391">
        <v>100</v>
      </c>
      <c r="E7" s="392">
        <v>43116</v>
      </c>
      <c r="F7" s="393">
        <f>SUMIF(58:58,YEAR(E7)&amp;"-"&amp;MONTH(E7),59:59)</f>
        <v>100</v>
      </c>
      <c r="G7" s="392">
        <v>43138</v>
      </c>
      <c r="H7" s="391">
        <f>SUMIF(58:58,YEAR(G7)&amp;"-"&amp;MONTH(G7),59:59)</f>
        <v>100</v>
      </c>
      <c r="I7" s="392">
        <v>43143</v>
      </c>
      <c r="J7" s="391">
        <f>SUMIF(58:58,YEAR(I7)&amp;"-"&amp;MONTH(I7),59:59)</f>
        <v>100</v>
      </c>
      <c r="K7" s="2404"/>
      <c r="L7" s="1247"/>
      <c r="M7" s="1248"/>
      <c r="N7" s="1248"/>
      <c r="O7" s="1248"/>
      <c r="P7" s="3040" t="s">
        <v>2355</v>
      </c>
      <c r="Q7" s="3048"/>
      <c r="R7" s="750" t="s">
        <v>34</v>
      </c>
      <c r="S7" s="751">
        <f t="shared" ref="S7:S15" si="0">F7</f>
        <v>100</v>
      </c>
      <c r="T7" s="750" t="s">
        <v>34</v>
      </c>
      <c r="U7" s="751">
        <f t="shared" ref="U7:U15" si="1">H7</f>
        <v>100</v>
      </c>
      <c r="V7" s="750" t="s">
        <v>34</v>
      </c>
      <c r="W7" s="751">
        <f t="shared" ref="W7:W15" si="2">J7</f>
        <v>100</v>
      </c>
      <c r="X7" s="752"/>
      <c r="Y7" s="3040" t="s">
        <v>2355</v>
      </c>
      <c r="Z7" s="3041"/>
      <c r="AA7" s="753">
        <f>D7/F7</f>
        <v>1</v>
      </c>
      <c r="AB7" s="753">
        <f>D7/H7</f>
        <v>1</v>
      </c>
      <c r="AC7" s="753">
        <f>D7/J7</f>
        <v>1</v>
      </c>
    </row>
    <row r="8" spans="1:29" s="35" customFormat="1" ht="15.75" thickBot="1">
      <c r="A8" s="388" t="s">
        <v>2356</v>
      </c>
      <c r="B8" s="389"/>
      <c r="C8" s="395" t="s">
        <v>2357</v>
      </c>
      <c r="D8" s="391">
        <v>100</v>
      </c>
      <c r="E8" s="2405" t="s">
        <v>2818</v>
      </c>
      <c r="F8" s="393">
        <f>SUMIF(61:61,E8,62:62)-SUMIF(61:61,C8,62:62)+100</f>
        <v>100</v>
      </c>
      <c r="G8" s="395" t="s">
        <v>2818</v>
      </c>
      <c r="H8" s="391">
        <f>SUMIF(61:61,G8,62:62)-SUMIF(61:61,C8,62:62)+100</f>
        <v>100</v>
      </c>
      <c r="I8" s="2405" t="s">
        <v>2818</v>
      </c>
      <c r="J8" s="391">
        <f>SUMIF(61:61,I8,62:62)-SUMIF(61:61,C8,62:62)+100</f>
        <v>100</v>
      </c>
      <c r="K8" s="2404"/>
      <c r="L8" s="1247"/>
      <c r="M8" s="1248"/>
      <c r="N8" s="1248"/>
      <c r="O8" s="1248"/>
      <c r="P8" s="3040" t="s">
        <v>2358</v>
      </c>
      <c r="Q8" s="3041"/>
      <c r="R8" s="750" t="s">
        <v>34</v>
      </c>
      <c r="S8" s="751">
        <f t="shared" si="0"/>
        <v>100</v>
      </c>
      <c r="T8" s="750" t="s">
        <v>34</v>
      </c>
      <c r="U8" s="751">
        <f t="shared" si="1"/>
        <v>100</v>
      </c>
      <c r="V8" s="750" t="s">
        <v>34</v>
      </c>
      <c r="W8" s="751">
        <f t="shared" si="2"/>
        <v>100</v>
      </c>
      <c r="X8" s="752"/>
      <c r="Y8" s="3040" t="s">
        <v>2358</v>
      </c>
      <c r="Z8" s="3041"/>
      <c r="AA8" s="753">
        <f t="shared" ref="AA8:AA46" si="3">D8/F8</f>
        <v>1</v>
      </c>
      <c r="AB8" s="753">
        <f t="shared" ref="AB8:AB46" si="4">D8/H8</f>
        <v>1</v>
      </c>
      <c r="AC8" s="753">
        <f t="shared" ref="AC8:AC46" si="5">D8/J8</f>
        <v>1</v>
      </c>
    </row>
    <row r="9" spans="1:29" s="35" customFormat="1">
      <c r="A9" s="396" t="s">
        <v>2359</v>
      </c>
      <c r="B9" s="28" t="s">
        <v>2360</v>
      </c>
      <c r="C9" s="2719" t="s">
        <v>2819</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75" thickBot="1">
      <c r="A10" s="402"/>
      <c r="B10" s="403" t="s">
        <v>2363</v>
      </c>
      <c r="C10" s="404" t="s">
        <v>2865</v>
      </c>
      <c r="D10" s="52">
        <v>100</v>
      </c>
      <c r="E10" s="405" t="s">
        <v>2906</v>
      </c>
      <c r="F10" s="406">
        <f>SUMIF(65:65,E10,66:66)-SUMIF(65:65,C10,66:66)+100</f>
        <v>99</v>
      </c>
      <c r="G10" s="404" t="s">
        <v>2929</v>
      </c>
      <c r="H10" s="52">
        <f>SUMIF(65:65,G10,66:66)-SUMIF(65:65,C10,66:66)+100</f>
        <v>98</v>
      </c>
      <c r="I10" s="404" t="s">
        <v>2929</v>
      </c>
      <c r="J10" s="52">
        <f>SUMIF(65:65,I10,66:66)-SUMIF(65:65,C10,66:66)+100</f>
        <v>98</v>
      </c>
      <c r="K10" s="407">
        <v>1</v>
      </c>
      <c r="L10" s="1250"/>
      <c r="M10" s="1251"/>
      <c r="N10" s="1251"/>
      <c r="O10" s="1251"/>
      <c r="P10" s="3049"/>
      <c r="Q10" s="1893" t="str">
        <f t="shared" si="6"/>
        <v>土地使用年限（年）</v>
      </c>
      <c r="R10" s="750" t="s">
        <v>25</v>
      </c>
      <c r="S10" s="751">
        <f t="shared" si="0"/>
        <v>99</v>
      </c>
      <c r="T10" s="750" t="s">
        <v>25</v>
      </c>
      <c r="U10" s="751">
        <f t="shared" si="1"/>
        <v>98</v>
      </c>
      <c r="V10" s="750" t="s">
        <v>25</v>
      </c>
      <c r="W10" s="751">
        <f t="shared" si="2"/>
        <v>98</v>
      </c>
      <c r="X10" s="752"/>
      <c r="Y10" s="2855"/>
      <c r="Z10" s="23" t="str">
        <f t="shared" si="7"/>
        <v>土地使用年限（年）</v>
      </c>
      <c r="AA10" s="753">
        <f t="shared" si="3"/>
        <v>1.0101010101010102</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9"/>
      <c r="Q11" s="1893" t="str">
        <f t="shared" si="6"/>
        <v>容积率</v>
      </c>
      <c r="R11" s="750" t="s">
        <v>28</v>
      </c>
      <c r="S11" s="751">
        <f t="shared" si="0"/>
        <v>100</v>
      </c>
      <c r="T11" s="750" t="s">
        <v>28</v>
      </c>
      <c r="U11" s="751">
        <f t="shared" si="1"/>
        <v>100</v>
      </c>
      <c r="V11" s="750" t="s">
        <v>28</v>
      </c>
      <c r="W11" s="751">
        <f t="shared" si="2"/>
        <v>100</v>
      </c>
      <c r="X11" s="752"/>
      <c r="Y11" s="285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49"/>
      <c r="Q12" s="1893">
        <f t="shared" si="6"/>
        <v>111</v>
      </c>
      <c r="R12" s="750" t="s">
        <v>28</v>
      </c>
      <c r="S12" s="751">
        <f t="shared" si="0"/>
        <v>100</v>
      </c>
      <c r="T12" s="750" t="s">
        <v>28</v>
      </c>
      <c r="U12" s="751">
        <f t="shared" si="1"/>
        <v>100</v>
      </c>
      <c r="V12" s="750" t="s">
        <v>28</v>
      </c>
      <c r="W12" s="751">
        <f t="shared" si="2"/>
        <v>100</v>
      </c>
      <c r="X12" s="752"/>
      <c r="Y12" s="285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49"/>
      <c r="Q13" s="1893">
        <f t="shared" si="6"/>
        <v>111</v>
      </c>
      <c r="R13" s="750" t="s">
        <v>28</v>
      </c>
      <c r="S13" s="751">
        <f t="shared" si="0"/>
        <v>100</v>
      </c>
      <c r="T13" s="750" t="s">
        <v>28</v>
      </c>
      <c r="U13" s="751">
        <f t="shared" si="1"/>
        <v>100</v>
      </c>
      <c r="V13" s="750" t="s">
        <v>28</v>
      </c>
      <c r="W13" s="751">
        <f t="shared" si="2"/>
        <v>100</v>
      </c>
      <c r="X13" s="752"/>
      <c r="Y13" s="285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49"/>
      <c r="Q14" s="1893">
        <f t="shared" si="6"/>
        <v>111</v>
      </c>
      <c r="R14" s="750" t="s">
        <v>28</v>
      </c>
      <c r="S14" s="751">
        <f t="shared" si="0"/>
        <v>100</v>
      </c>
      <c r="T14" s="750" t="s">
        <v>28</v>
      </c>
      <c r="U14" s="751">
        <f t="shared" si="1"/>
        <v>100</v>
      </c>
      <c r="V14" s="750" t="s">
        <v>28</v>
      </c>
      <c r="W14" s="751">
        <f t="shared" si="2"/>
        <v>100</v>
      </c>
      <c r="X14" s="752"/>
      <c r="Y14" s="2855"/>
      <c r="Z14" s="23">
        <f t="shared" si="7"/>
        <v>111</v>
      </c>
      <c r="AA14" s="753">
        <f t="shared" si="3"/>
        <v>1</v>
      </c>
      <c r="AB14" s="753">
        <f t="shared" si="4"/>
        <v>1</v>
      </c>
      <c r="AC14" s="753">
        <f t="shared" si="5"/>
        <v>1</v>
      </c>
    </row>
    <row r="15" spans="1:29" ht="81.75" customHeight="1">
      <c r="A15" s="420" t="s">
        <v>2365</v>
      </c>
      <c r="B15" s="26" t="s">
        <v>1742</v>
      </c>
      <c r="C15" s="2410" t="str">
        <f>估价对象房地状况!C3</f>
        <v>估价对象周围有康居小区、果园新里、大唐庄、密西花园等住宅小区</v>
      </c>
      <c r="D15" s="421">
        <v>100</v>
      </c>
      <c r="E15" s="2735" t="s">
        <v>2918</v>
      </c>
      <c r="F15" s="423">
        <f>SUMIF(76:76,E16,77:77)-SUMIF(76:76,C16,77:77)+100</f>
        <v>100</v>
      </c>
      <c r="G15" s="2735" t="s">
        <v>2918</v>
      </c>
      <c r="H15" s="421">
        <f>SUMIF(76:76,G16,77:77)-SUMIF(76:76,C16,77:77)+100</f>
        <v>100</v>
      </c>
      <c r="I15" s="2735" t="s">
        <v>2918</v>
      </c>
      <c r="J15" s="421">
        <f>SUMIF(76:76,I16,77:77)-SUMIF(76:76,C16,77:77)+100</f>
        <v>100</v>
      </c>
      <c r="K15" s="425">
        <v>1</v>
      </c>
      <c r="L15" s="1255"/>
      <c r="M15" s="1246"/>
      <c r="N15" s="1246"/>
      <c r="O15" s="1246"/>
      <c r="P15" s="3027" t="s">
        <v>2366</v>
      </c>
      <c r="Q15" s="1905" t="str">
        <f t="shared" si="6"/>
        <v>居住社区成熟度</v>
      </c>
      <c r="R15" s="754" t="s">
        <v>28</v>
      </c>
      <c r="S15" s="755">
        <f t="shared" si="0"/>
        <v>100</v>
      </c>
      <c r="T15" s="754" t="s">
        <v>28</v>
      </c>
      <c r="U15" s="755">
        <f t="shared" si="1"/>
        <v>100</v>
      </c>
      <c r="V15" s="754" t="s">
        <v>28</v>
      </c>
      <c r="W15" s="755">
        <f t="shared" si="2"/>
        <v>100</v>
      </c>
      <c r="X15" s="1906"/>
      <c r="Y15" s="3029"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28"/>
      <c r="Q16" s="1905"/>
      <c r="R16" s="754"/>
      <c r="S16" s="755"/>
      <c r="T16" s="754"/>
      <c r="U16" s="755"/>
      <c r="V16" s="754"/>
      <c r="W16" s="755"/>
      <c r="X16" s="1906"/>
      <c r="Y16" s="3030"/>
      <c r="Z16" s="1908"/>
      <c r="AA16" s="1909">
        <v>1</v>
      </c>
      <c r="AB16" s="1909">
        <v>1</v>
      </c>
      <c r="AC16" s="1909">
        <v>1</v>
      </c>
    </row>
    <row r="17" spans="1:29" ht="138.75" customHeight="1">
      <c r="A17" s="409"/>
      <c r="B17" s="432" t="s">
        <v>1751</v>
      </c>
      <c r="C17" s="2413" t="str">
        <f>估价对象房地状况!C6</f>
        <v>估价对象紧邻城市次干道——新西路，以估价对象为中心半径2公里范围内有密2路、密12路、密13路等公交线路，综合评价交通便捷度一般</v>
      </c>
      <c r="D17" s="431">
        <v>100</v>
      </c>
      <c r="E17" s="2723" t="s">
        <v>2941</v>
      </c>
      <c r="F17" s="434">
        <f>SUMIF(78:78,E18,79:79)-SUMIF(78:78,C18,79:79)+100</f>
        <v>100</v>
      </c>
      <c r="G17" s="2723" t="s">
        <v>2931</v>
      </c>
      <c r="H17" s="436">
        <f>SUMIF(78:78,G18,79:79)-SUMIF(78:78,C18,79:79)+100</f>
        <v>100</v>
      </c>
      <c r="I17" s="2723" t="s">
        <v>2931</v>
      </c>
      <c r="J17" s="436">
        <f>SUMIF(78:78,I18,79:79)-SUMIF(78:78,C18,79:79)+100</f>
        <v>100</v>
      </c>
      <c r="K17" s="425">
        <v>1</v>
      </c>
      <c r="L17" s="1255"/>
      <c r="M17" s="1246"/>
      <c r="N17" s="1246"/>
      <c r="O17" s="1246"/>
      <c r="P17" s="3028"/>
      <c r="Q17" s="1905" t="str">
        <f>B17</f>
        <v>交通便捷度</v>
      </c>
      <c r="R17" s="754" t="s">
        <v>28</v>
      </c>
      <c r="S17" s="755">
        <f>F17</f>
        <v>100</v>
      </c>
      <c r="T17" s="754" t="s">
        <v>28</v>
      </c>
      <c r="U17" s="755">
        <f>H17</f>
        <v>100</v>
      </c>
      <c r="V17" s="754" t="s">
        <v>28</v>
      </c>
      <c r="W17" s="755">
        <f>J17</f>
        <v>100</v>
      </c>
      <c r="X17" s="1906"/>
      <c r="Y17" s="3030"/>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5" t="s">
        <v>2922</v>
      </c>
      <c r="F19" s="440">
        <f>SUMIF(80:80,E20,81:81)-SUMIF(80:80,C20,81:81)+100</f>
        <v>100</v>
      </c>
      <c r="G19" s="2725" t="s">
        <v>2921</v>
      </c>
      <c r="H19" s="431">
        <f>SUMIF(80:80,G20,81:81)-SUMIF(80:80,C20,81:81)+100</f>
        <v>100</v>
      </c>
      <c r="I19" s="2725" t="s">
        <v>2921</v>
      </c>
      <c r="J19" s="431">
        <f>SUMIF(80:80,I20,81:81)-SUMIF(80:80,C20,81:81)+100</f>
        <v>100</v>
      </c>
      <c r="K19" s="425">
        <v>1</v>
      </c>
      <c r="L19" s="1255"/>
      <c r="M19" s="1246"/>
      <c r="N19" s="1246"/>
      <c r="O19" s="1246"/>
      <c r="P19" s="3028"/>
      <c r="Q19" s="1905" t="str">
        <f>B19</f>
        <v>公共配套设施</v>
      </c>
      <c r="R19" s="754" t="s">
        <v>28</v>
      </c>
      <c r="S19" s="755">
        <f>F19</f>
        <v>100</v>
      </c>
      <c r="T19" s="754" t="s">
        <v>28</v>
      </c>
      <c r="U19" s="755">
        <f>H19</f>
        <v>100</v>
      </c>
      <c r="V19" s="754" t="s">
        <v>28</v>
      </c>
      <c r="W19" s="755">
        <f>J19</f>
        <v>100</v>
      </c>
      <c r="X19" s="1906"/>
      <c r="Y19" s="3030"/>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28"/>
      <c r="Q20" s="1905"/>
      <c r="R20" s="754"/>
      <c r="S20" s="755"/>
      <c r="T20" s="754"/>
      <c r="U20" s="755"/>
      <c r="V20" s="754"/>
      <c r="W20" s="755"/>
      <c r="X20" s="1906"/>
      <c r="Y20" s="3030"/>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2930</v>
      </c>
      <c r="F21" s="440">
        <f>SUMIF(82:82,E22,83:83)-SUMIF(82:82,C22,83:83)+100</f>
        <v>100</v>
      </c>
      <c r="G21" s="2726" t="s">
        <v>2907</v>
      </c>
      <c r="H21" s="431">
        <f>SUMIF(82:82,G22,83:83)-SUMIF(82:82,C22,83:83)+100</f>
        <v>100</v>
      </c>
      <c r="I21" s="2725" t="s">
        <v>2907</v>
      </c>
      <c r="J21" s="431">
        <f>SUMIF(82:82,I22,83:83)-SUMIF(82:82,C22,83:83)+100</f>
        <v>100</v>
      </c>
      <c r="K21" s="425">
        <v>1</v>
      </c>
      <c r="L21" s="1255"/>
      <c r="M21" s="1246"/>
      <c r="N21" s="1246"/>
      <c r="O21" s="1246"/>
      <c r="P21" s="3028"/>
      <c r="Q21" s="1905" t="str">
        <f>B21</f>
        <v>基础设施水平</v>
      </c>
      <c r="R21" s="754" t="s">
        <v>28</v>
      </c>
      <c r="S21" s="755">
        <f>F21</f>
        <v>100</v>
      </c>
      <c r="T21" s="754" t="s">
        <v>28</v>
      </c>
      <c r="U21" s="755">
        <f>H21</f>
        <v>100</v>
      </c>
      <c r="V21" s="754" t="s">
        <v>28</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t="s">
        <v>2862</v>
      </c>
      <c r="D22" s="428"/>
      <c r="E22" s="427" t="s">
        <v>2862</v>
      </c>
      <c r="F22" s="430"/>
      <c r="G22" s="427" t="s">
        <v>2862</v>
      </c>
      <c r="H22" s="428"/>
      <c r="I22" s="427" t="s">
        <v>2862</v>
      </c>
      <c r="J22" s="428"/>
      <c r="K22" s="2416"/>
      <c r="L22" s="1255"/>
      <c r="M22" s="1246"/>
      <c r="N22" s="1246"/>
      <c r="O22" s="1246"/>
      <c r="P22" s="3028"/>
      <c r="Q22" s="1905"/>
      <c r="R22" s="754"/>
      <c r="S22" s="755"/>
      <c r="T22" s="754"/>
      <c r="U22" s="755"/>
      <c r="V22" s="754"/>
      <c r="W22" s="755"/>
      <c r="X22" s="1906"/>
      <c r="Y22" s="3030"/>
      <c r="Z22" s="1908"/>
      <c r="AA22" s="1909">
        <v>1</v>
      </c>
      <c r="AB22" s="1909">
        <v>1</v>
      </c>
      <c r="AC22" s="1909">
        <v>1</v>
      </c>
    </row>
    <row r="23" spans="1:29" ht="96.75" customHeight="1">
      <c r="A23" s="409"/>
      <c r="B23" s="432" t="s">
        <v>1756</v>
      </c>
      <c r="C23" s="2413" t="str">
        <f>估价对象房地状况!C9</f>
        <v>自然环境：滨河公园、白河郊野公园、密西公园等；人文环境：密云区博物馆、密云区政府等，综合评价环境状况较好</v>
      </c>
      <c r="D23" s="431">
        <v>100</v>
      </c>
      <c r="E23" s="2723" t="s">
        <v>2923</v>
      </c>
      <c r="F23" s="434">
        <f>SUMIF(84:84,E24,85:85)-SUMIF(84:84,C24,85:85)+100</f>
        <v>100</v>
      </c>
      <c r="G23" s="2724" t="s">
        <v>2923</v>
      </c>
      <c r="H23" s="431">
        <f>SUMIF(84:84,G24,85:85)-SUMIF(84:84,C24,85:85)+100</f>
        <v>100</v>
      </c>
      <c r="I23" s="2723" t="s">
        <v>2923</v>
      </c>
      <c r="J23" s="431">
        <f>SUMIF(84:84,I24,85:85)-SUMIF(84:84,C24,85:85)+100</f>
        <v>100</v>
      </c>
      <c r="K23" s="425">
        <v>1</v>
      </c>
      <c r="L23" s="1255"/>
      <c r="M23" s="1246"/>
      <c r="N23" s="1246"/>
      <c r="O23" s="1246"/>
      <c r="P23" s="3028"/>
      <c r="Q23" s="1905" t="str">
        <f>B23</f>
        <v>自然及人文环境</v>
      </c>
      <c r="R23" s="754" t="s">
        <v>28</v>
      </c>
      <c r="S23" s="755">
        <f>F23</f>
        <v>100</v>
      </c>
      <c r="T23" s="754" t="s">
        <v>28</v>
      </c>
      <c r="U23" s="755">
        <f>H23</f>
        <v>100</v>
      </c>
      <c r="V23" s="754" t="s">
        <v>28</v>
      </c>
      <c r="W23" s="755">
        <f>J23</f>
        <v>100</v>
      </c>
      <c r="X23" s="1906"/>
      <c r="Y23" s="3030"/>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28"/>
      <c r="Q24" s="1905"/>
      <c r="R24" s="754"/>
      <c r="S24" s="755"/>
      <c r="T24" s="754"/>
      <c r="U24" s="755"/>
      <c r="V24" s="754"/>
      <c r="W24" s="755"/>
      <c r="X24" s="1906"/>
      <c r="Y24" s="3030"/>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28"/>
      <c r="Q25" s="1905" t="str">
        <f t="shared" ref="Q25:Q46" si="11">B25</f>
        <v>楼层-1</v>
      </c>
      <c r="R25" s="754" t="s">
        <v>28</v>
      </c>
      <c r="S25" s="755">
        <f>F25</f>
        <v>100</v>
      </c>
      <c r="T25" s="754" t="s">
        <v>28</v>
      </c>
      <c r="U25" s="755">
        <f>H25</f>
        <v>100</v>
      </c>
      <c r="V25" s="754" t="s">
        <v>28</v>
      </c>
      <c r="W25" s="755">
        <f>J25</f>
        <v>100</v>
      </c>
      <c r="X25" s="1906"/>
      <c r="Y25" s="3030"/>
      <c r="Z25" s="1908" t="str">
        <f>Q25</f>
        <v>楼层-1</v>
      </c>
      <c r="AA25" s="1909">
        <f t="shared" si="3"/>
        <v>1</v>
      </c>
      <c r="AB25" s="1909">
        <f t="shared" si="4"/>
        <v>1</v>
      </c>
      <c r="AC25" s="1909">
        <f t="shared" si="5"/>
        <v>1</v>
      </c>
    </row>
    <row r="26" spans="1:29" ht="15">
      <c r="A26" s="409"/>
      <c r="B26" s="403" t="s">
        <v>2368</v>
      </c>
      <c r="C26" s="442" t="s">
        <v>2866</v>
      </c>
      <c r="D26" s="416">
        <v>100</v>
      </c>
      <c r="E26" s="2417" t="s">
        <v>2866</v>
      </c>
      <c r="F26" s="443">
        <f>SUMIF(88:88,E26,89:89)-SUMIF(88:88,C26,89:89)+100</f>
        <v>100</v>
      </c>
      <c r="G26" s="2418" t="s">
        <v>2866</v>
      </c>
      <c r="H26" s="416">
        <f>SUMIF(88:88,G26,89:89)-SUMIF(88:88,C26,89:89)+100</f>
        <v>100</v>
      </c>
      <c r="I26" s="2417" t="s">
        <v>2866</v>
      </c>
      <c r="J26" s="416">
        <f>SUMIF(88:88,I26,89:89)-SUMIF(88:88,C26,89:89)+100</f>
        <v>100</v>
      </c>
      <c r="K26" s="407">
        <v>1</v>
      </c>
      <c r="L26" s="1255"/>
      <c r="M26" s="1246"/>
      <c r="N26" s="1246"/>
      <c r="O26" s="1246"/>
      <c r="P26" s="3028"/>
      <c r="Q26" s="1905" t="str">
        <f t="shared" si="11"/>
        <v>朝向</v>
      </c>
      <c r="R26" s="754" t="s">
        <v>28</v>
      </c>
      <c r="S26" s="755">
        <f>F26</f>
        <v>100</v>
      </c>
      <c r="T26" s="754" t="s">
        <v>28</v>
      </c>
      <c r="U26" s="755">
        <f>H26</f>
        <v>100</v>
      </c>
      <c r="V26" s="754" t="s">
        <v>28</v>
      </c>
      <c r="W26" s="755">
        <f>J26</f>
        <v>100</v>
      </c>
      <c r="X26" s="1906"/>
      <c r="Y26" s="3030"/>
      <c r="Z26" s="1908" t="str">
        <f>Q26</f>
        <v>朝向</v>
      </c>
      <c r="AA26" s="1909">
        <f t="shared" si="3"/>
        <v>1</v>
      </c>
      <c r="AB26" s="1909">
        <f t="shared" si="4"/>
        <v>1</v>
      </c>
      <c r="AC26" s="1909">
        <f t="shared" si="5"/>
        <v>1</v>
      </c>
    </row>
    <row r="27" spans="1:29" s="35" customFormat="1" ht="15">
      <c r="A27" s="412"/>
      <c r="B27" s="2406" t="s">
        <v>2369</v>
      </c>
      <c r="C27" s="2730" t="s">
        <v>2942</v>
      </c>
      <c r="D27" s="444">
        <v>100</v>
      </c>
      <c r="E27" s="2730" t="s">
        <v>2943</v>
      </c>
      <c r="F27" s="446">
        <f>SUMIF(90:90,E27,91:91)-SUMIF(90:90,C27,91:91)+100</f>
        <v>100</v>
      </c>
      <c r="G27" s="2730" t="s">
        <v>2935</v>
      </c>
      <c r="H27" s="444">
        <f>SUMIF(90:90,G27,91:91)-SUMIF(90:90,C27,91:91)+100</f>
        <v>99</v>
      </c>
      <c r="I27" s="2730" t="s">
        <v>2935</v>
      </c>
      <c r="J27" s="444">
        <f>SUMIF(90:90,I27,91:91)-SUMIF(90:90,C27,91:91)+100</f>
        <v>99</v>
      </c>
      <c r="K27" s="2407"/>
      <c r="L27" s="1247"/>
      <c r="M27" s="1248"/>
      <c r="N27" s="1248"/>
      <c r="O27" s="1248"/>
      <c r="P27" s="3028"/>
      <c r="Q27" s="1893" t="str">
        <f t="shared" si="11"/>
        <v>道路级别</v>
      </c>
      <c r="R27" s="750" t="s">
        <v>28</v>
      </c>
      <c r="S27" s="751">
        <f>F27</f>
        <v>100</v>
      </c>
      <c r="T27" s="750" t="s">
        <v>28</v>
      </c>
      <c r="U27" s="751">
        <f>H27</f>
        <v>99</v>
      </c>
      <c r="V27" s="750" t="s">
        <v>28</v>
      </c>
      <c r="W27" s="751">
        <f>J27</f>
        <v>99</v>
      </c>
      <c r="X27" s="752"/>
      <c r="Y27" s="3030"/>
      <c r="Z27" s="23" t="str">
        <f>Q27</f>
        <v>道路级别</v>
      </c>
      <c r="AA27" s="1909">
        <f>D27/F27</f>
        <v>1</v>
      </c>
      <c r="AB27" s="1909">
        <f>D27/H27</f>
        <v>1.0101010101010102</v>
      </c>
      <c r="AC27" s="1909">
        <f>D27/J27</f>
        <v>1.0101010101010102</v>
      </c>
    </row>
    <row r="28" spans="1:29" ht="15.75" thickBot="1">
      <c r="A28" s="409"/>
      <c r="B28" s="2720" t="s">
        <v>2821</v>
      </c>
      <c r="C28" s="415" t="s">
        <v>2932</v>
      </c>
      <c r="D28" s="416">
        <v>100</v>
      </c>
      <c r="E28" s="2731" t="s">
        <v>2937</v>
      </c>
      <c r="F28" s="443">
        <f>SUMIF(92:92,E28,93:93)-SUMIF(92:92,C28,93:93)+100</f>
        <v>98</v>
      </c>
      <c r="G28" s="2731" t="s">
        <v>2939</v>
      </c>
      <c r="H28" s="416">
        <f>SUMIF(92:92,G28,93:93)-SUMIF(92:92,C28,93:93)+100</f>
        <v>100</v>
      </c>
      <c r="I28" s="2731" t="s">
        <v>2940</v>
      </c>
      <c r="J28" s="416">
        <f>SUMIF(92:92,I28,93:93)-SUMIF(92:92,C28,93:93)+100</f>
        <v>102</v>
      </c>
      <c r="K28" s="2407"/>
      <c r="L28" s="1255"/>
      <c r="M28" s="1246"/>
      <c r="N28" s="1246"/>
      <c r="O28" s="1246"/>
      <c r="P28" s="3028"/>
      <c r="Q28" s="1905" t="str">
        <f t="shared" si="11"/>
        <v>楼层</v>
      </c>
      <c r="R28" s="754" t="s">
        <v>28</v>
      </c>
      <c r="S28" s="755">
        <f t="shared" ref="S28:S46" si="12">F28</f>
        <v>98</v>
      </c>
      <c r="T28" s="754" t="s">
        <v>28</v>
      </c>
      <c r="U28" s="755">
        <f t="shared" ref="U28:U46" si="13">H28</f>
        <v>100</v>
      </c>
      <c r="V28" s="754" t="s">
        <v>28</v>
      </c>
      <c r="W28" s="755">
        <f t="shared" ref="W28:W46" si="14">J28</f>
        <v>102</v>
      </c>
      <c r="X28" s="1906"/>
      <c r="Y28" s="3030"/>
      <c r="Z28" s="1908" t="str">
        <f t="shared" ref="Z28:Z46" si="15">Q28</f>
        <v>楼层</v>
      </c>
      <c r="AA28" s="1909">
        <f t="shared" si="3"/>
        <v>1.0204081632653061</v>
      </c>
      <c r="AB28" s="1909">
        <f t="shared" si="4"/>
        <v>1</v>
      </c>
      <c r="AC28" s="1909">
        <f t="shared" si="5"/>
        <v>0.98039215686274506</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28"/>
      <c r="Q29" s="1905">
        <f t="shared" si="11"/>
        <v>111</v>
      </c>
      <c r="R29" s="754" t="s">
        <v>28</v>
      </c>
      <c r="S29" s="755">
        <f t="shared" si="12"/>
        <v>100</v>
      </c>
      <c r="T29" s="754" t="s">
        <v>28</v>
      </c>
      <c r="U29" s="755">
        <f t="shared" si="13"/>
        <v>100</v>
      </c>
      <c r="V29" s="754" t="s">
        <v>28</v>
      </c>
      <c r="W29" s="755">
        <f t="shared" si="14"/>
        <v>100</v>
      </c>
      <c r="X29" s="1906"/>
      <c r="Y29" s="3030"/>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28"/>
      <c r="Q30" s="1905">
        <f t="shared" si="11"/>
        <v>111</v>
      </c>
      <c r="R30" s="754" t="s">
        <v>28</v>
      </c>
      <c r="S30" s="755">
        <f t="shared" si="12"/>
        <v>100</v>
      </c>
      <c r="T30" s="754" t="s">
        <v>28</v>
      </c>
      <c r="U30" s="755">
        <f t="shared" si="13"/>
        <v>100</v>
      </c>
      <c r="V30" s="754" t="s">
        <v>28</v>
      </c>
      <c r="W30" s="755">
        <f t="shared" si="14"/>
        <v>100</v>
      </c>
      <c r="X30" s="1906"/>
      <c r="Y30" s="3030"/>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28"/>
      <c r="Q31" s="1905">
        <f t="shared" si="11"/>
        <v>111</v>
      </c>
      <c r="R31" s="754" t="s">
        <v>28</v>
      </c>
      <c r="S31" s="755">
        <f t="shared" si="12"/>
        <v>100</v>
      </c>
      <c r="T31" s="754" t="s">
        <v>28</v>
      </c>
      <c r="U31" s="755">
        <f t="shared" si="13"/>
        <v>100</v>
      </c>
      <c r="V31" s="754" t="s">
        <v>28</v>
      </c>
      <c r="W31" s="755">
        <f t="shared" si="14"/>
        <v>100</v>
      </c>
      <c r="X31" s="1906"/>
      <c r="Y31" s="3030"/>
      <c r="Z31" s="1908">
        <f t="shared" si="15"/>
        <v>111</v>
      </c>
      <c r="AA31" s="1909">
        <f t="shared" si="3"/>
        <v>1</v>
      </c>
      <c r="AB31" s="1909">
        <f t="shared" si="4"/>
        <v>1</v>
      </c>
      <c r="AC31" s="1909">
        <f t="shared" si="5"/>
        <v>1</v>
      </c>
    </row>
    <row r="32" spans="1:29" ht="15">
      <c r="A32" s="420" t="s">
        <v>2370</v>
      </c>
      <c r="B32" s="28" t="s">
        <v>2371</v>
      </c>
      <c r="C32" s="2420" t="s">
        <v>2914</v>
      </c>
      <c r="D32" s="449">
        <v>100</v>
      </c>
      <c r="E32" s="2421" t="s">
        <v>2912</v>
      </c>
      <c r="F32" s="443">
        <f>SUMIF(100:100,E32,101:101)-SUMIF(100:100,C32,101:101)+100</f>
        <v>105</v>
      </c>
      <c r="G32" s="2420" t="s">
        <v>2912</v>
      </c>
      <c r="H32" s="449">
        <f>SUMIF(100:100,G32,101:101)-SUMIF(100:100,C32,101:101)+100</f>
        <v>105</v>
      </c>
      <c r="I32" s="2421" t="s">
        <v>2912</v>
      </c>
      <c r="J32" s="416">
        <f>SUMIF(100:100,I32,101:101)-SUMIF(100:100,C32,101:101)+100</f>
        <v>105</v>
      </c>
      <c r="K32" s="407">
        <v>5</v>
      </c>
      <c r="L32" s="1255"/>
      <c r="M32" s="1246"/>
      <c r="N32" s="1246"/>
      <c r="O32" s="1246"/>
      <c r="P32" s="3031" t="s">
        <v>2372</v>
      </c>
      <c r="Q32" s="1905" t="str">
        <f t="shared" si="11"/>
        <v>建筑类型</v>
      </c>
      <c r="R32" s="754" t="s">
        <v>28</v>
      </c>
      <c r="S32" s="755">
        <f t="shared" si="12"/>
        <v>105</v>
      </c>
      <c r="T32" s="754" t="s">
        <v>28</v>
      </c>
      <c r="U32" s="755">
        <f t="shared" si="13"/>
        <v>105</v>
      </c>
      <c r="V32" s="754" t="s">
        <v>28</v>
      </c>
      <c r="W32" s="755">
        <f t="shared" si="14"/>
        <v>105</v>
      </c>
      <c r="X32" s="1906"/>
      <c r="Y32" s="3034" t="s">
        <v>2372</v>
      </c>
      <c r="Z32" s="1908" t="str">
        <f t="shared" si="15"/>
        <v>建筑类型</v>
      </c>
      <c r="AA32" s="1909">
        <f t="shared" si="3"/>
        <v>0.95238095238095233</v>
      </c>
      <c r="AB32" s="1909">
        <f t="shared" si="4"/>
        <v>0.95238095238095233</v>
      </c>
      <c r="AC32" s="1909">
        <f t="shared" si="5"/>
        <v>0.95238095238095233</v>
      </c>
    </row>
    <row r="33" spans="1:29" s="453" customFormat="1" ht="15">
      <c r="A33" s="450"/>
      <c r="B33" s="403" t="s">
        <v>2373</v>
      </c>
      <c r="C33" s="451">
        <f>项目基本情况!C12</f>
        <v>87.32</v>
      </c>
      <c r="D33" s="52">
        <v>100</v>
      </c>
      <c r="E33" s="411">
        <v>108.75</v>
      </c>
      <c r="F33" s="406">
        <f>LOOKUP(E33,103:103,104:104)-LOOKUP(C33,103:103,104:104)+100</f>
        <v>98</v>
      </c>
      <c r="G33" s="411">
        <v>71</v>
      </c>
      <c r="H33" s="52">
        <f>LOOKUP(G33,103:103,104:104)-LOOKUP(C33,103:103,104:104)+100</f>
        <v>100</v>
      </c>
      <c r="I33" s="411">
        <v>71</v>
      </c>
      <c r="J33" s="52">
        <f>LOOKUP(I33,103:103,104:104)-LOOKUP(C33,103:103,104:104)+100</f>
        <v>100</v>
      </c>
      <c r="K33" s="2407"/>
      <c r="L33" s="1253"/>
      <c r="M33" s="1256"/>
      <c r="N33" s="1256"/>
      <c r="O33" s="1256"/>
      <c r="P33" s="3032"/>
      <c r="Q33" s="756" t="str">
        <f t="shared" si="11"/>
        <v>项目建筑规模</v>
      </c>
      <c r="R33" s="757" t="s">
        <v>28</v>
      </c>
      <c r="S33" s="758">
        <f t="shared" si="12"/>
        <v>98</v>
      </c>
      <c r="T33" s="757" t="s">
        <v>28</v>
      </c>
      <c r="U33" s="758">
        <f t="shared" si="13"/>
        <v>100</v>
      </c>
      <c r="V33" s="757" t="s">
        <v>28</v>
      </c>
      <c r="W33" s="758">
        <f t="shared" si="14"/>
        <v>100</v>
      </c>
      <c r="X33" s="759"/>
      <c r="Y33" s="3034"/>
      <c r="Z33" s="760" t="str">
        <f t="shared" si="15"/>
        <v>项目建筑规模</v>
      </c>
      <c r="AA33" s="1909">
        <f t="shared" si="3"/>
        <v>1.0204081632653061</v>
      </c>
      <c r="AB33" s="1909">
        <f t="shared" si="4"/>
        <v>1</v>
      </c>
      <c r="AC33" s="1909">
        <f t="shared" si="5"/>
        <v>1</v>
      </c>
    </row>
    <row r="34" spans="1:29" ht="15">
      <c r="A34" s="454"/>
      <c r="B34" s="403" t="s">
        <v>2374</v>
      </c>
      <c r="C34" s="2422" t="s">
        <v>2908</v>
      </c>
      <c r="D34" s="416">
        <v>100</v>
      </c>
      <c r="E34" s="2423" t="s">
        <v>2934</v>
      </c>
      <c r="F34" s="443">
        <f>SUMIF(105:105,E34,106:106)-SUMIF(105:105,C34,106:106)+100</f>
        <v>98</v>
      </c>
      <c r="G34" s="2422" t="s">
        <v>2934</v>
      </c>
      <c r="H34" s="416">
        <f>SUMIF(105:105,G34,106:106)-SUMIF(105:105,C34,106:106)+100</f>
        <v>98</v>
      </c>
      <c r="I34" s="2423" t="s">
        <v>2934</v>
      </c>
      <c r="J34" s="416">
        <f>SUMIF(105:105,I34,106:106)-SUMIF(105:105,C34,106:106)+100</f>
        <v>98</v>
      </c>
      <c r="K34" s="407">
        <v>1</v>
      </c>
      <c r="L34" s="1255"/>
      <c r="M34" s="1246"/>
      <c r="N34" s="1246"/>
      <c r="O34" s="1246"/>
      <c r="P34" s="3032"/>
      <c r="Q34" s="1905" t="str">
        <f t="shared" si="11"/>
        <v>建筑结构</v>
      </c>
      <c r="R34" s="754" t="s">
        <v>28</v>
      </c>
      <c r="S34" s="755">
        <f t="shared" si="12"/>
        <v>98</v>
      </c>
      <c r="T34" s="754" t="s">
        <v>28</v>
      </c>
      <c r="U34" s="755">
        <f t="shared" si="13"/>
        <v>98</v>
      </c>
      <c r="V34" s="754" t="s">
        <v>28</v>
      </c>
      <c r="W34" s="755">
        <f t="shared" si="14"/>
        <v>98</v>
      </c>
      <c r="X34" s="1906"/>
      <c r="Y34" s="3034"/>
      <c r="Z34" s="1908" t="str">
        <f t="shared" si="15"/>
        <v>建筑结构</v>
      </c>
      <c r="AA34" s="1909">
        <f t="shared" si="3"/>
        <v>1.0204081632653061</v>
      </c>
      <c r="AB34" s="1909">
        <f t="shared" si="4"/>
        <v>1.0204081632653061</v>
      </c>
      <c r="AC34" s="1909">
        <f t="shared" si="5"/>
        <v>1.0204081632653061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2"/>
      <c r="Q35" s="1905" t="str">
        <f t="shared" si="11"/>
        <v>建筑品质</v>
      </c>
      <c r="R35" s="754" t="s">
        <v>28</v>
      </c>
      <c r="S35" s="755">
        <f t="shared" si="12"/>
        <v>100</v>
      </c>
      <c r="T35" s="754" t="s">
        <v>28</v>
      </c>
      <c r="U35" s="755">
        <f t="shared" si="13"/>
        <v>100</v>
      </c>
      <c r="V35" s="754" t="s">
        <v>28</v>
      </c>
      <c r="W35" s="755">
        <f t="shared" si="14"/>
        <v>100</v>
      </c>
      <c r="X35" s="1906"/>
      <c r="Y35" s="3034"/>
      <c r="Z35" s="1908" t="str">
        <f t="shared" si="15"/>
        <v>建筑品质</v>
      </c>
      <c r="AA35" s="1909">
        <f t="shared" si="3"/>
        <v>1</v>
      </c>
      <c r="AB35" s="1909">
        <f t="shared" si="4"/>
        <v>1</v>
      </c>
      <c r="AC35" s="1909">
        <f t="shared" si="5"/>
        <v>1</v>
      </c>
    </row>
    <row r="36" spans="1:29" ht="15">
      <c r="A36" s="454"/>
      <c r="B36" s="403" t="s">
        <v>2376</v>
      </c>
      <c r="C36" s="2418" t="s">
        <v>2847</v>
      </c>
      <c r="D36" s="416">
        <v>100</v>
      </c>
      <c r="E36" s="2417" t="s">
        <v>2847</v>
      </c>
      <c r="F36" s="443">
        <f>SUMIF(109:109,E36,110:110)-SUMIF(109:109,C36,110:110)+100</f>
        <v>100</v>
      </c>
      <c r="G36" s="2418" t="s">
        <v>2847</v>
      </c>
      <c r="H36" s="416">
        <f>SUMIF(109:109,G36,110:110)-SUMIF(109:109,C36,110:110)+100</f>
        <v>100</v>
      </c>
      <c r="I36" s="2417" t="s">
        <v>2847</v>
      </c>
      <c r="J36" s="416">
        <f>SUMIF(109:109,I36,110:110)-SUMIF(109:109,C36,110:110)+100</f>
        <v>100</v>
      </c>
      <c r="K36" s="407">
        <v>2</v>
      </c>
      <c r="L36" s="1255"/>
      <c r="M36" s="1246"/>
      <c r="N36" s="1246"/>
      <c r="O36" s="1246"/>
      <c r="P36" s="3032"/>
      <c r="Q36" s="1905" t="str">
        <f t="shared" si="11"/>
        <v>公共部分装修</v>
      </c>
      <c r="R36" s="754" t="s">
        <v>28</v>
      </c>
      <c r="S36" s="755">
        <f t="shared" si="12"/>
        <v>100</v>
      </c>
      <c r="T36" s="754" t="s">
        <v>28</v>
      </c>
      <c r="U36" s="755">
        <f t="shared" si="13"/>
        <v>100</v>
      </c>
      <c r="V36" s="754" t="s">
        <v>28</v>
      </c>
      <c r="W36" s="755">
        <f t="shared" si="14"/>
        <v>100</v>
      </c>
      <c r="X36" s="1906"/>
      <c r="Y36" s="3034"/>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2"/>
      <c r="Q37" s="1893" t="str">
        <f t="shared" si="11"/>
        <v>成新度</v>
      </c>
      <c r="R37" s="750" t="s">
        <v>28</v>
      </c>
      <c r="S37" s="751">
        <f t="shared" si="12"/>
        <v>100</v>
      </c>
      <c r="T37" s="750" t="s">
        <v>28</v>
      </c>
      <c r="U37" s="751">
        <f t="shared" si="13"/>
        <v>100</v>
      </c>
      <c r="V37" s="750" t="s">
        <v>28</v>
      </c>
      <c r="W37" s="751">
        <f t="shared" si="14"/>
        <v>100</v>
      </c>
      <c r="X37" s="752"/>
      <c r="Y37" s="3034"/>
      <c r="Z37" s="23" t="str">
        <f t="shared" si="15"/>
        <v>成新度</v>
      </c>
      <c r="AA37" s="753">
        <f t="shared" si="3"/>
        <v>1</v>
      </c>
      <c r="AB37" s="753">
        <f t="shared" si="4"/>
        <v>1</v>
      </c>
      <c r="AC37" s="753">
        <f t="shared" si="5"/>
        <v>1</v>
      </c>
    </row>
    <row r="38" spans="1:29" ht="15">
      <c r="A38" s="454"/>
      <c r="B38" s="403" t="s">
        <v>2378</v>
      </c>
      <c r="C38" s="2418" t="s">
        <v>2850</v>
      </c>
      <c r="D38" s="416">
        <v>100</v>
      </c>
      <c r="E38" s="2417" t="s">
        <v>2850</v>
      </c>
      <c r="F38" s="443">
        <f>SUMIF(114:114,E38,115:115)-SUMIF(114:114,C38,115:115)+100</f>
        <v>100</v>
      </c>
      <c r="G38" s="2418" t="s">
        <v>2850</v>
      </c>
      <c r="H38" s="416">
        <f>SUMIF(114:114,G38,115:115)-SUMIF(114:114,C38,115:115)+100</f>
        <v>100</v>
      </c>
      <c r="I38" s="2417" t="s">
        <v>2850</v>
      </c>
      <c r="J38" s="416">
        <f>SUMIF(114:114,I38,115:115)-SUMIF(114:114,C38,115:115)+100</f>
        <v>100</v>
      </c>
      <c r="K38" s="407">
        <v>2</v>
      </c>
      <c r="L38" s="1255"/>
      <c r="M38" s="1246"/>
      <c r="N38" s="1246"/>
      <c r="O38" s="1246"/>
      <c r="P38" s="3032" t="s">
        <v>2372</v>
      </c>
      <c r="Q38" s="1905" t="str">
        <f t="shared" si="11"/>
        <v>物业管理</v>
      </c>
      <c r="R38" s="754" t="s">
        <v>28</v>
      </c>
      <c r="S38" s="755">
        <f t="shared" si="12"/>
        <v>100</v>
      </c>
      <c r="T38" s="754" t="s">
        <v>28</v>
      </c>
      <c r="U38" s="755">
        <f t="shared" si="13"/>
        <v>100</v>
      </c>
      <c r="V38" s="754" t="s">
        <v>28</v>
      </c>
      <c r="W38" s="755">
        <f t="shared" si="14"/>
        <v>100</v>
      </c>
      <c r="X38" s="1906"/>
      <c r="Y38" s="3034" t="s">
        <v>2372</v>
      </c>
      <c r="Z38" s="1908" t="str">
        <f t="shared" si="15"/>
        <v>物业管理</v>
      </c>
      <c r="AA38" s="1909">
        <f t="shared" si="3"/>
        <v>1</v>
      </c>
      <c r="AB38" s="1909">
        <f t="shared" si="4"/>
        <v>1</v>
      </c>
      <c r="AC38" s="1909">
        <f t="shared" si="5"/>
        <v>1</v>
      </c>
    </row>
    <row r="39" spans="1:29" ht="15">
      <c r="A39" s="454"/>
      <c r="B39" s="403" t="s">
        <v>2379</v>
      </c>
      <c r="C39" s="2418" t="s">
        <v>2891</v>
      </c>
      <c r="D39" s="416">
        <v>100</v>
      </c>
      <c r="E39" s="2417" t="s">
        <v>2862</v>
      </c>
      <c r="F39" s="443">
        <f>SUMIF(116:116,E39,117:117)-SUMIF(116:116,C39,117:117)+100</f>
        <v>101</v>
      </c>
      <c r="G39" s="2418" t="s">
        <v>2862</v>
      </c>
      <c r="H39" s="416">
        <f>SUMIF(116:116,G39,117:117)-SUMIF(116:116,C39,117:117)+100</f>
        <v>101</v>
      </c>
      <c r="I39" s="2417" t="s">
        <v>2862</v>
      </c>
      <c r="J39" s="416">
        <f>SUMIF(116:116,I39,117:117)-SUMIF(116:116,C39,117:117)+100</f>
        <v>101</v>
      </c>
      <c r="K39" s="407">
        <v>1</v>
      </c>
      <c r="L39" s="1255"/>
      <c r="M39" s="1246"/>
      <c r="N39" s="1246"/>
      <c r="O39" s="1246"/>
      <c r="P39" s="3032"/>
      <c r="Q39" s="1905" t="str">
        <f t="shared" si="11"/>
        <v>市政基础设施</v>
      </c>
      <c r="R39" s="754" t="s">
        <v>28</v>
      </c>
      <c r="S39" s="755">
        <f t="shared" si="12"/>
        <v>101</v>
      </c>
      <c r="T39" s="754" t="s">
        <v>28</v>
      </c>
      <c r="U39" s="755">
        <f t="shared" si="13"/>
        <v>101</v>
      </c>
      <c r="V39" s="754" t="s">
        <v>28</v>
      </c>
      <c r="W39" s="755">
        <f t="shared" si="14"/>
        <v>101</v>
      </c>
      <c r="X39" s="1906"/>
      <c r="Y39" s="3034"/>
      <c r="Z39" s="1908" t="str">
        <f t="shared" si="15"/>
        <v>市政基础设施</v>
      </c>
      <c r="AA39" s="1909">
        <f t="shared" si="3"/>
        <v>0.99009900990099009</v>
      </c>
      <c r="AB39" s="1909">
        <f t="shared" si="4"/>
        <v>0.99009900990099009</v>
      </c>
      <c r="AC39" s="1909">
        <f t="shared" si="5"/>
        <v>0.99009900990099009</v>
      </c>
    </row>
    <row r="40" spans="1:29" ht="15">
      <c r="A40" s="454"/>
      <c r="B40" s="403" t="s">
        <v>2380</v>
      </c>
      <c r="C40" s="2418" t="s">
        <v>2864</v>
      </c>
      <c r="D40" s="416">
        <v>100</v>
      </c>
      <c r="E40" s="2417" t="s">
        <v>2864</v>
      </c>
      <c r="F40" s="443">
        <f>SUMIF(118:118,E40,119:119)-SUMIF(118:118,C40,119:119)+100</f>
        <v>100</v>
      </c>
      <c r="G40" s="2418" t="s">
        <v>2864</v>
      </c>
      <c r="H40" s="416">
        <f>SUMIF(118:118,G40,119:119)-SUMIF(118:118,C40,119:119)+100</f>
        <v>100</v>
      </c>
      <c r="I40" s="2417" t="s">
        <v>2864</v>
      </c>
      <c r="J40" s="416">
        <f>SUMIF(118:118,I40,119:119)-SUMIF(118:118,C40,119:119)+100</f>
        <v>100</v>
      </c>
      <c r="K40" s="407">
        <v>5</v>
      </c>
      <c r="L40" s="1255"/>
      <c r="M40" s="1246"/>
      <c r="N40" s="1246"/>
      <c r="O40" s="1246"/>
      <c r="P40" s="3032"/>
      <c r="Q40" s="1905" t="str">
        <f t="shared" si="11"/>
        <v>房型</v>
      </c>
      <c r="R40" s="754" t="s">
        <v>28</v>
      </c>
      <c r="S40" s="755">
        <f t="shared" si="12"/>
        <v>100</v>
      </c>
      <c r="T40" s="754" t="s">
        <v>28</v>
      </c>
      <c r="U40" s="755">
        <f t="shared" si="13"/>
        <v>100</v>
      </c>
      <c r="V40" s="754" t="s">
        <v>28</v>
      </c>
      <c r="W40" s="755">
        <f t="shared" si="14"/>
        <v>100</v>
      </c>
      <c r="X40" s="1906"/>
      <c r="Y40" s="3034"/>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2"/>
      <c r="Q41" s="756" t="str">
        <f t="shared" si="11"/>
        <v>单套/主力户型建筑面积</v>
      </c>
      <c r="R41" s="757" t="s">
        <v>28</v>
      </c>
      <c r="S41" s="758">
        <f t="shared" si="12"/>
        <v>100</v>
      </c>
      <c r="T41" s="757" t="s">
        <v>28</v>
      </c>
      <c r="U41" s="758">
        <f t="shared" si="13"/>
        <v>100</v>
      </c>
      <c r="V41" s="757" t="s">
        <v>28</v>
      </c>
      <c r="W41" s="758">
        <f t="shared" si="14"/>
        <v>100</v>
      </c>
      <c r="X41" s="759"/>
      <c r="Y41" s="3034"/>
      <c r="Z41" s="760" t="str">
        <f t="shared" si="15"/>
        <v>单套/主力户型建筑面积</v>
      </c>
      <c r="AA41" s="1909">
        <f t="shared" si="3"/>
        <v>1</v>
      </c>
      <c r="AB41" s="1909">
        <f t="shared" si="4"/>
        <v>1</v>
      </c>
      <c r="AC41" s="1909">
        <f t="shared" si="5"/>
        <v>1</v>
      </c>
    </row>
    <row r="42" spans="1:29" ht="15">
      <c r="A42" s="454"/>
      <c r="B42" s="403" t="s">
        <v>2382</v>
      </c>
      <c r="C42" s="2418" t="s">
        <v>2847</v>
      </c>
      <c r="D42" s="416">
        <v>100</v>
      </c>
      <c r="E42" s="2417" t="s">
        <v>2909</v>
      </c>
      <c r="F42" s="443">
        <f>SUMIF(122:122,E42,123:123)-SUMIF(122:122,C42,123:123)+100</f>
        <v>103</v>
      </c>
      <c r="G42" s="2418" t="s">
        <v>2847</v>
      </c>
      <c r="H42" s="416">
        <f>SUMIF(122:122,G42,123:123)-SUMIF(122:122,C42,123:123)+100</f>
        <v>100</v>
      </c>
      <c r="I42" s="2417" t="s">
        <v>2909</v>
      </c>
      <c r="J42" s="416">
        <f>SUMIF(122:122,I42,123:123)-SUMIF(122:122,C42,123:123)+100</f>
        <v>103</v>
      </c>
      <c r="K42" s="407">
        <v>3</v>
      </c>
      <c r="L42" s="1255"/>
      <c r="M42" s="1246"/>
      <c r="N42" s="1246"/>
      <c r="O42" s="1246"/>
      <c r="P42" s="3032"/>
      <c r="Q42" s="1905" t="str">
        <f t="shared" si="11"/>
        <v>内部装修</v>
      </c>
      <c r="R42" s="754" t="s">
        <v>28</v>
      </c>
      <c r="S42" s="755">
        <f t="shared" si="12"/>
        <v>103</v>
      </c>
      <c r="T42" s="754" t="s">
        <v>28</v>
      </c>
      <c r="U42" s="755">
        <f t="shared" si="13"/>
        <v>100</v>
      </c>
      <c r="V42" s="754" t="s">
        <v>28</v>
      </c>
      <c r="W42" s="755">
        <f t="shared" si="14"/>
        <v>103</v>
      </c>
      <c r="X42" s="1906"/>
      <c r="Y42" s="3034"/>
      <c r="Z42" s="1908" t="str">
        <f t="shared" si="15"/>
        <v>内部装修</v>
      </c>
      <c r="AA42" s="1909">
        <f t="shared" si="3"/>
        <v>0.970873786407767</v>
      </c>
      <c r="AB42" s="1909">
        <f t="shared" si="4"/>
        <v>1</v>
      </c>
      <c r="AC42" s="1909">
        <f t="shared" si="5"/>
        <v>0.970873786407767</v>
      </c>
    </row>
    <row r="43" spans="1:29" ht="15">
      <c r="A43" s="454"/>
      <c r="B43" s="403" t="s">
        <v>2383</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3</v>
      </c>
      <c r="L43" s="1255"/>
      <c r="M43" s="1246"/>
      <c r="N43" s="1246"/>
      <c r="O43" s="1246"/>
      <c r="P43" s="3032"/>
      <c r="Q43" s="1905" t="str">
        <f t="shared" si="11"/>
        <v>内部装修维护情况</v>
      </c>
      <c r="R43" s="754" t="s">
        <v>28</v>
      </c>
      <c r="S43" s="755">
        <f t="shared" si="12"/>
        <v>100</v>
      </c>
      <c r="T43" s="754" t="s">
        <v>28</v>
      </c>
      <c r="U43" s="755">
        <f t="shared" si="13"/>
        <v>100</v>
      </c>
      <c r="V43" s="754" t="s">
        <v>28</v>
      </c>
      <c r="W43" s="755">
        <f t="shared" si="14"/>
        <v>100</v>
      </c>
      <c r="X43" s="1906"/>
      <c r="Y43" s="3034"/>
      <c r="Z43" s="1908" t="str">
        <f t="shared" si="15"/>
        <v>内部装修维护情况</v>
      </c>
      <c r="AA43" s="1909">
        <f t="shared" si="3"/>
        <v>1</v>
      </c>
      <c r="AB43" s="1909">
        <f t="shared" si="4"/>
        <v>1</v>
      </c>
      <c r="AC43" s="1909">
        <f t="shared" si="5"/>
        <v>1</v>
      </c>
    </row>
    <row r="44" spans="1:29" s="35" customFormat="1" ht="15.75" thickBot="1">
      <c r="A44" s="455"/>
      <c r="B44" s="2720" t="s">
        <v>2820</v>
      </c>
      <c r="C44" s="451">
        <v>2013</v>
      </c>
      <c r="D44" s="52">
        <v>100</v>
      </c>
      <c r="E44" s="451">
        <v>2002</v>
      </c>
      <c r="F44" s="406">
        <f>SUMIF(126:126,E44,127:127)-SUMIF(126:126,C44,127:127)+100</f>
        <v>97.8</v>
      </c>
      <c r="G44" s="451">
        <v>1998</v>
      </c>
      <c r="H44" s="52">
        <f>SUMIF(126:126,G44,127:127)-SUMIF(126:126,C44,127:127)+100</f>
        <v>97</v>
      </c>
      <c r="I44" s="451">
        <v>1998</v>
      </c>
      <c r="J44" s="52">
        <f>SUMIF(126:126,I44,127:127)-SUMIF(126:126,C44,127:127)+100</f>
        <v>97</v>
      </c>
      <c r="K44" s="2407"/>
      <c r="L44" s="1247"/>
      <c r="M44" s="1248"/>
      <c r="N44" s="1248"/>
      <c r="O44" s="1248"/>
      <c r="P44" s="3032"/>
      <c r="Q44" s="1893" t="str">
        <f t="shared" si="11"/>
        <v>建成年代</v>
      </c>
      <c r="R44" s="750" t="s">
        <v>28</v>
      </c>
      <c r="S44" s="751">
        <f t="shared" si="12"/>
        <v>97.8</v>
      </c>
      <c r="T44" s="750" t="s">
        <v>28</v>
      </c>
      <c r="U44" s="751">
        <f t="shared" si="13"/>
        <v>97</v>
      </c>
      <c r="V44" s="750" t="s">
        <v>28</v>
      </c>
      <c r="W44" s="751">
        <f t="shared" si="14"/>
        <v>97</v>
      </c>
      <c r="X44" s="752"/>
      <c r="Y44" s="3034"/>
      <c r="Z44" s="23" t="str">
        <f t="shared" si="15"/>
        <v>建成年代</v>
      </c>
      <c r="AA44" s="753">
        <f t="shared" si="3"/>
        <v>1.0224948875255624</v>
      </c>
      <c r="AB44" s="753">
        <f t="shared" si="4"/>
        <v>1.0309278350515463</v>
      </c>
      <c r="AC44" s="753">
        <f t="shared" si="5"/>
        <v>1.0309278350515463</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2"/>
      <c r="Q45" s="1905">
        <f t="shared" si="11"/>
        <v>111</v>
      </c>
      <c r="R45" s="754" t="s">
        <v>28</v>
      </c>
      <c r="S45" s="755">
        <f t="shared" si="12"/>
        <v>100</v>
      </c>
      <c r="T45" s="754" t="s">
        <v>28</v>
      </c>
      <c r="U45" s="755">
        <f t="shared" si="13"/>
        <v>100</v>
      </c>
      <c r="V45" s="754" t="s">
        <v>28</v>
      </c>
      <c r="W45" s="755">
        <f t="shared" si="14"/>
        <v>100</v>
      </c>
      <c r="X45" s="1906"/>
      <c r="Y45" s="3034"/>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3"/>
      <c r="Q46" s="1905">
        <f t="shared" si="11"/>
        <v>111</v>
      </c>
      <c r="R46" s="754" t="s">
        <v>27</v>
      </c>
      <c r="S46" s="755">
        <f t="shared" si="12"/>
        <v>100</v>
      </c>
      <c r="T46" s="754" t="s">
        <v>27</v>
      </c>
      <c r="U46" s="755">
        <f t="shared" si="13"/>
        <v>100</v>
      </c>
      <c r="V46" s="754" t="s">
        <v>27</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26</v>
      </c>
      <c r="D47" s="1505"/>
      <c r="E47" s="1506">
        <v>23909</v>
      </c>
      <c r="F47" s="1507"/>
      <c r="G47" s="1508">
        <v>23662</v>
      </c>
      <c r="H47" s="1509"/>
      <c r="I47" s="1506">
        <v>25352</v>
      </c>
      <c r="J47" s="1509"/>
      <c r="K47" s="2424"/>
      <c r="L47" s="1258"/>
      <c r="M47" s="1259"/>
      <c r="N47" s="1246"/>
      <c r="O47" s="1259"/>
      <c r="P47" s="3026" t="str">
        <f>A47</f>
        <v>成交单价（元/平方米）</v>
      </c>
      <c r="Q47" s="3026"/>
      <c r="R47" s="3022">
        <f>E47</f>
        <v>23909</v>
      </c>
      <c r="S47" s="3022"/>
      <c r="T47" s="3022">
        <f>G47</f>
        <v>23662</v>
      </c>
      <c r="U47" s="3022"/>
      <c r="V47" s="3022">
        <f>I47</f>
        <v>25352</v>
      </c>
      <c r="W47" s="3022"/>
      <c r="X47" s="739"/>
      <c r="Y47" s="761"/>
      <c r="Z47" s="739"/>
      <c r="AA47" s="739"/>
      <c r="AB47" s="739"/>
      <c r="AC47" s="739"/>
    </row>
    <row r="48" spans="1:29" ht="15.75" thickBot="1">
      <c r="A48" s="468" t="s">
        <v>2385</v>
      </c>
      <c r="B48" s="469"/>
      <c r="C48" s="1510">
        <f>R49</f>
        <v>24295</v>
      </c>
      <c r="D48" s="1511"/>
      <c r="E48" s="1512">
        <f>R48</f>
        <v>24019</v>
      </c>
      <c r="F48" s="1512"/>
      <c r="G48" s="1510">
        <f>T48</f>
        <v>24193</v>
      </c>
      <c r="H48" s="1511"/>
      <c r="I48" s="1512">
        <f>V48</f>
        <v>24672</v>
      </c>
      <c r="J48" s="1511"/>
      <c r="K48" s="2425"/>
      <c r="L48" s="1258"/>
      <c r="M48" s="1259"/>
      <c r="N48" s="1259"/>
      <c r="O48" s="1259"/>
      <c r="P48" s="3026" t="str">
        <f>A48</f>
        <v>比较价值（元/平方米）</v>
      </c>
      <c r="Q48" s="3026"/>
      <c r="R48" s="3022">
        <f>IF(E1="售价",ROUND(PRODUCT(R47,AA7:AA46),0),ROUND(PRODUCT(R47,AA7:AA46),1))</f>
        <v>24019</v>
      </c>
      <c r="S48" s="3022"/>
      <c r="T48" s="3020">
        <f>IF(E1="售价",ROUND(PRODUCT(T47,AB7:AB46),0),ROUND(PRODUCT(T47,AB7:AB46),1))</f>
        <v>24193</v>
      </c>
      <c r="U48" s="3021"/>
      <c r="V48" s="3022">
        <f>IF(E1="售价",ROUND(PRODUCT(V47,AC7:AC46),0),ROUND(PRODUCT(V47,AC7:AC46),1))</f>
        <v>24672</v>
      </c>
      <c r="W48" s="3022"/>
      <c r="X48" s="739"/>
      <c r="Y48" s="739"/>
      <c r="Z48" s="739"/>
      <c r="AA48" s="739"/>
      <c r="AB48" s="739"/>
      <c r="AC48" s="739"/>
    </row>
    <row r="49" spans="1:29" ht="15.75" thickBot="1">
      <c r="A49" s="474" t="s">
        <v>2386</v>
      </c>
      <c r="B49" s="475"/>
      <c r="C49" s="1513">
        <f>R49</f>
        <v>24295</v>
      </c>
      <c r="D49" s="1514"/>
      <c r="E49" s="1514"/>
      <c r="F49" s="1514"/>
      <c r="G49" s="1514"/>
      <c r="H49" s="1514"/>
      <c r="I49" s="1514"/>
      <c r="J49" s="1514"/>
      <c r="K49" s="2426"/>
      <c r="L49" s="1258"/>
      <c r="M49" s="1259"/>
      <c r="N49" s="1259"/>
      <c r="O49" s="1259"/>
      <c r="P49" s="3023" t="str">
        <f>A49</f>
        <v>估价对象XX用房的比较价值（楼面单价，元/平方米）</v>
      </c>
      <c r="Q49" s="3024"/>
      <c r="R49" s="3025">
        <f>IF(E1="售价",ROUND(AVERAGE(R48:V48),0),ROUND(AVERAGE(R48:V48),1))</f>
        <v>24295</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4.6007779497261314E-3</v>
      </c>
      <c r="F52" s="482" t="str">
        <f>IF(OR(E52&gt;=0.3,E52&lt;=-0.3),"超过30%","")</f>
        <v/>
      </c>
      <c r="G52" s="481">
        <f>IF(G47&lt;G48,G48/G47-1,G47/G48-1)</f>
        <v>2.2441044713042091E-2</v>
      </c>
      <c r="H52" s="482" t="str">
        <f>IF(OR(G52&gt;=0.3,G52&lt;=-0.3),"超过30%","")</f>
        <v/>
      </c>
      <c r="I52" s="481">
        <f>IF(I47&lt;I48,I48/I47-1,I47/I48-1)</f>
        <v>2.7561608300907814E-2</v>
      </c>
      <c r="J52" s="482" t="str">
        <f>IF(OR(I52&gt;=0.3,I52&lt;=-0.3),"超过30%","")</f>
        <v/>
      </c>
      <c r="K52" s="1264"/>
      <c r="L52" s="1260"/>
      <c r="M52" s="1259"/>
      <c r="N52" s="1259"/>
      <c r="O52" s="1259"/>
    </row>
    <row r="53" spans="1:29" ht="13.5" customHeight="1">
      <c r="A53" s="1259"/>
      <c r="B53" s="1259"/>
      <c r="C53" s="479" t="s">
        <v>2388</v>
      </c>
      <c r="D53" s="483"/>
      <c r="E53" s="481">
        <f>IF(E48&lt;G48,G48/E48-1,E48/G48-1)</f>
        <v>7.2442649569091078E-3</v>
      </c>
      <c r="F53" s="482" t="str">
        <f>IF(OR(E53&gt;=0.2,E53&lt;=-0.2),"超过20%","")</f>
        <v/>
      </c>
      <c r="G53" s="481">
        <f>IF(G48&lt;I48,I48/G48-1,G48/I48-1)</f>
        <v>1.9799115446616833E-2</v>
      </c>
      <c r="H53" s="482" t="str">
        <f>IF(OR(G53&gt;=0.2,G53&lt;=-0.2),"超过20%","")</f>
        <v/>
      </c>
      <c r="I53" s="481">
        <f>IF(I48&lt;E48,E48/I48-1,I48/E48-1)</f>
        <v>2.7186810441733655E-2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1.043867804919274E-2</v>
      </c>
      <c r="F54" s="482" t="str">
        <f>IF(OR(E54&gt;=0.3,E54&lt;=-0.3),"超过30%","")</f>
        <v/>
      </c>
      <c r="G54" s="481">
        <f>IF(G47&lt;I47,I47/G47-1,G47/I47-1)</f>
        <v>7.1422534020792794E-2</v>
      </c>
      <c r="H54" s="482" t="str">
        <f>IF(OR(G54&gt;=0.3,G54&lt;=-0.3),"超过30%","")</f>
        <v/>
      </c>
      <c r="I54" s="481">
        <f>IF(I47&lt;E47,E47/I47-1,I47/E47-1)</f>
        <v>6.0353841649588125E-2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2822</v>
      </c>
      <c r="D88" s="2728" t="s">
        <v>2823</v>
      </c>
      <c r="E88" s="2728" t="s">
        <v>2824</v>
      </c>
      <c r="F88" s="2728" t="s">
        <v>2825</v>
      </c>
      <c r="G88" s="2728" t="s">
        <v>2826</v>
      </c>
      <c r="H88" s="2728" t="s">
        <v>2827</v>
      </c>
      <c r="I88" s="2728" t="s">
        <v>2828</v>
      </c>
      <c r="J88" s="2728" t="s">
        <v>2829</v>
      </c>
      <c r="K88" s="2728" t="s">
        <v>2830</v>
      </c>
      <c r="L88" s="2729" t="s">
        <v>2870</v>
      </c>
      <c r="M88" s="2744" t="s">
        <v>2871</v>
      </c>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2831</v>
      </c>
      <c r="D90" s="2728" t="s">
        <v>2832</v>
      </c>
      <c r="E90" s="2728" t="s">
        <v>2833</v>
      </c>
      <c r="F90" s="2728" t="s">
        <v>2834</v>
      </c>
      <c r="G90" s="2728" t="s">
        <v>2835</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2936</v>
      </c>
      <c r="D92" s="2731" t="s">
        <v>2938</v>
      </c>
      <c r="E92" s="2731" t="s">
        <v>2872</v>
      </c>
      <c r="F92" s="2731" t="s">
        <v>2933</v>
      </c>
      <c r="G92" s="568"/>
      <c r="H92" s="568"/>
      <c r="I92" s="568"/>
      <c r="J92" s="568"/>
      <c r="K92" s="569"/>
      <c r="L92" s="570"/>
      <c r="M92" s="571"/>
      <c r="N92" s="1269"/>
      <c r="O92" s="1269"/>
      <c r="P92" s="2433"/>
      <c r="Q92" s="486"/>
    </row>
    <row r="93" spans="1:17" ht="15.75" thickBot="1">
      <c r="A93" s="517"/>
      <c r="B93" s="527"/>
      <c r="C93" s="545">
        <v>100</v>
      </c>
      <c r="D93" s="519">
        <v>98</v>
      </c>
      <c r="E93" s="519">
        <v>100</v>
      </c>
      <c r="F93" s="519">
        <v>102</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2836</v>
      </c>
      <c r="D100" s="2732" t="s">
        <v>2837</v>
      </c>
      <c r="E100" s="2733" t="s">
        <v>2838</v>
      </c>
      <c r="F100" s="2732" t="s">
        <v>2913</v>
      </c>
      <c r="G100" s="2732" t="s">
        <v>2915</v>
      </c>
      <c r="I100" s="512"/>
      <c r="J100" s="512"/>
      <c r="K100" s="513"/>
      <c r="L100" s="514"/>
      <c r="M100" s="515"/>
      <c r="N100" s="1269"/>
      <c r="O100" s="1269"/>
      <c r="P100" s="2433"/>
      <c r="Q100" s="486"/>
    </row>
    <row r="101" spans="1:17" ht="15.75" thickBot="1">
      <c r="A101" s="517"/>
      <c r="B101" s="527"/>
      <c r="C101" s="528">
        <v>100</v>
      </c>
      <c r="D101" s="528">
        <f t="shared" ref="D101:M101" si="22">C101-$K32</f>
        <v>95</v>
      </c>
      <c r="E101" s="528">
        <f t="shared" si="22"/>
        <v>90</v>
      </c>
      <c r="F101" s="528">
        <f t="shared" si="22"/>
        <v>85</v>
      </c>
      <c r="G101" s="528">
        <f t="shared" si="22"/>
        <v>80</v>
      </c>
      <c r="H101" s="528">
        <f t="shared" si="22"/>
        <v>75</v>
      </c>
      <c r="I101" s="528">
        <f t="shared" si="22"/>
        <v>70</v>
      </c>
      <c r="J101" s="528">
        <f t="shared" si="22"/>
        <v>65</v>
      </c>
      <c r="K101" s="528">
        <f t="shared" si="22"/>
        <v>60</v>
      </c>
      <c r="L101" s="528">
        <f t="shared" si="22"/>
        <v>55</v>
      </c>
      <c r="M101" s="528">
        <f t="shared" si="22"/>
        <v>50</v>
      </c>
      <c r="N101" s="1270"/>
      <c r="O101" s="1270"/>
      <c r="P101" s="2433"/>
      <c r="Q101" s="486"/>
    </row>
    <row r="102" spans="1:17" ht="15.75" thickTop="1">
      <c r="A102" s="517"/>
      <c r="B102" s="522" t="s">
        <v>2420</v>
      </c>
      <c r="C102" s="563" t="str">
        <f>C103&amp;"(含)"&amp;"-"&amp;D103</f>
        <v>0(含)-60</v>
      </c>
      <c r="D102" s="563" t="str">
        <f t="shared" ref="D102:L102" si="23">D103&amp;"(含)"&amp;"-"&amp;E103</f>
        <v>60(含)-90</v>
      </c>
      <c r="E102" s="563" t="str">
        <f t="shared" si="23"/>
        <v>90(含)-120</v>
      </c>
      <c r="F102" s="563" t="str">
        <f t="shared" si="23"/>
        <v>120(含)-150</v>
      </c>
      <c r="G102" s="563" t="str">
        <f t="shared" si="23"/>
        <v>150(含)-180</v>
      </c>
      <c r="H102" s="563" t="str">
        <f t="shared" si="23"/>
        <v>180(含)-210</v>
      </c>
      <c r="I102" s="563" t="str">
        <f t="shared" si="23"/>
        <v>210(含)-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60</v>
      </c>
      <c r="E103" s="580">
        <v>90</v>
      </c>
      <c r="F103" s="580">
        <v>120</v>
      </c>
      <c r="G103" s="580">
        <v>150</v>
      </c>
      <c r="H103" s="580">
        <v>180</v>
      </c>
      <c r="I103" s="580">
        <v>210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2839</v>
      </c>
      <c r="D105" s="2728" t="s">
        <v>2840</v>
      </c>
      <c r="E105" s="2734" t="s">
        <v>2841</v>
      </c>
      <c r="F105" s="2734" t="s">
        <v>2842</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99</v>
      </c>
      <c r="E106" s="528">
        <f t="shared" si="24"/>
        <v>98</v>
      </c>
      <c r="F106" s="528">
        <f t="shared" si="24"/>
        <v>97</v>
      </c>
      <c r="G106" s="528">
        <f t="shared" si="24"/>
        <v>96</v>
      </c>
      <c r="H106" s="528">
        <f t="shared" si="24"/>
        <v>95</v>
      </c>
      <c r="I106" s="528">
        <f t="shared" si="24"/>
        <v>94</v>
      </c>
      <c r="J106" s="528">
        <f t="shared" si="24"/>
        <v>93</v>
      </c>
      <c r="K106" s="528">
        <f t="shared" si="24"/>
        <v>92</v>
      </c>
      <c r="L106" s="528">
        <f t="shared" si="24"/>
        <v>91</v>
      </c>
      <c r="M106" s="528">
        <f t="shared" si="24"/>
        <v>90</v>
      </c>
      <c r="N106" s="1270"/>
      <c r="O106" s="1270"/>
      <c r="P106" s="2433"/>
      <c r="Q106" s="486"/>
    </row>
    <row r="107" spans="1:17" ht="15" hidden="1" thickTop="1">
      <c r="A107" s="584"/>
      <c r="B107" s="522" t="s">
        <v>2422</v>
      </c>
      <c r="C107" s="2728" t="s">
        <v>2843</v>
      </c>
      <c r="D107" s="2728" t="s">
        <v>2844</v>
      </c>
      <c r="E107" s="2728" t="s">
        <v>2845</v>
      </c>
      <c r="F107" s="2734" t="s">
        <v>2846</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2843</v>
      </c>
      <c r="D109" s="2728" t="s">
        <v>2844</v>
      </c>
      <c r="E109" s="2728" t="s">
        <v>2845</v>
      </c>
      <c r="F109" s="2734" t="s">
        <v>2846</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98</v>
      </c>
      <c r="E110" s="528">
        <f t="shared" si="26"/>
        <v>96</v>
      </c>
      <c r="F110" s="528">
        <f t="shared" si="26"/>
        <v>94</v>
      </c>
      <c r="G110" s="528">
        <f t="shared" si="26"/>
        <v>92</v>
      </c>
      <c r="H110" s="528">
        <f t="shared" si="26"/>
        <v>90</v>
      </c>
      <c r="I110" s="528">
        <f t="shared" si="26"/>
        <v>88</v>
      </c>
      <c r="J110" s="528">
        <f t="shared" si="26"/>
        <v>86</v>
      </c>
      <c r="K110" s="528">
        <f t="shared" si="26"/>
        <v>84</v>
      </c>
      <c r="L110" s="528">
        <f t="shared" si="26"/>
        <v>82</v>
      </c>
      <c r="M110" s="528">
        <f t="shared" si="26"/>
        <v>80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2848</v>
      </c>
      <c r="D114" s="2728" t="s">
        <v>2849</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2851</v>
      </c>
      <c r="D116" s="2728" t="s">
        <v>2852</v>
      </c>
      <c r="E116" s="2728" t="s">
        <v>2853</v>
      </c>
      <c r="F116" s="2728" t="s">
        <v>2854</v>
      </c>
      <c r="G116" s="2728" t="s">
        <v>2855</v>
      </c>
      <c r="H116" s="568"/>
      <c r="I116" s="568"/>
      <c r="J116" s="568"/>
      <c r="K116" s="569"/>
      <c r="L116" s="570"/>
      <c r="M116" s="571"/>
      <c r="N116" s="1269"/>
      <c r="O116" s="1269"/>
      <c r="P116" s="2433"/>
      <c r="Q116" s="486"/>
    </row>
    <row r="117" spans="1:17" ht="15.75" thickBot="1">
      <c r="A117" s="517"/>
      <c r="B117" s="527"/>
      <c r="C117" s="528">
        <v>100</v>
      </c>
      <c r="D117" s="528">
        <f>C117-$K39</f>
        <v>99</v>
      </c>
      <c r="E117" s="528">
        <f>D117-$K39</f>
        <v>98</v>
      </c>
      <c r="F117" s="528">
        <f>E117-$K39</f>
        <v>97</v>
      </c>
      <c r="G117" s="528">
        <f>F117-$K39</f>
        <v>96</v>
      </c>
      <c r="H117" s="528"/>
      <c r="I117" s="528"/>
      <c r="J117" s="528"/>
      <c r="K117" s="528"/>
      <c r="L117" s="528"/>
      <c r="M117" s="529"/>
      <c r="N117" s="1270"/>
      <c r="O117" s="1270"/>
      <c r="P117" s="2433"/>
      <c r="Q117" s="486"/>
    </row>
    <row r="118" spans="1:17" ht="15" thickTop="1">
      <c r="A118" s="584"/>
      <c r="B118" s="522" t="s">
        <v>2427</v>
      </c>
      <c r="C118" s="2734" t="s">
        <v>2856</v>
      </c>
      <c r="D118" s="2734" t="s">
        <v>2857</v>
      </c>
      <c r="E118" s="2736" t="s">
        <v>2863</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2843</v>
      </c>
      <c r="D122" s="2728" t="s">
        <v>2844</v>
      </c>
      <c r="E122" s="2728" t="s">
        <v>2845</v>
      </c>
      <c r="F122" s="2734" t="s">
        <v>2846</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97</v>
      </c>
      <c r="E125" s="528">
        <f>D125-$K43</f>
        <v>94</v>
      </c>
      <c r="F125" s="528">
        <f>E125-$K43</f>
        <v>91</v>
      </c>
      <c r="G125" s="528">
        <f>F125-$K43</f>
        <v>88</v>
      </c>
      <c r="H125" s="528"/>
      <c r="I125" s="528"/>
      <c r="J125" s="528"/>
      <c r="K125" s="528"/>
      <c r="L125" s="528"/>
      <c r="M125" s="529"/>
      <c r="N125" s="1270"/>
      <c r="O125" s="1270"/>
      <c r="P125" s="2433"/>
      <c r="Q125" s="486"/>
    </row>
    <row r="126" spans="1:17" s="453" customFormat="1" ht="15" thickTop="1">
      <c r="A126" s="578"/>
      <c r="B126" s="522" t="str">
        <f>B44</f>
        <v>建成年代</v>
      </c>
      <c r="C126" s="538">
        <v>2013</v>
      </c>
      <c r="D126" s="538">
        <v>2002</v>
      </c>
      <c r="E126" s="538">
        <v>1998</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97.8</v>
      </c>
      <c r="E127" s="519">
        <v>97</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87.32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63"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63"/>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63"/>
      <c r="AC6" s="3052"/>
    </row>
    <row r="7" spans="1:29" s="35" customFormat="1" ht="15.75" thickBot="1">
      <c r="A7" s="388" t="s">
        <v>2354</v>
      </c>
      <c r="B7" s="389"/>
      <c r="C7" s="390">
        <f>'数据-取费表'!B2</f>
        <v>43143</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9"/>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9"/>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9"/>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9"/>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7" t="s">
        <v>2366</v>
      </c>
      <c r="Q15" s="1905" t="str">
        <f t="shared" si="6"/>
        <v>商业繁华度</v>
      </c>
      <c r="R15" s="754" t="s">
        <v>25</v>
      </c>
      <c r="S15" s="755">
        <f t="shared" si="0"/>
        <v>100</v>
      </c>
      <c r="T15" s="754" t="s">
        <v>25</v>
      </c>
      <c r="U15" s="755">
        <f t="shared" si="1"/>
        <v>100</v>
      </c>
      <c r="V15" s="754" t="s">
        <v>25</v>
      </c>
      <c r="W15" s="755">
        <f t="shared" si="2"/>
        <v>100</v>
      </c>
      <c r="X15" s="1906"/>
      <c r="Y15" s="3029"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8"/>
      <c r="Q16" s="1905"/>
      <c r="R16" s="754"/>
      <c r="S16" s="755"/>
      <c r="T16" s="754"/>
      <c r="U16" s="755"/>
      <c r="V16" s="754"/>
      <c r="W16" s="755"/>
      <c r="X16" s="1906"/>
      <c r="Y16" s="3030"/>
      <c r="Z16" s="1908"/>
      <c r="AA16" s="1909">
        <v>1</v>
      </c>
      <c r="AB16" s="1909">
        <v>1</v>
      </c>
      <c r="AC16" s="1909">
        <v>1</v>
      </c>
    </row>
    <row r="17" spans="1:29" ht="142.5">
      <c r="A17" s="409"/>
      <c r="B17" s="432" t="s">
        <v>1751</v>
      </c>
      <c r="C17" s="2413" t="str">
        <f>估价对象房地状况!C6</f>
        <v>估价对象紧邻城市次干道——新西路，以估价对象为中心半径2公里范围内有密2路、密12路、密13路等公交线路，综合评价交通便捷度一般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8"/>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2452</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8"/>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28"/>
      <c r="Q20" s="1905"/>
      <c r="R20" s="754"/>
      <c r="S20" s="755"/>
      <c r="T20" s="754"/>
      <c r="U20" s="755"/>
      <c r="V20" s="754"/>
      <c r="W20" s="755"/>
      <c r="X20" s="1906"/>
      <c r="Y20" s="3030"/>
      <c r="Z20" s="1908"/>
      <c r="AA20" s="1909">
        <v>1</v>
      </c>
      <c r="AB20" s="1909">
        <v>1</v>
      </c>
      <c r="AC20" s="1909">
        <v>1</v>
      </c>
    </row>
    <row r="21" spans="1:29" ht="42.75">
      <c r="A21" s="409"/>
      <c r="B21" s="2415" t="s">
        <v>2453</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8"/>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28"/>
      <c r="Q22" s="1905"/>
      <c r="R22" s="754"/>
      <c r="S22" s="755"/>
      <c r="T22" s="754"/>
      <c r="U22" s="755"/>
      <c r="V22" s="754"/>
      <c r="W22" s="755"/>
      <c r="X22" s="1906"/>
      <c r="Y22" s="3030"/>
      <c r="Z22" s="1908"/>
      <c r="AA22" s="1909">
        <v>1</v>
      </c>
      <c r="AB22" s="1909">
        <v>1</v>
      </c>
      <c r="AC22" s="1909">
        <v>1</v>
      </c>
    </row>
    <row r="23" spans="1:29" ht="99.75">
      <c r="A23" s="409"/>
      <c r="B23" s="432" t="s">
        <v>1756</v>
      </c>
      <c r="C23" s="2464" t="str">
        <f>估价对象房地状况!C9</f>
        <v>自然环境：滨河公园、白河郊野公园、密西公园等；人文环境：密云区博物馆、密云区政府等，综合评价环境状况较好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8"/>
      <c r="Q23" s="1905" t="str">
        <f>B23</f>
        <v>自然及人文环境</v>
      </c>
      <c r="R23" s="754" t="s">
        <v>25</v>
      </c>
      <c r="S23" s="755">
        <f>F23</f>
        <v>100</v>
      </c>
      <c r="T23" s="754" t="s">
        <v>25</v>
      </c>
      <c r="U23" s="755">
        <f>H23</f>
        <v>100</v>
      </c>
      <c r="V23" s="754" t="s">
        <v>25</v>
      </c>
      <c r="W23" s="755">
        <f>J23</f>
        <v>100</v>
      </c>
      <c r="X23" s="1906"/>
      <c r="Y23" s="3030"/>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28"/>
      <c r="Q24" s="1905"/>
      <c r="R24" s="754"/>
      <c r="S24" s="755"/>
      <c r="T24" s="754"/>
      <c r="U24" s="755"/>
      <c r="V24" s="754"/>
      <c r="W24" s="755"/>
      <c r="X24" s="1906"/>
      <c r="Y24" s="3030"/>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8"/>
      <c r="Q25" s="1905" t="str">
        <f t="shared" ref="Q25:Q46" si="11">B25</f>
        <v>临街状况</v>
      </c>
      <c r="R25" s="754" t="s">
        <v>25</v>
      </c>
      <c r="S25" s="755">
        <f>F25</f>
        <v>100</v>
      </c>
      <c r="T25" s="754" t="s">
        <v>25</v>
      </c>
      <c r="U25" s="755">
        <f>H25</f>
        <v>100</v>
      </c>
      <c r="V25" s="754" t="s">
        <v>25</v>
      </c>
      <c r="W25" s="755">
        <f>J25</f>
        <v>100</v>
      </c>
      <c r="X25" s="1906"/>
      <c r="Y25" s="3030"/>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8"/>
      <c r="Q26" s="1905" t="str">
        <f t="shared" si="11"/>
        <v>平面位置/可视性</v>
      </c>
      <c r="R26" s="754" t="s">
        <v>25</v>
      </c>
      <c r="S26" s="755">
        <f>F26</f>
        <v>100</v>
      </c>
      <c r="T26" s="754" t="s">
        <v>25</v>
      </c>
      <c r="U26" s="755">
        <f>H26</f>
        <v>100</v>
      </c>
      <c r="V26" s="754" t="s">
        <v>25</v>
      </c>
      <c r="W26" s="755">
        <f>J26</f>
        <v>100</v>
      </c>
      <c r="X26" s="1906"/>
      <c r="Y26" s="3030"/>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28"/>
      <c r="Q27" s="1893" t="str">
        <f t="shared" si="11"/>
        <v>人流量</v>
      </c>
      <c r="R27" s="750" t="s">
        <v>25</v>
      </c>
      <c r="S27" s="751">
        <f>F27</f>
        <v>100</v>
      </c>
      <c r="T27" s="750" t="s">
        <v>25</v>
      </c>
      <c r="U27" s="751">
        <f>H27</f>
        <v>100</v>
      </c>
      <c r="V27" s="750" t="s">
        <v>25</v>
      </c>
      <c r="W27" s="751">
        <f>J27</f>
        <v>100</v>
      </c>
      <c r="X27" s="752"/>
      <c r="Y27" s="3030"/>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8"/>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0"/>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8"/>
      <c r="Q29" s="1905">
        <f t="shared" si="11"/>
        <v>111</v>
      </c>
      <c r="R29" s="754" t="s">
        <v>25</v>
      </c>
      <c r="S29" s="755">
        <f t="shared" si="12"/>
        <v>100</v>
      </c>
      <c r="T29" s="754" t="s">
        <v>25</v>
      </c>
      <c r="U29" s="755">
        <f t="shared" si="13"/>
        <v>100</v>
      </c>
      <c r="V29" s="754" t="s">
        <v>25</v>
      </c>
      <c r="W29" s="755">
        <f t="shared" si="14"/>
        <v>100</v>
      </c>
      <c r="X29" s="1906"/>
      <c r="Y29" s="3030"/>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8"/>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8"/>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1" t="s">
        <v>2372</v>
      </c>
      <c r="Q32" s="1905" t="str">
        <f t="shared" si="11"/>
        <v>商业类型</v>
      </c>
      <c r="R32" s="754" t="s">
        <v>25</v>
      </c>
      <c r="S32" s="755">
        <f t="shared" si="12"/>
        <v>100</v>
      </c>
      <c r="T32" s="754" t="s">
        <v>25</v>
      </c>
      <c r="U32" s="755">
        <f t="shared" si="13"/>
        <v>100</v>
      </c>
      <c r="V32" s="754" t="s">
        <v>25</v>
      </c>
      <c r="W32" s="755">
        <f t="shared" si="14"/>
        <v>100</v>
      </c>
      <c r="X32" s="1906"/>
      <c r="Y32" s="3034"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2"/>
      <c r="Q33" s="756" t="str">
        <f t="shared" si="11"/>
        <v>项目建筑规模</v>
      </c>
      <c r="R33" s="757" t="s">
        <v>25</v>
      </c>
      <c r="S33" s="758" t="e">
        <f t="shared" si="12"/>
        <v>#N/A</v>
      </c>
      <c r="T33" s="757" t="s">
        <v>25</v>
      </c>
      <c r="U33" s="758" t="e">
        <f t="shared" si="13"/>
        <v>#N/A</v>
      </c>
      <c r="V33" s="757" t="s">
        <v>25</v>
      </c>
      <c r="W33" s="758" t="e">
        <f t="shared" si="14"/>
        <v>#N/A</v>
      </c>
      <c r="X33" s="759"/>
      <c r="Y33" s="3034"/>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2"/>
      <c r="Q34" s="1905" t="str">
        <f t="shared" si="11"/>
        <v>建筑结构</v>
      </c>
      <c r="R34" s="754" t="s">
        <v>25</v>
      </c>
      <c r="S34" s="755">
        <f t="shared" si="12"/>
        <v>100</v>
      </c>
      <c r="T34" s="754" t="s">
        <v>25</v>
      </c>
      <c r="U34" s="755">
        <f t="shared" si="13"/>
        <v>100</v>
      </c>
      <c r="V34" s="754" t="s">
        <v>25</v>
      </c>
      <c r="W34" s="755">
        <f t="shared" si="14"/>
        <v>100</v>
      </c>
      <c r="X34" s="1906"/>
      <c r="Y34" s="3034"/>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2"/>
      <c r="Q35" s="1905" t="str">
        <f t="shared" si="11"/>
        <v>公共部分装修</v>
      </c>
      <c r="R35" s="754" t="s">
        <v>25</v>
      </c>
      <c r="S35" s="755">
        <f t="shared" si="12"/>
        <v>100</v>
      </c>
      <c r="T35" s="754" t="s">
        <v>25</v>
      </c>
      <c r="U35" s="755">
        <f t="shared" si="13"/>
        <v>100</v>
      </c>
      <c r="V35" s="754" t="s">
        <v>25</v>
      </c>
      <c r="W35" s="755">
        <f t="shared" si="14"/>
        <v>100</v>
      </c>
      <c r="X35" s="1906"/>
      <c r="Y35" s="3034"/>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2"/>
      <c r="Q36" s="1905" t="str">
        <f t="shared" si="11"/>
        <v>成新度</v>
      </c>
      <c r="R36" s="754" t="s">
        <v>25</v>
      </c>
      <c r="S36" s="755" t="e">
        <f t="shared" si="12"/>
        <v>#N/A</v>
      </c>
      <c r="T36" s="754" t="s">
        <v>25</v>
      </c>
      <c r="U36" s="755" t="e">
        <f t="shared" si="13"/>
        <v>#N/A</v>
      </c>
      <c r="V36" s="754" t="s">
        <v>25</v>
      </c>
      <c r="W36" s="755" t="e">
        <f t="shared" si="14"/>
        <v>#N/A</v>
      </c>
      <c r="X36" s="1906"/>
      <c r="Y36" s="3034"/>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2"/>
      <c r="Q37" s="1893" t="str">
        <f t="shared" si="11"/>
        <v>市政基础设施</v>
      </c>
      <c r="R37" s="750" t="s">
        <v>25</v>
      </c>
      <c r="S37" s="751">
        <f t="shared" si="12"/>
        <v>100</v>
      </c>
      <c r="T37" s="750" t="s">
        <v>25</v>
      </c>
      <c r="U37" s="751">
        <f t="shared" si="13"/>
        <v>100</v>
      </c>
      <c r="V37" s="750" t="s">
        <v>25</v>
      </c>
      <c r="W37" s="751">
        <f t="shared" si="14"/>
        <v>100</v>
      </c>
      <c r="X37" s="752"/>
      <c r="Y37" s="3034"/>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2" t="s">
        <v>2372</v>
      </c>
      <c r="Q38" s="1905" t="str">
        <f t="shared" si="11"/>
        <v>业态</v>
      </c>
      <c r="R38" s="754" t="s">
        <v>25</v>
      </c>
      <c r="S38" s="755">
        <f t="shared" si="12"/>
        <v>100</v>
      </c>
      <c r="T38" s="754" t="s">
        <v>25</v>
      </c>
      <c r="U38" s="755">
        <f t="shared" si="13"/>
        <v>100</v>
      </c>
      <c r="V38" s="754" t="s">
        <v>25</v>
      </c>
      <c r="W38" s="755">
        <f t="shared" si="14"/>
        <v>100</v>
      </c>
      <c r="X38" s="1906"/>
      <c r="Y38" s="3034"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2"/>
      <c r="Q39" s="1905" t="str">
        <f t="shared" si="11"/>
        <v>层高</v>
      </c>
      <c r="R39" s="754" t="s">
        <v>25</v>
      </c>
      <c r="S39" s="755">
        <f t="shared" si="12"/>
        <v>100</v>
      </c>
      <c r="T39" s="754" t="s">
        <v>25</v>
      </c>
      <c r="U39" s="755">
        <f t="shared" si="13"/>
        <v>100</v>
      </c>
      <c r="V39" s="754" t="s">
        <v>25</v>
      </c>
      <c r="W39" s="755">
        <f t="shared" si="14"/>
        <v>100</v>
      </c>
      <c r="X39" s="1906"/>
      <c r="Y39" s="3034"/>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2"/>
      <c r="Q40" s="1905" t="str">
        <f t="shared" si="11"/>
        <v>单套建筑面积</v>
      </c>
      <c r="R40" s="754" t="s">
        <v>25</v>
      </c>
      <c r="S40" s="755">
        <f t="shared" si="12"/>
        <v>100</v>
      </c>
      <c r="T40" s="754" t="s">
        <v>25</v>
      </c>
      <c r="U40" s="755">
        <f t="shared" si="13"/>
        <v>100</v>
      </c>
      <c r="V40" s="754" t="s">
        <v>25</v>
      </c>
      <c r="W40" s="755">
        <f t="shared" si="14"/>
        <v>100</v>
      </c>
      <c r="X40" s="1906"/>
      <c r="Y40" s="3034"/>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2"/>
      <c r="Q41" s="756" t="str">
        <f t="shared" si="11"/>
        <v>进深比</v>
      </c>
      <c r="R41" s="757" t="s">
        <v>25</v>
      </c>
      <c r="S41" s="758">
        <f t="shared" si="12"/>
        <v>100</v>
      </c>
      <c r="T41" s="757" t="s">
        <v>25</v>
      </c>
      <c r="U41" s="758">
        <f t="shared" si="13"/>
        <v>100</v>
      </c>
      <c r="V41" s="757" t="s">
        <v>25</v>
      </c>
      <c r="W41" s="758">
        <f t="shared" si="14"/>
        <v>100</v>
      </c>
      <c r="X41" s="759"/>
      <c r="Y41" s="3034"/>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2"/>
      <c r="Q42" s="1905" t="str">
        <f t="shared" si="11"/>
        <v>内部装修</v>
      </c>
      <c r="R42" s="754" t="s">
        <v>25</v>
      </c>
      <c r="S42" s="755">
        <f t="shared" si="12"/>
        <v>100</v>
      </c>
      <c r="T42" s="754" t="s">
        <v>25</v>
      </c>
      <c r="U42" s="755">
        <f t="shared" si="13"/>
        <v>100</v>
      </c>
      <c r="V42" s="754" t="s">
        <v>25</v>
      </c>
      <c r="W42" s="755">
        <f t="shared" si="14"/>
        <v>100</v>
      </c>
      <c r="X42" s="1906"/>
      <c r="Y42" s="3034"/>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2"/>
      <c r="Q43" s="1905" t="str">
        <f t="shared" si="11"/>
        <v>内部装修维护情况</v>
      </c>
      <c r="R43" s="754" t="s">
        <v>25</v>
      </c>
      <c r="S43" s="755">
        <f t="shared" si="12"/>
        <v>100</v>
      </c>
      <c r="T43" s="754" t="s">
        <v>25</v>
      </c>
      <c r="U43" s="755">
        <f t="shared" si="13"/>
        <v>100</v>
      </c>
      <c r="V43" s="754" t="s">
        <v>25</v>
      </c>
      <c r="W43" s="755">
        <f t="shared" si="14"/>
        <v>100</v>
      </c>
      <c r="X43" s="1906"/>
      <c r="Y43" s="3034"/>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2"/>
      <c r="Q44" s="1893">
        <f t="shared" si="11"/>
        <v>111</v>
      </c>
      <c r="R44" s="750" t="s">
        <v>25</v>
      </c>
      <c r="S44" s="751">
        <f t="shared" si="12"/>
        <v>100</v>
      </c>
      <c r="T44" s="750" t="s">
        <v>25</v>
      </c>
      <c r="U44" s="751">
        <f t="shared" si="13"/>
        <v>100</v>
      </c>
      <c r="V44" s="750" t="s">
        <v>25</v>
      </c>
      <c r="W44" s="751">
        <f t="shared" si="14"/>
        <v>100</v>
      </c>
      <c r="X44" s="752"/>
      <c r="Y44" s="3034"/>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2"/>
      <c r="Q45" s="1905">
        <f t="shared" si="11"/>
        <v>111</v>
      </c>
      <c r="R45" s="754" t="s">
        <v>25</v>
      </c>
      <c r="S45" s="755">
        <f t="shared" si="12"/>
        <v>100</v>
      </c>
      <c r="T45" s="754" t="s">
        <v>25</v>
      </c>
      <c r="U45" s="755">
        <f t="shared" si="13"/>
        <v>100</v>
      </c>
      <c r="V45" s="754" t="s">
        <v>25</v>
      </c>
      <c r="W45" s="755">
        <f t="shared" si="14"/>
        <v>100</v>
      </c>
      <c r="X45" s="1906"/>
      <c r="Y45" s="3034"/>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3"/>
      <c r="Q46" s="1905">
        <f t="shared" si="11"/>
        <v>111</v>
      </c>
      <c r="R46" s="754" t="s">
        <v>25</v>
      </c>
      <c r="S46" s="755">
        <f t="shared" si="12"/>
        <v>100</v>
      </c>
      <c r="T46" s="754" t="s">
        <v>25</v>
      </c>
      <c r="U46" s="755">
        <f t="shared" si="13"/>
        <v>100</v>
      </c>
      <c r="V46" s="754" t="s">
        <v>25</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6" t="str">
        <f>A47</f>
        <v>成交单价（元/平方米）</v>
      </c>
      <c r="Q47" s="3026"/>
      <c r="R47" s="3022">
        <f>E47</f>
        <v>0</v>
      </c>
      <c r="S47" s="3022"/>
      <c r="T47" s="3022">
        <f>G47</f>
        <v>0</v>
      </c>
      <c r="U47" s="3022"/>
      <c r="V47" s="3022">
        <f>I47</f>
        <v>0</v>
      </c>
      <c r="W47" s="3022"/>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6" t="str">
        <f>A48</f>
        <v>比较价值（元/平方米）</v>
      </c>
      <c r="Q48" s="3026"/>
      <c r="R48" s="3022" t="e">
        <f>IF(E1="售价",ROUND(PRODUCT(R47,AA7:AA46),0),ROUND(PRODUCT(R47,AA7:AA46),1))</f>
        <v>#DIV/0!</v>
      </c>
      <c r="S48" s="3022"/>
      <c r="T48" s="3022" t="e">
        <f>IF(E1="售价",ROUND(PRODUCT(T47,AB7:AB46),0),ROUND(PRODUCT(T47,AB7:AB46),1))</f>
        <v>#DIV/0!</v>
      </c>
      <c r="U48" s="3022"/>
      <c r="V48" s="3022" t="e">
        <f>IF(E1="售价",ROUND(PRODUCT(V47,AC7:AC46),0),ROUND(PRODUCT(V47,AC7:AC46),1))</f>
        <v>#DIV/0!</v>
      </c>
      <c r="W48" s="3022"/>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3" t="str">
        <f>A49</f>
        <v>估价对象XX用房的比较价值（楼面单价，元/平方米）</v>
      </c>
      <c r="Q49" s="3024"/>
      <c r="R49" s="3025" t="e">
        <f>IF(E1="售价",ROUND(AVERAGE(R48:V48),0),ROUND(AVERAGE(R48:V48),1))</f>
        <v>#DIV/0!</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87.32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77" t="s">
        <v>2347</v>
      </c>
      <c r="Q4" s="3058"/>
      <c r="R4" s="3042" t="s">
        <v>2343</v>
      </c>
      <c r="S4" s="3043"/>
      <c r="T4" s="3042" t="s">
        <v>2344</v>
      </c>
      <c r="U4" s="3043"/>
      <c r="V4" s="3063" t="s">
        <v>2345</v>
      </c>
      <c r="W4" s="3063"/>
      <c r="X4" s="1906"/>
      <c r="Y4" s="3042" t="s">
        <v>2347</v>
      </c>
      <c r="Z4" s="3043"/>
      <c r="AA4" s="3050" t="s">
        <v>2343</v>
      </c>
      <c r="AB4" s="3050"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78"/>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79"/>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43143</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48"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8" t="s">
        <v>2358</v>
      </c>
      <c r="Q8" s="3041"/>
      <c r="R8" s="750" t="s">
        <v>25</v>
      </c>
      <c r="S8" s="751">
        <f t="shared" si="0"/>
        <v>0</v>
      </c>
      <c r="T8" s="750" t="s">
        <v>25</v>
      </c>
      <c r="U8" s="751">
        <f t="shared" si="1"/>
        <v>0</v>
      </c>
      <c r="V8" s="750" t="s">
        <v>25</v>
      </c>
      <c r="W8" s="751">
        <f t="shared" si="2"/>
        <v>0</v>
      </c>
      <c r="X8" s="752"/>
      <c r="Y8" s="3040" t="s">
        <v>2358</v>
      </c>
      <c r="Z8" s="3041"/>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4"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4"/>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4"/>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4"/>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4"/>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4"/>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15">
      <c r="A15" s="420" t="s">
        <v>2365</v>
      </c>
      <c r="B15" s="614" t="s">
        <v>2480</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8" t="s">
        <v>2366</v>
      </c>
      <c r="Q15" s="1905" t="str">
        <f t="shared" si="6"/>
        <v>办公集聚程度</v>
      </c>
      <c r="R15" s="754" t="s">
        <v>25</v>
      </c>
      <c r="S15" s="755">
        <f t="shared" si="0"/>
        <v>100</v>
      </c>
      <c r="T15" s="754" t="s">
        <v>25</v>
      </c>
      <c r="U15" s="755">
        <f t="shared" si="1"/>
        <v>100</v>
      </c>
      <c r="V15" s="754" t="s">
        <v>25</v>
      </c>
      <c r="W15" s="755">
        <f t="shared" si="2"/>
        <v>100</v>
      </c>
      <c r="X15" s="1906"/>
      <c r="Y15" s="3029"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0"/>
      <c r="Q16" s="1905"/>
      <c r="R16" s="754"/>
      <c r="S16" s="755"/>
      <c r="T16" s="754"/>
      <c r="U16" s="755"/>
      <c r="V16" s="754"/>
      <c r="W16" s="755"/>
      <c r="X16" s="1906"/>
      <c r="Y16" s="3030"/>
      <c r="Z16" s="1908"/>
      <c r="AA16" s="1909">
        <v>1</v>
      </c>
      <c r="AB16" s="1909">
        <v>1</v>
      </c>
      <c r="AC16" s="1909">
        <v>1</v>
      </c>
    </row>
    <row r="17" spans="1:29" ht="142.5">
      <c r="A17" s="409"/>
      <c r="B17" s="616" t="s">
        <v>1751</v>
      </c>
      <c r="C17" s="2475" t="str">
        <f>估价对象房地状况!C6</f>
        <v>估价对象紧邻城市次干道——新西路，以估价对象为中心半径2公里范围内有密2路、密12路、密13路等公交线路，综合评价交通便捷度一般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0"/>
      <c r="Q18" s="1905"/>
      <c r="R18" s="754"/>
      <c r="S18" s="755"/>
      <c r="T18" s="754"/>
      <c r="U18" s="755"/>
      <c r="V18" s="754"/>
      <c r="W18" s="755"/>
      <c r="X18" s="1906"/>
      <c r="Y18" s="3030"/>
      <c r="Z18" s="1908"/>
      <c r="AA18" s="1909">
        <v>1</v>
      </c>
      <c r="AB18" s="1909">
        <v>1</v>
      </c>
      <c r="AC18" s="1909">
        <v>1</v>
      </c>
    </row>
    <row r="19" spans="1:29" ht="42.75">
      <c r="A19" s="409"/>
      <c r="B19" s="616" t="s">
        <v>2481</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0"/>
      <c r="Q20" s="1905"/>
      <c r="R20" s="754"/>
      <c r="S20" s="755"/>
      <c r="T20" s="754"/>
      <c r="U20" s="755"/>
      <c r="V20" s="754"/>
      <c r="W20" s="755"/>
      <c r="X20" s="1906"/>
      <c r="Y20" s="3030"/>
      <c r="Z20" s="1908"/>
      <c r="AA20" s="1909">
        <v>1</v>
      </c>
      <c r="AB20" s="1909">
        <v>1</v>
      </c>
      <c r="AC20" s="1909">
        <v>1</v>
      </c>
    </row>
    <row r="21" spans="1:29" ht="42.75">
      <c r="A21" s="409"/>
      <c r="B21" s="618" t="s">
        <v>2482</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0"/>
      <c r="Q22" s="1905"/>
      <c r="R22" s="754"/>
      <c r="S22" s="755"/>
      <c r="T22" s="754"/>
      <c r="U22" s="755"/>
      <c r="V22" s="754"/>
      <c r="W22" s="755"/>
      <c r="X22" s="1906"/>
      <c r="Y22" s="3030"/>
      <c r="Z22" s="1908"/>
      <c r="AA22" s="1909">
        <v>1</v>
      </c>
      <c r="AB22" s="1909">
        <v>1</v>
      </c>
      <c r="AC22" s="1909">
        <v>1</v>
      </c>
    </row>
    <row r="23" spans="1:29" ht="99.75">
      <c r="A23" s="409"/>
      <c r="B23" s="616" t="s">
        <v>2483</v>
      </c>
      <c r="C23" s="2475" t="str">
        <f>估价对象房地状况!C9</f>
        <v>自然环境：滨河公园、白河郊野公园、密西公园等；人文环境：密云区博物馆、密云区政府等，综合评价环境状况较好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0"/>
      <c r="Q24" s="1905"/>
      <c r="R24" s="754"/>
      <c r="S24" s="755"/>
      <c r="T24" s="754"/>
      <c r="U24" s="755"/>
      <c r="V24" s="754"/>
      <c r="W24" s="755"/>
      <c r="X24" s="1906"/>
      <c r="Y24" s="3030"/>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0"/>
      <c r="Q25" s="1905" t="str">
        <f>B25</f>
        <v>毗邻道路的类型与等级</v>
      </c>
      <c r="R25" s="754" t="s">
        <v>25</v>
      </c>
      <c r="S25" s="755">
        <f>F25</f>
        <v>100</v>
      </c>
      <c r="T25" s="754" t="s">
        <v>25</v>
      </c>
      <c r="U25" s="755">
        <f>H25</f>
        <v>100</v>
      </c>
      <c r="V25" s="754" t="s">
        <v>25</v>
      </c>
      <c r="W25" s="755">
        <f>J25</f>
        <v>100</v>
      </c>
      <c r="X25" s="1906"/>
      <c r="Y25" s="3030"/>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0"/>
      <c r="Q26" s="1905"/>
      <c r="R26" s="754"/>
      <c r="S26" s="755"/>
      <c r="T26" s="754"/>
      <c r="U26" s="755"/>
      <c r="V26" s="754"/>
      <c r="W26" s="755"/>
      <c r="X26" s="1906"/>
      <c r="Y26" s="3030"/>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0"/>
      <c r="Q27" s="1905" t="str">
        <f t="shared" ref="Q27:Q47" si="11">B27</f>
        <v>楼层</v>
      </c>
      <c r="R27" s="754" t="s">
        <v>25</v>
      </c>
      <c r="S27" s="755">
        <f>F27</f>
        <v>100</v>
      </c>
      <c r="T27" s="754" t="s">
        <v>25</v>
      </c>
      <c r="U27" s="755">
        <f>H27</f>
        <v>100</v>
      </c>
      <c r="V27" s="754" t="s">
        <v>25</v>
      </c>
      <c r="W27" s="755">
        <f>J27</f>
        <v>100</v>
      </c>
      <c r="X27" s="1906"/>
      <c r="Y27" s="3030"/>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0"/>
      <c r="Q28" s="1893" t="str">
        <f t="shared" si="11"/>
        <v>朝向</v>
      </c>
      <c r="R28" s="750" t="s">
        <v>25</v>
      </c>
      <c r="S28" s="751">
        <f>F28</f>
        <v>100</v>
      </c>
      <c r="T28" s="750" t="s">
        <v>25</v>
      </c>
      <c r="U28" s="751">
        <f>H28</f>
        <v>100</v>
      </c>
      <c r="V28" s="750" t="s">
        <v>25</v>
      </c>
      <c r="W28" s="751">
        <f>J28</f>
        <v>100</v>
      </c>
      <c r="X28" s="752"/>
      <c r="Y28" s="3030"/>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0"/>
      <c r="Q29" s="1905">
        <f t="shared" si="11"/>
        <v>111</v>
      </c>
      <c r="R29" s="754" t="s">
        <v>25</v>
      </c>
      <c r="S29" s="755">
        <f t="shared" ref="S29:S47" si="12">F29</f>
        <v>100</v>
      </c>
      <c r="T29" s="754" t="s">
        <v>25</v>
      </c>
      <c r="U29" s="755">
        <f t="shared" ref="U29:U47" si="13">H29</f>
        <v>100</v>
      </c>
      <c r="V29" s="754" t="s">
        <v>25</v>
      </c>
      <c r="W29" s="755">
        <f t="shared" ref="W29:W47" si="14">J29</f>
        <v>100</v>
      </c>
      <c r="X29" s="1906"/>
      <c r="Y29" s="3030"/>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0"/>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0"/>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0"/>
      <c r="Q32" s="1905">
        <f t="shared" si="11"/>
        <v>111</v>
      </c>
      <c r="R32" s="754" t="s">
        <v>25</v>
      </c>
      <c r="S32" s="755">
        <f t="shared" si="12"/>
        <v>100</v>
      </c>
      <c r="T32" s="754" t="s">
        <v>25</v>
      </c>
      <c r="U32" s="755">
        <f t="shared" si="13"/>
        <v>100</v>
      </c>
      <c r="V32" s="754" t="s">
        <v>25</v>
      </c>
      <c r="W32" s="755">
        <f t="shared" si="14"/>
        <v>100</v>
      </c>
      <c r="X32" s="1906"/>
      <c r="Y32" s="3030"/>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4" t="s">
        <v>2372</v>
      </c>
      <c r="Q33" s="1905" t="str">
        <f t="shared" si="11"/>
        <v>建筑类型</v>
      </c>
      <c r="R33" s="754" t="s">
        <v>25</v>
      </c>
      <c r="S33" s="755">
        <f t="shared" si="12"/>
        <v>100</v>
      </c>
      <c r="T33" s="754" t="s">
        <v>25</v>
      </c>
      <c r="U33" s="755">
        <f t="shared" si="13"/>
        <v>100</v>
      </c>
      <c r="V33" s="754" t="s">
        <v>25</v>
      </c>
      <c r="W33" s="755">
        <f t="shared" si="14"/>
        <v>100</v>
      </c>
      <c r="X33" s="1906"/>
      <c r="Y33" s="3034"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5"/>
      <c r="Q34" s="756" t="str">
        <f t="shared" si="11"/>
        <v>项目建筑规模</v>
      </c>
      <c r="R34" s="757" t="s">
        <v>25</v>
      </c>
      <c r="S34" s="758" t="e">
        <f t="shared" si="12"/>
        <v>#N/A</v>
      </c>
      <c r="T34" s="757" t="s">
        <v>25</v>
      </c>
      <c r="U34" s="758" t="e">
        <f t="shared" si="13"/>
        <v>#N/A</v>
      </c>
      <c r="V34" s="757" t="s">
        <v>25</v>
      </c>
      <c r="W34" s="758" t="e">
        <f t="shared" si="14"/>
        <v>#N/A</v>
      </c>
      <c r="X34" s="759"/>
      <c r="Y34" s="3034"/>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5"/>
      <c r="Q35" s="1905" t="str">
        <f t="shared" si="11"/>
        <v>建筑结构</v>
      </c>
      <c r="R35" s="754" t="s">
        <v>25</v>
      </c>
      <c r="S35" s="755">
        <f t="shared" si="12"/>
        <v>100</v>
      </c>
      <c r="T35" s="754" t="s">
        <v>25</v>
      </c>
      <c r="U35" s="755">
        <f t="shared" si="13"/>
        <v>100</v>
      </c>
      <c r="V35" s="754" t="s">
        <v>25</v>
      </c>
      <c r="W35" s="755">
        <f t="shared" si="14"/>
        <v>100</v>
      </c>
      <c r="X35" s="1906"/>
      <c r="Y35" s="3034"/>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5"/>
      <c r="Q36" s="1905" t="str">
        <f t="shared" si="11"/>
        <v>公共部分装修</v>
      </c>
      <c r="R36" s="754" t="s">
        <v>25</v>
      </c>
      <c r="S36" s="755">
        <f t="shared" si="12"/>
        <v>100</v>
      </c>
      <c r="T36" s="754" t="s">
        <v>25</v>
      </c>
      <c r="U36" s="755">
        <f t="shared" si="13"/>
        <v>100</v>
      </c>
      <c r="V36" s="754" t="s">
        <v>25</v>
      </c>
      <c r="W36" s="755">
        <f t="shared" si="14"/>
        <v>100</v>
      </c>
      <c r="X36" s="1906"/>
      <c r="Y36" s="3034"/>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5"/>
      <c r="Q37" s="1905" t="str">
        <f t="shared" si="11"/>
        <v>成新度</v>
      </c>
      <c r="R37" s="754" t="s">
        <v>25</v>
      </c>
      <c r="S37" s="755" t="e">
        <f t="shared" si="12"/>
        <v>#N/A</v>
      </c>
      <c r="T37" s="754" t="s">
        <v>25</v>
      </c>
      <c r="U37" s="755" t="e">
        <f t="shared" si="13"/>
        <v>#N/A</v>
      </c>
      <c r="V37" s="754" t="s">
        <v>25</v>
      </c>
      <c r="W37" s="755" t="e">
        <f t="shared" si="14"/>
        <v>#N/A</v>
      </c>
      <c r="X37" s="1906"/>
      <c r="Y37" s="3034"/>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5"/>
      <c r="Q38" s="1893" t="str">
        <f t="shared" si="11"/>
        <v>写字楼等级</v>
      </c>
      <c r="R38" s="750" t="s">
        <v>25</v>
      </c>
      <c r="S38" s="751">
        <f t="shared" si="12"/>
        <v>100</v>
      </c>
      <c r="T38" s="750" t="s">
        <v>25</v>
      </c>
      <c r="U38" s="751">
        <f t="shared" si="13"/>
        <v>100</v>
      </c>
      <c r="V38" s="750" t="s">
        <v>25</v>
      </c>
      <c r="W38" s="751">
        <f t="shared" si="14"/>
        <v>100</v>
      </c>
      <c r="X38" s="752"/>
      <c r="Y38" s="3034"/>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5" t="s">
        <v>2372</v>
      </c>
      <c r="Q39" s="1905" t="str">
        <f t="shared" si="11"/>
        <v>物业管理</v>
      </c>
      <c r="R39" s="754" t="s">
        <v>25</v>
      </c>
      <c r="S39" s="755">
        <f t="shared" si="12"/>
        <v>100</v>
      </c>
      <c r="T39" s="754" t="s">
        <v>25</v>
      </c>
      <c r="U39" s="755">
        <f t="shared" si="13"/>
        <v>100</v>
      </c>
      <c r="V39" s="754" t="s">
        <v>25</v>
      </c>
      <c r="W39" s="755">
        <f t="shared" si="14"/>
        <v>100</v>
      </c>
      <c r="X39" s="1906"/>
      <c r="Y39" s="3034"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5"/>
      <c r="Q40" s="1905" t="str">
        <f t="shared" si="11"/>
        <v>市政基础设施</v>
      </c>
      <c r="R40" s="754" t="s">
        <v>25</v>
      </c>
      <c r="S40" s="755">
        <f t="shared" si="12"/>
        <v>100</v>
      </c>
      <c r="T40" s="754" t="s">
        <v>25</v>
      </c>
      <c r="U40" s="755">
        <f t="shared" si="13"/>
        <v>100</v>
      </c>
      <c r="V40" s="754" t="s">
        <v>25</v>
      </c>
      <c r="W40" s="755">
        <f t="shared" si="14"/>
        <v>100</v>
      </c>
      <c r="X40" s="1906"/>
      <c r="Y40" s="3034"/>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5"/>
      <c r="Q41" s="1905" t="str">
        <f t="shared" si="11"/>
        <v>层高</v>
      </c>
      <c r="R41" s="754" t="s">
        <v>25</v>
      </c>
      <c r="S41" s="755">
        <f t="shared" si="12"/>
        <v>100</v>
      </c>
      <c r="T41" s="754" t="s">
        <v>25</v>
      </c>
      <c r="U41" s="755">
        <f t="shared" si="13"/>
        <v>100</v>
      </c>
      <c r="V41" s="754" t="s">
        <v>25</v>
      </c>
      <c r="W41" s="755">
        <f t="shared" si="14"/>
        <v>100</v>
      </c>
      <c r="X41" s="1906"/>
      <c r="Y41" s="3034"/>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5"/>
      <c r="Q42" s="756" t="str">
        <f t="shared" si="11"/>
        <v>单套建筑面积</v>
      </c>
      <c r="R42" s="757" t="s">
        <v>25</v>
      </c>
      <c r="S42" s="758">
        <f t="shared" si="12"/>
        <v>100</v>
      </c>
      <c r="T42" s="757" t="s">
        <v>25</v>
      </c>
      <c r="U42" s="758">
        <f t="shared" si="13"/>
        <v>100</v>
      </c>
      <c r="V42" s="757" t="s">
        <v>25</v>
      </c>
      <c r="W42" s="758">
        <f t="shared" si="14"/>
        <v>100</v>
      </c>
      <c r="X42" s="759"/>
      <c r="Y42" s="3034"/>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5"/>
      <c r="Q43" s="1905" t="str">
        <f t="shared" si="11"/>
        <v>内部装修</v>
      </c>
      <c r="R43" s="754" t="s">
        <v>25</v>
      </c>
      <c r="S43" s="755">
        <f t="shared" si="12"/>
        <v>100</v>
      </c>
      <c r="T43" s="754" t="s">
        <v>25</v>
      </c>
      <c r="U43" s="755">
        <f t="shared" si="13"/>
        <v>100</v>
      </c>
      <c r="V43" s="754" t="s">
        <v>25</v>
      </c>
      <c r="W43" s="755">
        <f t="shared" si="14"/>
        <v>100</v>
      </c>
      <c r="X43" s="1906"/>
      <c r="Y43" s="3034"/>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5"/>
      <c r="Q44" s="1905" t="str">
        <f t="shared" si="11"/>
        <v>内部装修维护情况</v>
      </c>
      <c r="R44" s="754" t="s">
        <v>25</v>
      </c>
      <c r="S44" s="755">
        <f t="shared" si="12"/>
        <v>100</v>
      </c>
      <c r="T44" s="754" t="s">
        <v>25</v>
      </c>
      <c r="U44" s="755">
        <f t="shared" si="13"/>
        <v>100</v>
      </c>
      <c r="V44" s="754" t="s">
        <v>25</v>
      </c>
      <c r="W44" s="755">
        <f t="shared" si="14"/>
        <v>100</v>
      </c>
      <c r="X44" s="1906"/>
      <c r="Y44" s="3034"/>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5"/>
      <c r="Q45" s="1893">
        <f t="shared" si="11"/>
        <v>111</v>
      </c>
      <c r="R45" s="750" t="s">
        <v>25</v>
      </c>
      <c r="S45" s="751">
        <f t="shared" si="12"/>
        <v>100</v>
      </c>
      <c r="T45" s="750" t="s">
        <v>25</v>
      </c>
      <c r="U45" s="751">
        <f t="shared" si="13"/>
        <v>100</v>
      </c>
      <c r="V45" s="750" t="s">
        <v>25</v>
      </c>
      <c r="W45" s="751">
        <f t="shared" si="14"/>
        <v>100</v>
      </c>
      <c r="X45" s="752"/>
      <c r="Y45" s="3034"/>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5"/>
      <c r="Q46" s="1905">
        <f t="shared" si="11"/>
        <v>111</v>
      </c>
      <c r="R46" s="754" t="s">
        <v>25</v>
      </c>
      <c r="S46" s="755">
        <f t="shared" si="12"/>
        <v>100</v>
      </c>
      <c r="T46" s="754" t="s">
        <v>25</v>
      </c>
      <c r="U46" s="755">
        <f t="shared" si="13"/>
        <v>100</v>
      </c>
      <c r="V46" s="754" t="s">
        <v>25</v>
      </c>
      <c r="W46" s="755">
        <f t="shared" si="14"/>
        <v>100</v>
      </c>
      <c r="X46" s="1906"/>
      <c r="Y46" s="3034"/>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6"/>
      <c r="Q47" s="1905">
        <f t="shared" si="11"/>
        <v>111</v>
      </c>
      <c r="R47" s="754" t="s">
        <v>25</v>
      </c>
      <c r="S47" s="755">
        <f t="shared" si="12"/>
        <v>100</v>
      </c>
      <c r="T47" s="754" t="s">
        <v>25</v>
      </c>
      <c r="U47" s="755">
        <f t="shared" si="13"/>
        <v>100</v>
      </c>
      <c r="V47" s="754" t="s">
        <v>25</v>
      </c>
      <c r="W47" s="755">
        <f t="shared" si="14"/>
        <v>100</v>
      </c>
      <c r="X47" s="1906"/>
      <c r="Y47" s="3035"/>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4" t="str">
        <f>A48</f>
        <v>成交单价（元/平方米）</v>
      </c>
      <c r="Q48" s="3026"/>
      <c r="R48" s="3022">
        <f>E48</f>
        <v>0</v>
      </c>
      <c r="S48" s="3022"/>
      <c r="T48" s="3022">
        <f>G48</f>
        <v>0</v>
      </c>
      <c r="U48" s="3022"/>
      <c r="V48" s="3022">
        <f>I48</f>
        <v>0</v>
      </c>
      <c r="W48" s="3022"/>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4" t="str">
        <f>A49</f>
        <v>比较价值（元/平方米）</v>
      </c>
      <c r="Q49" s="3026"/>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3" t="str">
        <f>A50</f>
        <v>估价对象XX用房的比较价值（楼面单价，元/平方米）</v>
      </c>
      <c r="Q50" s="3024"/>
      <c r="R50" s="3025" t="e">
        <f>IF(E1="售价",ROUND(AVERAGE(R49:V49),0),ROUND(AVERAGE(R49:V49),1))</f>
        <v>#DIV/0!</v>
      </c>
      <c r="S50" s="3025"/>
      <c r="T50" s="3025"/>
      <c r="U50" s="3025"/>
      <c r="V50" s="3025"/>
      <c r="W50" s="302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2018-2</v>
      </c>
      <c r="D59" s="1685">
        <f>EDATE(C59,-1)</f>
        <v>43101</v>
      </c>
      <c r="E59" s="1685">
        <f t="shared" ref="E59:O59" si="16">EDATE(D59,-1)</f>
        <v>43070</v>
      </c>
      <c r="F59" s="1685">
        <f t="shared" si="16"/>
        <v>43040</v>
      </c>
      <c r="G59" s="1685">
        <f t="shared" si="16"/>
        <v>43009</v>
      </c>
      <c r="H59" s="1685">
        <f t="shared" si="16"/>
        <v>42979</v>
      </c>
      <c r="I59" s="1685">
        <f t="shared" si="16"/>
        <v>42948</v>
      </c>
      <c r="J59" s="1685">
        <f t="shared" si="16"/>
        <v>42917</v>
      </c>
      <c r="K59" s="1685">
        <f t="shared" si="16"/>
        <v>42887</v>
      </c>
      <c r="L59" s="1685">
        <f t="shared" si="16"/>
        <v>42856</v>
      </c>
      <c r="M59" s="1685">
        <f t="shared" si="16"/>
        <v>42826</v>
      </c>
      <c r="N59" s="1685">
        <f t="shared" si="16"/>
        <v>42795</v>
      </c>
      <c r="O59" s="1685">
        <f t="shared" si="16"/>
        <v>42767</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43143</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0" t="s">
        <v>2358</v>
      </c>
      <c r="Q8" s="3041"/>
      <c r="R8" s="750" t="s">
        <v>25</v>
      </c>
      <c r="S8" s="751">
        <f t="shared" si="0"/>
        <v>100</v>
      </c>
      <c r="T8" s="750" t="s">
        <v>25</v>
      </c>
      <c r="U8" s="751">
        <f t="shared" si="1"/>
        <v>100</v>
      </c>
      <c r="V8" s="750" t="s">
        <v>25</v>
      </c>
      <c r="W8" s="751">
        <f t="shared" si="2"/>
        <v>100</v>
      </c>
      <c r="X8" s="752"/>
      <c r="Y8" s="3040" t="s">
        <v>2358</v>
      </c>
      <c r="Z8" s="3041"/>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0"/>
      <c r="Q18" s="1905"/>
      <c r="R18" s="754"/>
      <c r="S18" s="755"/>
      <c r="T18" s="754"/>
      <c r="U18" s="755"/>
      <c r="V18" s="754"/>
      <c r="W18" s="755"/>
      <c r="X18" s="1906"/>
      <c r="Y18" s="3030"/>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0"/>
      <c r="Q20" s="1905"/>
      <c r="R20" s="754"/>
      <c r="S20" s="755"/>
      <c r="T20" s="754"/>
      <c r="U20" s="755"/>
      <c r="V20" s="754"/>
      <c r="W20" s="755"/>
      <c r="X20" s="1906"/>
      <c r="Y20" s="3030"/>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0"/>
      <c r="Q22" s="1905"/>
      <c r="R22" s="754"/>
      <c r="S22" s="755"/>
      <c r="T22" s="754"/>
      <c r="U22" s="755"/>
      <c r="V22" s="754"/>
      <c r="W22" s="755"/>
      <c r="X22" s="1906"/>
      <c r="Y22" s="3030"/>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0"/>
      <c r="Q24" s="1905"/>
      <c r="R24" s="754"/>
      <c r="S24" s="755"/>
      <c r="T24" s="754"/>
      <c r="U24" s="755"/>
      <c r="V24" s="754"/>
      <c r="W24" s="755"/>
      <c r="X24" s="1906"/>
      <c r="Y24" s="3030"/>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0"/>
      <c r="Q25" s="1905">
        <f>B25</f>
        <v>111</v>
      </c>
      <c r="R25" s="754" t="s">
        <v>25</v>
      </c>
      <c r="S25" s="755">
        <f>F25</f>
        <v>100</v>
      </c>
      <c r="T25" s="754" t="s">
        <v>25</v>
      </c>
      <c r="U25" s="755">
        <f>H25</f>
        <v>100</v>
      </c>
      <c r="V25" s="754" t="s">
        <v>25</v>
      </c>
      <c r="W25" s="755">
        <f>J25</f>
        <v>100</v>
      </c>
      <c r="X25" s="1906"/>
      <c r="Y25" s="3030"/>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0"/>
      <c r="Q26" s="1905">
        <f t="shared" ref="Q26:Q40" si="11">B26</f>
        <v>111</v>
      </c>
      <c r="R26" s="754" t="s">
        <v>25</v>
      </c>
      <c r="S26" s="755">
        <f>F26</f>
        <v>100</v>
      </c>
      <c r="T26" s="754" t="s">
        <v>25</v>
      </c>
      <c r="U26" s="755">
        <f>H26</f>
        <v>100</v>
      </c>
      <c r="V26" s="754" t="s">
        <v>25</v>
      </c>
      <c r="W26" s="755">
        <f>J26</f>
        <v>100</v>
      </c>
      <c r="X26" s="1906"/>
      <c r="Y26" s="3030"/>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0"/>
      <c r="Q27" s="1893">
        <f t="shared" si="11"/>
        <v>111</v>
      </c>
      <c r="R27" s="750" t="s">
        <v>25</v>
      </c>
      <c r="S27" s="751">
        <f>F27</f>
        <v>100</v>
      </c>
      <c r="T27" s="750" t="s">
        <v>25</v>
      </c>
      <c r="U27" s="751">
        <f>H27</f>
        <v>100</v>
      </c>
      <c r="V27" s="750" t="s">
        <v>25</v>
      </c>
      <c r="W27" s="751">
        <f>J27</f>
        <v>100</v>
      </c>
      <c r="X27" s="752"/>
      <c r="Y27" s="3030"/>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0"/>
      <c r="Q28" s="1905">
        <f t="shared" si="11"/>
        <v>111</v>
      </c>
      <c r="R28" s="754" t="s">
        <v>25</v>
      </c>
      <c r="S28" s="755">
        <f t="shared" ref="S28:S40" si="12">F28</f>
        <v>100</v>
      </c>
      <c r="T28" s="754" t="s">
        <v>25</v>
      </c>
      <c r="U28" s="755">
        <f t="shared" ref="U28:U40" si="13">H28</f>
        <v>100</v>
      </c>
      <c r="V28" s="754" t="s">
        <v>25</v>
      </c>
      <c r="W28" s="755">
        <f t="shared" ref="W28:W40" si="14">J28</f>
        <v>100</v>
      </c>
      <c r="X28" s="1906"/>
      <c r="Y28" s="3030"/>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34"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4"/>
      <c r="Q30" s="756" t="str">
        <f t="shared" si="11"/>
        <v>项目建筑规模</v>
      </c>
      <c r="R30" s="757" t="s">
        <v>25</v>
      </c>
      <c r="S30" s="758" t="e">
        <f t="shared" si="12"/>
        <v>#N/A</v>
      </c>
      <c r="T30" s="757" t="s">
        <v>25</v>
      </c>
      <c r="U30" s="758" t="e">
        <f t="shared" si="13"/>
        <v>#N/A</v>
      </c>
      <c r="V30" s="757" t="s">
        <v>25</v>
      </c>
      <c r="W30" s="758" t="e">
        <f t="shared" si="14"/>
        <v>#N/A</v>
      </c>
      <c r="X30" s="759"/>
      <c r="Y30" s="3034"/>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4"/>
      <c r="Q31" s="1905" t="str">
        <f t="shared" si="11"/>
        <v>建筑结构</v>
      </c>
      <c r="R31" s="754" t="s">
        <v>25</v>
      </c>
      <c r="S31" s="755">
        <f t="shared" si="12"/>
        <v>100</v>
      </c>
      <c r="T31" s="754" t="s">
        <v>25</v>
      </c>
      <c r="U31" s="755">
        <f t="shared" si="13"/>
        <v>100</v>
      </c>
      <c r="V31" s="754" t="s">
        <v>25</v>
      </c>
      <c r="W31" s="755">
        <f t="shared" si="14"/>
        <v>100</v>
      </c>
      <c r="X31" s="1906"/>
      <c r="Y31" s="3034"/>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4"/>
      <c r="Q32" s="1905" t="str">
        <f t="shared" si="11"/>
        <v>公共部分装修</v>
      </c>
      <c r="R32" s="754" t="s">
        <v>25</v>
      </c>
      <c r="S32" s="755">
        <f t="shared" si="12"/>
        <v>100</v>
      </c>
      <c r="T32" s="754" t="s">
        <v>25</v>
      </c>
      <c r="U32" s="755">
        <f t="shared" si="13"/>
        <v>100</v>
      </c>
      <c r="V32" s="754" t="s">
        <v>25</v>
      </c>
      <c r="W32" s="755">
        <f t="shared" si="14"/>
        <v>100</v>
      </c>
      <c r="X32" s="1906"/>
      <c r="Y32" s="3034"/>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4"/>
      <c r="Q33" s="1905" t="str">
        <f t="shared" si="11"/>
        <v>成新度</v>
      </c>
      <c r="R33" s="754" t="s">
        <v>25</v>
      </c>
      <c r="S33" s="755" t="e">
        <f t="shared" si="12"/>
        <v>#N/A</v>
      </c>
      <c r="T33" s="754" t="s">
        <v>25</v>
      </c>
      <c r="U33" s="755" t="e">
        <f t="shared" si="13"/>
        <v>#N/A</v>
      </c>
      <c r="V33" s="754" t="s">
        <v>25</v>
      </c>
      <c r="W33" s="755" t="e">
        <f t="shared" si="14"/>
        <v>#N/A</v>
      </c>
      <c r="X33" s="1906"/>
      <c r="Y33" s="3034"/>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4"/>
      <c r="Q34" s="1893" t="str">
        <f t="shared" si="11"/>
        <v>物业管理</v>
      </c>
      <c r="R34" s="750" t="s">
        <v>25</v>
      </c>
      <c r="S34" s="751">
        <f t="shared" si="12"/>
        <v>100</v>
      </c>
      <c r="T34" s="750" t="s">
        <v>25</v>
      </c>
      <c r="U34" s="751">
        <f t="shared" si="13"/>
        <v>100</v>
      </c>
      <c r="V34" s="750" t="s">
        <v>25</v>
      </c>
      <c r="W34" s="751">
        <f t="shared" si="14"/>
        <v>100</v>
      </c>
      <c r="X34" s="752"/>
      <c r="Y34" s="3034"/>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4" t="s">
        <v>2372</v>
      </c>
      <c r="Q35" s="1905" t="str">
        <f t="shared" si="11"/>
        <v>市政基础设施</v>
      </c>
      <c r="R35" s="754" t="s">
        <v>25</v>
      </c>
      <c r="S35" s="755">
        <f t="shared" si="12"/>
        <v>100</v>
      </c>
      <c r="T35" s="754" t="s">
        <v>25</v>
      </c>
      <c r="U35" s="755">
        <f t="shared" si="13"/>
        <v>100</v>
      </c>
      <c r="V35" s="754" t="s">
        <v>25</v>
      </c>
      <c r="W35" s="755">
        <f t="shared" si="14"/>
        <v>100</v>
      </c>
      <c r="X35" s="1906"/>
      <c r="Y35" s="3034"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4"/>
      <c r="Q36" s="1905" t="str">
        <f t="shared" si="11"/>
        <v>内部装修</v>
      </c>
      <c r="R36" s="754" t="s">
        <v>25</v>
      </c>
      <c r="S36" s="755">
        <f t="shared" si="12"/>
        <v>100</v>
      </c>
      <c r="T36" s="754" t="s">
        <v>25</v>
      </c>
      <c r="U36" s="755">
        <f t="shared" si="13"/>
        <v>100</v>
      </c>
      <c r="V36" s="754" t="s">
        <v>25</v>
      </c>
      <c r="W36" s="755">
        <f t="shared" si="14"/>
        <v>100</v>
      </c>
      <c r="X36" s="1906"/>
      <c r="Y36" s="3034"/>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4"/>
      <c r="Q37" s="1905" t="str">
        <f t="shared" si="11"/>
        <v>内部装修状况</v>
      </c>
      <c r="R37" s="754" t="s">
        <v>25</v>
      </c>
      <c r="S37" s="755">
        <f t="shared" si="12"/>
        <v>0</v>
      </c>
      <c r="T37" s="754" t="s">
        <v>25</v>
      </c>
      <c r="U37" s="755">
        <f t="shared" si="13"/>
        <v>0</v>
      </c>
      <c r="V37" s="754" t="s">
        <v>25</v>
      </c>
      <c r="W37" s="755">
        <f t="shared" si="14"/>
        <v>0</v>
      </c>
      <c r="X37" s="1906"/>
      <c r="Y37" s="3034"/>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4"/>
      <c r="Q38" s="756">
        <f t="shared" si="11"/>
        <v>111</v>
      </c>
      <c r="R38" s="757" t="s">
        <v>25</v>
      </c>
      <c r="S38" s="758">
        <f t="shared" si="12"/>
        <v>100</v>
      </c>
      <c r="T38" s="757" t="s">
        <v>25</v>
      </c>
      <c r="U38" s="758">
        <f t="shared" si="13"/>
        <v>100</v>
      </c>
      <c r="V38" s="757" t="s">
        <v>25</v>
      </c>
      <c r="W38" s="758">
        <f t="shared" si="14"/>
        <v>100</v>
      </c>
      <c r="X38" s="759"/>
      <c r="Y38" s="3034"/>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4"/>
      <c r="Q39" s="1905">
        <f t="shared" si="11"/>
        <v>111</v>
      </c>
      <c r="R39" s="754" t="s">
        <v>25</v>
      </c>
      <c r="S39" s="755">
        <f t="shared" si="12"/>
        <v>100</v>
      </c>
      <c r="T39" s="754" t="s">
        <v>25</v>
      </c>
      <c r="U39" s="755">
        <f t="shared" si="13"/>
        <v>100</v>
      </c>
      <c r="V39" s="754" t="s">
        <v>25</v>
      </c>
      <c r="W39" s="755">
        <f t="shared" si="14"/>
        <v>100</v>
      </c>
      <c r="X39" s="1906"/>
      <c r="Y39" s="3034"/>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5"/>
      <c r="Q40" s="1905">
        <f t="shared" si="11"/>
        <v>111</v>
      </c>
      <c r="R40" s="754" t="s">
        <v>25</v>
      </c>
      <c r="S40" s="755">
        <f t="shared" si="12"/>
        <v>100</v>
      </c>
      <c r="T40" s="754" t="s">
        <v>25</v>
      </c>
      <c r="U40" s="755">
        <f t="shared" si="13"/>
        <v>100</v>
      </c>
      <c r="V40" s="754" t="s">
        <v>25</v>
      </c>
      <c r="W40" s="755">
        <f t="shared" si="14"/>
        <v>100</v>
      </c>
      <c r="X40" s="1906"/>
      <c r="Y40" s="3035"/>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6" t="str">
        <f>A41</f>
        <v>成交单价（元/平方米）</v>
      </c>
      <c r="Q41" s="3026"/>
      <c r="R41" s="3022">
        <f>E41</f>
        <v>0</v>
      </c>
      <c r="S41" s="3022"/>
      <c r="T41" s="3022">
        <f>G41</f>
        <v>0</v>
      </c>
      <c r="U41" s="3022"/>
      <c r="V41" s="3022">
        <f>I41</f>
        <v>0</v>
      </c>
      <c r="W41" s="3022"/>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6" t="str">
        <f>A42</f>
        <v>比较价值（元/平方米）</v>
      </c>
      <c r="Q42" s="3026"/>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3" t="str">
        <f>A43</f>
        <v>估价对象XX用房的比较价值（楼面单价，元/平方米）</v>
      </c>
      <c r="Q43" s="3024"/>
      <c r="R43" s="3025" t="e">
        <f>IF(E1="售价",ROUND(AVERAGE(R42:V42),0),ROUND(AVERAGE(R42:V42),1))</f>
        <v>#DIV/0!</v>
      </c>
      <c r="S43" s="3025"/>
      <c r="T43" s="3025"/>
      <c r="U43" s="3025"/>
      <c r="V43" s="3025"/>
      <c r="W43" s="302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2018-2</v>
      </c>
      <c r="D52" s="1685">
        <f>EDATE(C52,-1)</f>
        <v>43101</v>
      </c>
      <c r="E52" s="1686">
        <f t="shared" ref="E52:O52" si="16">EDATE(D52,-1)</f>
        <v>43070</v>
      </c>
      <c r="F52" s="1686">
        <f t="shared" si="16"/>
        <v>43040</v>
      </c>
      <c r="G52" s="1686">
        <f t="shared" si="16"/>
        <v>43009</v>
      </c>
      <c r="H52" s="1686">
        <f t="shared" si="16"/>
        <v>42979</v>
      </c>
      <c r="I52" s="1686">
        <f t="shared" si="16"/>
        <v>42948</v>
      </c>
      <c r="J52" s="1686">
        <f t="shared" si="16"/>
        <v>42917</v>
      </c>
      <c r="K52" s="1686">
        <f t="shared" si="16"/>
        <v>42887</v>
      </c>
      <c r="L52" s="1686">
        <f t="shared" si="16"/>
        <v>42856</v>
      </c>
      <c r="M52" s="1686">
        <f t="shared" si="16"/>
        <v>42826</v>
      </c>
      <c r="N52" s="1686">
        <f t="shared" si="16"/>
        <v>42795</v>
      </c>
      <c r="O52" s="1686">
        <f t="shared" si="16"/>
        <v>42767</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87.32</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516"/>
      <c r="M4" s="426"/>
      <c r="N4" s="426"/>
      <c r="O4" s="42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516"/>
      <c r="M5" s="426"/>
      <c r="N5" s="426"/>
      <c r="O5" s="42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516"/>
      <c r="M6" s="426"/>
      <c r="N6" s="426"/>
      <c r="O6" s="42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43143</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0" t="s">
        <v>2358</v>
      </c>
      <c r="Q8" s="3041"/>
      <c r="R8" s="750" t="s">
        <v>25</v>
      </c>
      <c r="S8" s="751">
        <f t="shared" si="0"/>
        <v>0</v>
      </c>
      <c r="T8" s="750" t="s">
        <v>25</v>
      </c>
      <c r="U8" s="751">
        <f t="shared" si="1"/>
        <v>0</v>
      </c>
      <c r="V8" s="750" t="s">
        <v>25</v>
      </c>
      <c r="W8" s="751">
        <f t="shared" si="2"/>
        <v>0</v>
      </c>
      <c r="X8" s="752"/>
      <c r="Y8" s="3040" t="s">
        <v>2358</v>
      </c>
      <c r="Z8" s="3041"/>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42.5">
      <c r="A14" s="381" t="s">
        <v>2365</v>
      </c>
      <c r="B14" s="614" t="s">
        <v>2509</v>
      </c>
      <c r="C14" s="1482" t="str">
        <f>IF(B1="工业",估价对象房地状况!G4,估价对象房地状况!C6)</f>
        <v>估价对象紧邻城市次干道——新西路，以估价对象为中心半径2公里范围内有密2路、密12路、密13路等公交线路，综合评价交通便捷度一般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0"/>
      <c r="Q15" s="1905"/>
      <c r="R15" s="754"/>
      <c r="S15" s="755"/>
      <c r="T15" s="754"/>
      <c r="U15" s="755"/>
      <c r="V15" s="754"/>
      <c r="W15" s="755"/>
      <c r="X15" s="1906"/>
      <c r="Y15" s="3030"/>
      <c r="Z15" s="1908"/>
      <c r="AA15" s="1909">
        <v>1</v>
      </c>
      <c r="AB15" s="1909">
        <v>1</v>
      </c>
      <c r="AC15" s="1909">
        <v>1</v>
      </c>
    </row>
    <row r="16" spans="1:29" ht="42.75">
      <c r="A16" s="384"/>
      <c r="B16" s="616" t="s">
        <v>2481</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0"/>
      <c r="Q17" s="1905"/>
      <c r="R17" s="754"/>
      <c r="S17" s="755"/>
      <c r="T17" s="754"/>
      <c r="U17" s="755"/>
      <c r="V17" s="754"/>
      <c r="W17" s="755"/>
      <c r="X17" s="1906"/>
      <c r="Y17" s="3030"/>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0"/>
      <c r="Q19" s="1905"/>
      <c r="R19" s="754"/>
      <c r="S19" s="755"/>
      <c r="T19" s="754"/>
      <c r="U19" s="755"/>
      <c r="V19" s="754"/>
      <c r="W19" s="755"/>
      <c r="X19" s="1906"/>
      <c r="Y19" s="3030"/>
      <c r="Z19" s="1908"/>
      <c r="AA19" s="1909">
        <v>1</v>
      </c>
      <c r="AB19" s="1909">
        <v>1</v>
      </c>
      <c r="AC19" s="1909">
        <v>1</v>
      </c>
    </row>
    <row r="20" spans="1:29" ht="99.75">
      <c r="A20" s="384"/>
      <c r="B20" s="616" t="s">
        <v>2510</v>
      </c>
      <c r="C20" s="1484" t="str">
        <f>IF(B1="工业",估价对象房地状况!G7,估价对象房地状况!C9)</f>
        <v>自然环境：滨河公园、白河郊野公园、密西公园等；人文环境：密云区博物馆、密云区政府等，综合评价环境状况较好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0"/>
      <c r="Q21" s="1905"/>
      <c r="R21" s="754"/>
      <c r="S21" s="755"/>
      <c r="T21" s="754"/>
      <c r="U21" s="755"/>
      <c r="V21" s="754"/>
      <c r="W21" s="755"/>
      <c r="X21" s="1906"/>
      <c r="Y21" s="3030"/>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0"/>
      <c r="Q24" s="1905">
        <f t="shared" ref="Q24:Q36"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4"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4"/>
      <c r="Q27" s="756" t="str">
        <f t="shared" si="11"/>
        <v>项目停车位配比</v>
      </c>
      <c r="R27" s="757" t="s">
        <v>25</v>
      </c>
      <c r="S27" s="758">
        <f t="shared" si="12"/>
        <v>100</v>
      </c>
      <c r="T27" s="757" t="s">
        <v>25</v>
      </c>
      <c r="U27" s="758">
        <f t="shared" si="13"/>
        <v>100</v>
      </c>
      <c r="V27" s="757" t="s">
        <v>25</v>
      </c>
      <c r="W27" s="758">
        <f t="shared" si="14"/>
        <v>100</v>
      </c>
      <c r="X27" s="759"/>
      <c r="Y27" s="3034"/>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4"/>
      <c r="Q28" s="1905" t="str">
        <f t="shared" si="11"/>
        <v>公共部分装修</v>
      </c>
      <c r="R28" s="754" t="s">
        <v>25</v>
      </c>
      <c r="S28" s="755">
        <f t="shared" si="12"/>
        <v>100</v>
      </c>
      <c r="T28" s="754" t="s">
        <v>25</v>
      </c>
      <c r="U28" s="755">
        <f t="shared" si="13"/>
        <v>100</v>
      </c>
      <c r="V28" s="754" t="s">
        <v>25</v>
      </c>
      <c r="W28" s="755">
        <f t="shared" si="14"/>
        <v>100</v>
      </c>
      <c r="X28" s="1906"/>
      <c r="Y28" s="3034"/>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4"/>
      <c r="Q29" s="1905" t="str">
        <f t="shared" si="11"/>
        <v>成新率</v>
      </c>
      <c r="R29" s="754" t="s">
        <v>25</v>
      </c>
      <c r="S29" s="755" t="e">
        <f t="shared" si="12"/>
        <v>#N/A</v>
      </c>
      <c r="T29" s="754" t="s">
        <v>25</v>
      </c>
      <c r="U29" s="755" t="e">
        <f t="shared" si="13"/>
        <v>#N/A</v>
      </c>
      <c r="V29" s="754" t="s">
        <v>25</v>
      </c>
      <c r="W29" s="755" t="e">
        <f t="shared" si="14"/>
        <v>#N/A</v>
      </c>
      <c r="X29" s="1906"/>
      <c r="Y29" s="3034"/>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4"/>
      <c r="Q30" s="1905" t="str">
        <f t="shared" si="11"/>
        <v>物业等级</v>
      </c>
      <c r="R30" s="754" t="s">
        <v>25</v>
      </c>
      <c r="S30" s="755">
        <f t="shared" si="12"/>
        <v>100</v>
      </c>
      <c r="T30" s="754" t="s">
        <v>25</v>
      </c>
      <c r="U30" s="755">
        <f t="shared" si="13"/>
        <v>100</v>
      </c>
      <c r="V30" s="754" t="s">
        <v>25</v>
      </c>
      <c r="W30" s="755">
        <f t="shared" si="14"/>
        <v>100</v>
      </c>
      <c r="X30" s="1906"/>
      <c r="Y30" s="3034"/>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4"/>
      <c r="Q31" s="1893" t="str">
        <f t="shared" si="11"/>
        <v>停车位面积</v>
      </c>
      <c r="R31" s="750" t="s">
        <v>25</v>
      </c>
      <c r="S31" s="751" t="e">
        <f t="shared" si="12"/>
        <v>#N/A</v>
      </c>
      <c r="T31" s="750" t="s">
        <v>25</v>
      </c>
      <c r="U31" s="751" t="e">
        <f t="shared" si="13"/>
        <v>#N/A</v>
      </c>
      <c r="V31" s="750" t="s">
        <v>25</v>
      </c>
      <c r="W31" s="751" t="e">
        <f t="shared" si="14"/>
        <v>#N/A</v>
      </c>
      <c r="X31" s="752"/>
      <c r="Y31" s="3034"/>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4" t="s">
        <v>2372</v>
      </c>
      <c r="Q32" s="1905" t="str">
        <f t="shared" si="11"/>
        <v>车位类型</v>
      </c>
      <c r="R32" s="754" t="s">
        <v>25</v>
      </c>
      <c r="S32" s="755">
        <f t="shared" si="12"/>
        <v>100</v>
      </c>
      <c r="T32" s="754" t="s">
        <v>25</v>
      </c>
      <c r="U32" s="755">
        <f t="shared" si="13"/>
        <v>100</v>
      </c>
      <c r="V32" s="754" t="s">
        <v>25</v>
      </c>
      <c r="W32" s="755">
        <f t="shared" si="14"/>
        <v>100</v>
      </c>
      <c r="X32" s="1906"/>
      <c r="Y32" s="3034"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4"/>
      <c r="Q33" s="1905" t="str">
        <f t="shared" si="11"/>
        <v>是否直接入户</v>
      </c>
      <c r="R33" s="754" t="s">
        <v>25</v>
      </c>
      <c r="S33" s="755">
        <f t="shared" si="12"/>
        <v>100</v>
      </c>
      <c r="T33" s="754" t="s">
        <v>25</v>
      </c>
      <c r="U33" s="755">
        <f t="shared" si="13"/>
        <v>100</v>
      </c>
      <c r="V33" s="754" t="s">
        <v>25</v>
      </c>
      <c r="W33" s="755">
        <f t="shared" si="14"/>
        <v>100</v>
      </c>
      <c r="X33" s="1906"/>
      <c r="Y33" s="3034"/>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4"/>
      <c r="Q35" s="756">
        <f t="shared" si="11"/>
        <v>111</v>
      </c>
      <c r="R35" s="757" t="s">
        <v>25</v>
      </c>
      <c r="S35" s="758">
        <f t="shared" si="12"/>
        <v>100</v>
      </c>
      <c r="T35" s="757" t="s">
        <v>25</v>
      </c>
      <c r="U35" s="758">
        <f t="shared" si="13"/>
        <v>100</v>
      </c>
      <c r="V35" s="757" t="s">
        <v>25</v>
      </c>
      <c r="W35" s="758">
        <f t="shared" si="14"/>
        <v>100</v>
      </c>
      <c r="X35" s="759"/>
      <c r="Y35" s="3034"/>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4"/>
      <c r="Q36" s="1905">
        <f t="shared" si="11"/>
        <v>111</v>
      </c>
      <c r="R36" s="754" t="s">
        <v>25</v>
      </c>
      <c r="S36" s="755">
        <f t="shared" si="12"/>
        <v>100</v>
      </c>
      <c r="T36" s="754" t="s">
        <v>25</v>
      </c>
      <c r="U36" s="755">
        <f t="shared" si="13"/>
        <v>100</v>
      </c>
      <c r="V36" s="754" t="s">
        <v>25</v>
      </c>
      <c r="W36" s="755">
        <f t="shared" si="14"/>
        <v>100</v>
      </c>
      <c r="X36" s="1906"/>
      <c r="Y36" s="3034"/>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6" t="str">
        <f>A37</f>
        <v>成交单价</v>
      </c>
      <c r="Q37" s="3026"/>
      <c r="R37" s="3022">
        <f>E37</f>
        <v>0</v>
      </c>
      <c r="S37" s="3022"/>
      <c r="T37" s="3022">
        <f>G37</f>
        <v>0</v>
      </c>
      <c r="U37" s="3022"/>
      <c r="V37" s="3022">
        <f>I37</f>
        <v>0</v>
      </c>
      <c r="W37" s="3022"/>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6" t="str">
        <f>A38</f>
        <v>比较价值</v>
      </c>
      <c r="Q38" s="3026"/>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3" t="str">
        <f>A39</f>
        <v>估价对象XX用房的比较价值（楼面单价，元/平方米）</v>
      </c>
      <c r="Q39" s="3024"/>
      <c r="R39" s="3025" t="e">
        <f>IF(E1="售价",ROUND(AVERAGE(R38:V38),0),ROUND(AVERAGE(R38:V38),1))</f>
        <v>#DIV/0!</v>
      </c>
      <c r="S39" s="3025"/>
      <c r="T39" s="3025"/>
      <c r="U39" s="3025"/>
      <c r="V39" s="3025"/>
      <c r="W39" s="302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2018-2</v>
      </c>
      <c r="D48" s="1685">
        <f>EDATE(C48,-1)</f>
        <v>43101</v>
      </c>
      <c r="E48" s="1685">
        <f t="shared" ref="E48:O48" si="16">EDATE(D48,-1)</f>
        <v>43070</v>
      </c>
      <c r="F48" s="1685">
        <f t="shared" si="16"/>
        <v>43040</v>
      </c>
      <c r="G48" s="1685">
        <f t="shared" si="16"/>
        <v>43009</v>
      </c>
      <c r="H48" s="1685">
        <f t="shared" si="16"/>
        <v>42979</v>
      </c>
      <c r="I48" s="1685">
        <f t="shared" si="16"/>
        <v>42948</v>
      </c>
      <c r="J48" s="1685">
        <f t="shared" si="16"/>
        <v>42917</v>
      </c>
      <c r="K48" s="1685">
        <f t="shared" si="16"/>
        <v>42887</v>
      </c>
      <c r="L48" s="1685">
        <f t="shared" si="16"/>
        <v>42856</v>
      </c>
      <c r="M48" s="1685">
        <f t="shared" si="16"/>
        <v>42826</v>
      </c>
      <c r="N48" s="1685">
        <f t="shared" si="16"/>
        <v>42795</v>
      </c>
      <c r="O48" s="1685">
        <f t="shared" si="16"/>
        <v>42767</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43143</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42.5">
      <c r="A14" s="420" t="s">
        <v>2365</v>
      </c>
      <c r="B14" s="26" t="s">
        <v>2509</v>
      </c>
      <c r="C14" s="2486" t="str">
        <f>IF(B1="工业",估价对象房地状况!G4,估价对象房地状况!C6)</f>
        <v>估价对象紧邻城市次干道——新西路，以估价对象为中心半径2公里范围内有密2路、密12路、密13路等公交线路，综合评价交通便捷度一般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0"/>
      <c r="Q15" s="1905"/>
      <c r="R15" s="754"/>
      <c r="S15" s="755"/>
      <c r="T15" s="754"/>
      <c r="U15" s="755"/>
      <c r="V15" s="754"/>
      <c r="W15" s="755"/>
      <c r="X15" s="1906"/>
      <c r="Y15" s="3030"/>
      <c r="Z15" s="1908"/>
      <c r="AA15" s="1909">
        <v>1</v>
      </c>
      <c r="AB15" s="1909">
        <v>1</v>
      </c>
      <c r="AC15" s="1909">
        <v>1</v>
      </c>
    </row>
    <row r="16" spans="1:29" ht="42.75">
      <c r="A16" s="409"/>
      <c r="B16" s="616" t="s">
        <v>2481</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0"/>
      <c r="Q17" s="1905"/>
      <c r="R17" s="754"/>
      <c r="S17" s="755"/>
      <c r="T17" s="754"/>
      <c r="U17" s="755"/>
      <c r="V17" s="754"/>
      <c r="W17" s="755"/>
      <c r="X17" s="1906"/>
      <c r="Y17" s="3030"/>
      <c r="Z17" s="1908"/>
      <c r="AA17" s="1909">
        <v>1</v>
      </c>
      <c r="AB17" s="1909">
        <v>1</v>
      </c>
      <c r="AC17" s="1909">
        <v>1</v>
      </c>
    </row>
    <row r="18" spans="1:29" ht="42.75">
      <c r="A18" s="409"/>
      <c r="B18" s="618" t="s">
        <v>2482</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0"/>
      <c r="Q19" s="1905"/>
      <c r="R19" s="754"/>
      <c r="S19" s="755"/>
      <c r="T19" s="754"/>
      <c r="U19" s="755"/>
      <c r="V19" s="754"/>
      <c r="W19" s="755"/>
      <c r="X19" s="1906"/>
      <c r="Y19" s="3030"/>
      <c r="Z19" s="1908"/>
      <c r="AA19" s="1909">
        <v>1</v>
      </c>
      <c r="AB19" s="1909">
        <v>1</v>
      </c>
      <c r="AC19" s="1909">
        <v>1</v>
      </c>
    </row>
    <row r="20" spans="1:29" ht="99.75">
      <c r="A20" s="409"/>
      <c r="B20" s="432" t="s">
        <v>2510</v>
      </c>
      <c r="C20" s="2413" t="str">
        <f>IF(B1="工业",估价对象房地状况!G7,估价对象房地状况!C9)</f>
        <v>自然环境：滨河公园、白河郊野公园、密西公园等；人文环境：密云区博物馆、密云区政府等，综合评价环境状况较好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0"/>
      <c r="Q21" s="1905"/>
      <c r="R21" s="754"/>
      <c r="S21" s="755"/>
      <c r="T21" s="754"/>
      <c r="U21" s="755"/>
      <c r="V21" s="754"/>
      <c r="W21" s="755"/>
      <c r="X21" s="1906"/>
      <c r="Y21" s="3030"/>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0"/>
      <c r="Q24" s="1905">
        <f t="shared" ref="Q24:Q34"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4"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4"/>
      <c r="Q27" s="756" t="str">
        <f t="shared" si="11"/>
        <v>成新率</v>
      </c>
      <c r="R27" s="757" t="s">
        <v>25</v>
      </c>
      <c r="S27" s="758" t="e">
        <f t="shared" si="12"/>
        <v>#N/A</v>
      </c>
      <c r="T27" s="757" t="s">
        <v>25</v>
      </c>
      <c r="U27" s="758" t="e">
        <f t="shared" si="13"/>
        <v>#N/A</v>
      </c>
      <c r="V27" s="757" t="s">
        <v>25</v>
      </c>
      <c r="W27" s="758" t="e">
        <f t="shared" si="14"/>
        <v>#N/A</v>
      </c>
      <c r="X27" s="759"/>
      <c r="Y27" s="3034"/>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4"/>
      <c r="Q28" s="1905" t="str">
        <f t="shared" si="11"/>
        <v>物业等级</v>
      </c>
      <c r="R28" s="754" t="s">
        <v>25</v>
      </c>
      <c r="S28" s="755">
        <f t="shared" si="12"/>
        <v>100</v>
      </c>
      <c r="T28" s="754" t="s">
        <v>25</v>
      </c>
      <c r="U28" s="755">
        <f t="shared" si="13"/>
        <v>100</v>
      </c>
      <c r="V28" s="754" t="s">
        <v>25</v>
      </c>
      <c r="W28" s="755">
        <f t="shared" si="14"/>
        <v>100</v>
      </c>
      <c r="X28" s="1906"/>
      <c r="Y28" s="3034"/>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4"/>
      <c r="Q29" s="1905" t="str">
        <f t="shared" si="11"/>
        <v>有无电梯</v>
      </c>
      <c r="R29" s="754" t="s">
        <v>25</v>
      </c>
      <c r="S29" s="755">
        <f t="shared" si="12"/>
        <v>100</v>
      </c>
      <c r="T29" s="754" t="s">
        <v>25</v>
      </c>
      <c r="U29" s="755">
        <f t="shared" si="13"/>
        <v>100</v>
      </c>
      <c r="V29" s="754" t="s">
        <v>25</v>
      </c>
      <c r="W29" s="755">
        <f t="shared" si="14"/>
        <v>100</v>
      </c>
      <c r="X29" s="1906"/>
      <c r="Y29" s="3034"/>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4"/>
      <c r="Q30" s="1905" t="str">
        <f t="shared" si="11"/>
        <v>建筑面积</v>
      </c>
      <c r="R30" s="754" t="s">
        <v>25</v>
      </c>
      <c r="S30" s="755" t="e">
        <f t="shared" si="12"/>
        <v>#N/A</v>
      </c>
      <c r="T30" s="754" t="s">
        <v>25</v>
      </c>
      <c r="U30" s="755" t="e">
        <f t="shared" si="13"/>
        <v>#N/A</v>
      </c>
      <c r="V30" s="754" t="s">
        <v>25</v>
      </c>
      <c r="W30" s="755" t="e">
        <f t="shared" si="14"/>
        <v>#N/A</v>
      </c>
      <c r="X30" s="1906"/>
      <c r="Y30" s="3034"/>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4"/>
      <c r="Q31" s="1893" t="str">
        <f t="shared" si="11"/>
        <v>是否封闭</v>
      </c>
      <c r="R31" s="750" t="s">
        <v>25</v>
      </c>
      <c r="S31" s="751">
        <f t="shared" si="12"/>
        <v>100</v>
      </c>
      <c r="T31" s="750" t="s">
        <v>25</v>
      </c>
      <c r="U31" s="751">
        <f t="shared" si="13"/>
        <v>100</v>
      </c>
      <c r="V31" s="750" t="s">
        <v>25</v>
      </c>
      <c r="W31" s="751">
        <f t="shared" si="14"/>
        <v>100</v>
      </c>
      <c r="X31" s="752"/>
      <c r="Y31" s="3034"/>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4" t="s">
        <v>2372</v>
      </c>
      <c r="Q32" s="1905">
        <f t="shared" si="11"/>
        <v>111</v>
      </c>
      <c r="R32" s="754" t="s">
        <v>25</v>
      </c>
      <c r="S32" s="755">
        <f t="shared" si="12"/>
        <v>100</v>
      </c>
      <c r="T32" s="754" t="s">
        <v>25</v>
      </c>
      <c r="U32" s="755">
        <f t="shared" si="13"/>
        <v>100</v>
      </c>
      <c r="V32" s="754" t="s">
        <v>25</v>
      </c>
      <c r="W32" s="755">
        <f t="shared" si="14"/>
        <v>100</v>
      </c>
      <c r="X32" s="1906"/>
      <c r="Y32" s="3034"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4"/>
      <c r="Q33" s="1905">
        <f t="shared" si="11"/>
        <v>111</v>
      </c>
      <c r="R33" s="754" t="s">
        <v>25</v>
      </c>
      <c r="S33" s="755">
        <f t="shared" si="12"/>
        <v>100</v>
      </c>
      <c r="T33" s="754" t="s">
        <v>25</v>
      </c>
      <c r="U33" s="755">
        <f t="shared" si="13"/>
        <v>100</v>
      </c>
      <c r="V33" s="754" t="s">
        <v>25</v>
      </c>
      <c r="W33" s="755">
        <f t="shared" si="14"/>
        <v>100</v>
      </c>
      <c r="X33" s="1906"/>
      <c r="Y33" s="3034"/>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6" t="str">
        <f>A35</f>
        <v>成交单价（元/平方米）</v>
      </c>
      <c r="Q35" s="3026"/>
      <c r="R35" s="3022">
        <f>E35</f>
        <v>0</v>
      </c>
      <c r="S35" s="3022"/>
      <c r="T35" s="3022">
        <f>G35</f>
        <v>0</v>
      </c>
      <c r="U35" s="3022"/>
      <c r="V35" s="3022">
        <f>I35</f>
        <v>0</v>
      </c>
      <c r="W35" s="3022"/>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6" t="str">
        <f>A36</f>
        <v>比较价值（元/平方米）</v>
      </c>
      <c r="Q36" s="3026"/>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3" t="str">
        <f>A37</f>
        <v>估价对象XX用房的比较价值（楼面单价，元/平方米）</v>
      </c>
      <c r="Q37" s="3024"/>
      <c r="R37" s="3025" t="e">
        <f>IF(E1="售价",ROUND(AVERAGE(R36:V36),0),ROUND(AVERAGE(R36:V36),1))</f>
        <v>#DIV/0!</v>
      </c>
      <c r="S37" s="3025"/>
      <c r="T37" s="3025"/>
      <c r="U37" s="3025"/>
      <c r="V37" s="3025"/>
      <c r="W37" s="302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2018-2</v>
      </c>
      <c r="D46" s="1685">
        <f>EDATE(C46,-1)</f>
        <v>43101</v>
      </c>
      <c r="E46" s="1685">
        <f t="shared" ref="E46:O46" si="16">EDATE(D46,-1)</f>
        <v>43070</v>
      </c>
      <c r="F46" s="1685">
        <f t="shared" si="16"/>
        <v>43040</v>
      </c>
      <c r="G46" s="1685">
        <f t="shared" si="16"/>
        <v>43009</v>
      </c>
      <c r="H46" s="1685">
        <f t="shared" si="16"/>
        <v>42979</v>
      </c>
      <c r="I46" s="1685">
        <f t="shared" si="16"/>
        <v>42948</v>
      </c>
      <c r="J46" s="1685">
        <f t="shared" si="16"/>
        <v>42917</v>
      </c>
      <c r="K46" s="1685">
        <f t="shared" si="16"/>
        <v>42887</v>
      </c>
      <c r="L46" s="1685">
        <f t="shared" si="16"/>
        <v>42856</v>
      </c>
      <c r="M46" s="1685">
        <f t="shared" si="16"/>
        <v>42826</v>
      </c>
      <c r="N46" s="1685">
        <f t="shared" si="16"/>
        <v>42795</v>
      </c>
      <c r="O46" s="1685">
        <f t="shared" si="16"/>
        <v>42767</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30"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30"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30" s="35" customFormat="1" ht="15.75" thickBot="1">
      <c r="A7" s="388" t="s">
        <v>2354</v>
      </c>
      <c r="B7" s="389"/>
      <c r="C7" s="390">
        <f>'数据-取费表'!B2</f>
        <v>43143</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102</v>
      </c>
      <c r="G10" s="445"/>
      <c r="H10" s="52">
        <f>ROUND(100/'数据-取费表'!B14,0)</f>
        <v>102</v>
      </c>
      <c r="I10" s="445"/>
      <c r="J10" s="52">
        <f>ROUND(100/'数据-取费表'!B14,0)</f>
        <v>102</v>
      </c>
      <c r="K10" s="656"/>
      <c r="L10" s="1250"/>
      <c r="M10" s="1251"/>
      <c r="N10" s="1251"/>
      <c r="O10" s="1252"/>
      <c r="P10" s="3026"/>
      <c r="Q10" s="1893" t="str">
        <f t="shared" si="6"/>
        <v>土地使用年限（年）</v>
      </c>
      <c r="R10" s="750" t="s">
        <v>25</v>
      </c>
      <c r="S10" s="751">
        <f t="shared" si="0"/>
        <v>102</v>
      </c>
      <c r="T10" s="750" t="s">
        <v>25</v>
      </c>
      <c r="U10" s="751">
        <f t="shared" si="1"/>
        <v>102</v>
      </c>
      <c r="V10" s="750" t="s">
        <v>25</v>
      </c>
      <c r="W10" s="751">
        <f t="shared" si="2"/>
        <v>102</v>
      </c>
      <c r="X10" s="752"/>
      <c r="Y10" s="2855"/>
      <c r="Z10" s="23" t="str">
        <f t="shared" si="7"/>
        <v>土地使用年限（年）</v>
      </c>
      <c r="AA10" s="753">
        <f t="shared" si="3"/>
        <v>0.98039215686274506</v>
      </c>
      <c r="AB10" s="753">
        <f t="shared" si="4"/>
        <v>0.98039215686274506</v>
      </c>
      <c r="AC10" s="753">
        <f t="shared" si="5"/>
        <v>0.98039215686274506</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6"/>
      <c r="Q12" s="1893" t="str">
        <f t="shared" si="6"/>
        <v>配建</v>
      </c>
      <c r="R12" s="750" t="s">
        <v>25</v>
      </c>
      <c r="S12" s="751">
        <f t="shared" si="0"/>
        <v>100</v>
      </c>
      <c r="T12" s="750" t="s">
        <v>25</v>
      </c>
      <c r="U12" s="751">
        <f t="shared" si="1"/>
        <v>100</v>
      </c>
      <c r="V12" s="750" t="s">
        <v>25</v>
      </c>
      <c r="W12" s="751">
        <f t="shared" si="2"/>
        <v>100</v>
      </c>
      <c r="X12" s="752"/>
      <c r="Y12" s="285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D14/F14</f>
        <v>1</v>
      </c>
      <c r="AB14" s="753">
        <f>D14/H14</f>
        <v>1</v>
      </c>
      <c r="AC14" s="753">
        <f>D14/J14</f>
        <v>1</v>
      </c>
    </row>
    <row r="15" spans="1:30" ht="71.25">
      <c r="A15" s="381" t="s">
        <v>2365</v>
      </c>
      <c r="B15" s="1489" t="s">
        <v>1742</v>
      </c>
      <c r="C15" s="2474" t="str">
        <f>估价对象房地状况!C15</f>
        <v>估价对象周围有康居小区、果园新里、大唐庄、密西花园等住宅小区</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9" t="s">
        <v>2366</v>
      </c>
      <c r="Q15" s="1905" t="str">
        <f t="shared" si="6"/>
        <v>居住社区成熟度</v>
      </c>
      <c r="R15" s="754" t="s">
        <v>25</v>
      </c>
      <c r="S15" s="755">
        <f t="shared" si="0"/>
        <v>100</v>
      </c>
      <c r="T15" s="754" t="s">
        <v>25</v>
      </c>
      <c r="U15" s="755">
        <f t="shared" si="1"/>
        <v>100</v>
      </c>
      <c r="V15" s="754" t="s">
        <v>25</v>
      </c>
      <c r="W15" s="755">
        <f t="shared" si="2"/>
        <v>100</v>
      </c>
      <c r="X15" s="1906"/>
      <c r="Y15" s="3029"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0"/>
      <c r="Q17" s="1905" t="str">
        <f>B17</f>
        <v>商业繁华度</v>
      </c>
      <c r="R17" s="754" t="s">
        <v>25</v>
      </c>
      <c r="S17" s="755">
        <f>F17</f>
        <v>100</v>
      </c>
      <c r="T17" s="754" t="s">
        <v>25</v>
      </c>
      <c r="U17" s="755">
        <f>H17</f>
        <v>100</v>
      </c>
      <c r="V17" s="754" t="s">
        <v>25</v>
      </c>
      <c r="W17" s="755">
        <f>J17</f>
        <v>100</v>
      </c>
      <c r="X17" s="1906"/>
      <c r="Y17" s="3030"/>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15">
      <c r="A19" s="384"/>
      <c r="B19" s="1491" t="s">
        <v>2480</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0"/>
      <c r="Q19" s="1905" t="str">
        <f>B19</f>
        <v>办公集聚程度</v>
      </c>
      <c r="R19" s="754" t="s">
        <v>25</v>
      </c>
      <c r="S19" s="755">
        <f>F19</f>
        <v>100</v>
      </c>
      <c r="T19" s="754" t="s">
        <v>25</v>
      </c>
      <c r="U19" s="755">
        <f>H19</f>
        <v>100</v>
      </c>
      <c r="V19" s="754" t="s">
        <v>25</v>
      </c>
      <c r="W19" s="755">
        <f>J19</f>
        <v>100</v>
      </c>
      <c r="X19" s="1906"/>
      <c r="Y19" s="3030"/>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0"/>
      <c r="Q20" s="1905"/>
      <c r="R20" s="754"/>
      <c r="S20" s="755"/>
      <c r="T20" s="754"/>
      <c r="U20" s="755"/>
      <c r="V20" s="754"/>
      <c r="W20" s="755"/>
      <c r="X20" s="1906"/>
      <c r="Y20" s="3030"/>
      <c r="Z20" s="1908"/>
      <c r="AA20" s="1909">
        <v>1</v>
      </c>
      <c r="AB20" s="1909">
        <v>1</v>
      </c>
      <c r="AC20" s="1909">
        <v>1</v>
      </c>
    </row>
    <row r="21" spans="1:29" ht="142.5">
      <c r="A21" s="384"/>
      <c r="B21" s="1491" t="s">
        <v>2509</v>
      </c>
      <c r="C21" s="2475" t="str">
        <f>估价对象房地状况!C18</f>
        <v>估价对象紧邻城市次干道——新西路，以估价对象为中心半径2公里范围内有密2路、密12路、密13路等公交线路，综合评价交通便捷度一般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0"/>
      <c r="Q21" s="1905" t="str">
        <f>B21</f>
        <v>交通便捷度</v>
      </c>
      <c r="R21" s="754" t="s">
        <v>25</v>
      </c>
      <c r="S21" s="755">
        <f>F21</f>
        <v>100</v>
      </c>
      <c r="T21" s="754" t="s">
        <v>25</v>
      </c>
      <c r="U21" s="755">
        <f>H21</f>
        <v>100</v>
      </c>
      <c r="V21" s="754" t="s">
        <v>25</v>
      </c>
      <c r="W21" s="755">
        <f>J21</f>
        <v>100</v>
      </c>
      <c r="X21" s="1906"/>
      <c r="Y21" s="3030"/>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0"/>
      <c r="Q23" s="1905" t="str">
        <f t="shared" ref="Q23:Q37" si="8">B23</f>
        <v>区域土地利用方向</v>
      </c>
      <c r="R23" s="754" t="s">
        <v>25</v>
      </c>
      <c r="S23" s="755">
        <f>F23</f>
        <v>100</v>
      </c>
      <c r="T23" s="754" t="s">
        <v>25</v>
      </c>
      <c r="U23" s="755">
        <f>H23</f>
        <v>100</v>
      </c>
      <c r="V23" s="754" t="s">
        <v>25</v>
      </c>
      <c r="W23" s="755">
        <f>J23</f>
        <v>100</v>
      </c>
      <c r="X23" s="1906"/>
      <c r="Y23" s="3030"/>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0"/>
      <c r="Q24" s="1905"/>
      <c r="R24" s="754"/>
      <c r="S24" s="755"/>
      <c r="T24" s="754"/>
      <c r="U24" s="755"/>
      <c r="V24" s="754"/>
      <c r="W24" s="755"/>
      <c r="X24" s="1906"/>
      <c r="Y24" s="3030"/>
      <c r="Z24" s="1908"/>
      <c r="AA24" s="1909"/>
      <c r="AB24" s="1909"/>
      <c r="AC24" s="1909"/>
    </row>
    <row r="25" spans="1:29" ht="99.75">
      <c r="A25" s="384"/>
      <c r="B25" s="1493" t="s">
        <v>2550</v>
      </c>
      <c r="C25" s="2492" t="str">
        <f>估价对象房地状况!C20</f>
        <v>自然环境：滨河公园、白河郊野公园、密西公园等；人文环境：密云区博物馆、密云区政府等，综合评价环境状况较好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0"/>
      <c r="Q25" s="1905" t="str">
        <f t="shared" si="8"/>
        <v>自然及人文环境状况</v>
      </c>
      <c r="R25" s="754" t="s">
        <v>25</v>
      </c>
      <c r="S25" s="755">
        <f>F25</f>
        <v>100</v>
      </c>
      <c r="T25" s="754" t="s">
        <v>25</v>
      </c>
      <c r="U25" s="755">
        <f>H25</f>
        <v>100</v>
      </c>
      <c r="V25" s="754" t="s">
        <v>25</v>
      </c>
      <c r="W25" s="755">
        <f>J25</f>
        <v>100</v>
      </c>
      <c r="X25" s="1906"/>
      <c r="Y25" s="3030"/>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0"/>
      <c r="Q26" s="1905"/>
      <c r="R26" s="754"/>
      <c r="S26" s="755"/>
      <c r="T26" s="754"/>
      <c r="U26" s="755"/>
      <c r="V26" s="754"/>
      <c r="W26" s="755"/>
      <c r="X26" s="1906"/>
      <c r="Y26" s="3030"/>
      <c r="Z26" s="1908"/>
      <c r="AA26" s="1909">
        <v>1</v>
      </c>
      <c r="AB26" s="1909">
        <v>1</v>
      </c>
      <c r="AC26" s="1909">
        <v>1</v>
      </c>
    </row>
    <row r="27" spans="1:29" ht="42.75">
      <c r="A27" s="384"/>
      <c r="B27" s="1493" t="s">
        <v>2452</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0"/>
      <c r="Q27" s="1893" t="str">
        <f t="shared" ref="Q27" si="9">B27</f>
        <v>公共配套设施</v>
      </c>
      <c r="R27" s="750" t="s">
        <v>25</v>
      </c>
      <c r="S27" s="751">
        <f>F27</f>
        <v>100</v>
      </c>
      <c r="T27" s="750" t="s">
        <v>25</v>
      </c>
      <c r="U27" s="751">
        <f>H27</f>
        <v>100</v>
      </c>
      <c r="V27" s="750" t="s">
        <v>25</v>
      </c>
      <c r="W27" s="751">
        <f>J27</f>
        <v>100</v>
      </c>
      <c r="X27" s="1906"/>
      <c r="Y27" s="3030"/>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0"/>
      <c r="Q28" s="1905"/>
      <c r="R28" s="754"/>
      <c r="S28" s="755"/>
      <c r="T28" s="754"/>
      <c r="U28" s="755"/>
      <c r="V28" s="754"/>
      <c r="W28" s="755"/>
      <c r="X28" s="1906"/>
      <c r="Y28" s="3030"/>
      <c r="Z28" s="23"/>
      <c r="AA28" s="1909">
        <v>1</v>
      </c>
      <c r="AB28" s="1909">
        <v>1</v>
      </c>
      <c r="AC28" s="1909">
        <v>1</v>
      </c>
    </row>
    <row r="29" spans="1:29" s="35" customFormat="1" ht="42.75">
      <c r="A29" s="634"/>
      <c r="B29" s="1493" t="s">
        <v>2453</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0"/>
      <c r="Q29" s="1893" t="str">
        <f t="shared" si="8"/>
        <v>基础设施水平</v>
      </c>
      <c r="R29" s="750" t="s">
        <v>25</v>
      </c>
      <c r="S29" s="751">
        <f>F29</f>
        <v>100</v>
      </c>
      <c r="T29" s="750" t="s">
        <v>25</v>
      </c>
      <c r="U29" s="751">
        <f>H29</f>
        <v>100</v>
      </c>
      <c r="V29" s="750" t="s">
        <v>25</v>
      </c>
      <c r="W29" s="751">
        <f>J29</f>
        <v>100</v>
      </c>
      <c r="X29" s="752"/>
      <c r="Y29" s="3030"/>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0"/>
      <c r="Q30" s="1893"/>
      <c r="R30" s="750"/>
      <c r="S30" s="751"/>
      <c r="T30" s="750"/>
      <c r="U30" s="751"/>
      <c r="V30" s="750"/>
      <c r="W30" s="751"/>
      <c r="X30" s="752"/>
      <c r="Y30" s="3030"/>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0"/>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0"/>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0"/>
      <c r="Q32" s="1905" t="str">
        <f t="shared" si="8"/>
        <v>毗邻道路的类型与等级</v>
      </c>
      <c r="R32" s="754" t="s">
        <v>25</v>
      </c>
      <c r="S32" s="755">
        <f t="shared" si="10"/>
        <v>100</v>
      </c>
      <c r="T32" s="754" t="s">
        <v>25</v>
      </c>
      <c r="U32" s="755">
        <f t="shared" si="11"/>
        <v>100</v>
      </c>
      <c r="V32" s="754" t="s">
        <v>25</v>
      </c>
      <c r="W32" s="755">
        <f t="shared" si="12"/>
        <v>100</v>
      </c>
      <c r="X32" s="1906"/>
      <c r="Y32" s="3030"/>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0"/>
      <c r="Q33" s="1905"/>
      <c r="R33" s="754"/>
      <c r="S33" s="755"/>
      <c r="T33" s="754"/>
      <c r="U33" s="755"/>
      <c r="V33" s="754"/>
      <c r="W33" s="755"/>
      <c r="X33" s="1906"/>
      <c r="Y33" s="3030"/>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0"/>
      <c r="Q34" s="1905" t="str">
        <f t="shared" si="8"/>
        <v>土地级别</v>
      </c>
      <c r="R34" s="754" t="s">
        <v>25</v>
      </c>
      <c r="S34" s="755">
        <f t="shared" si="10"/>
        <v>100</v>
      </c>
      <c r="T34" s="754" t="s">
        <v>25</v>
      </c>
      <c r="U34" s="755">
        <f t="shared" si="11"/>
        <v>100</v>
      </c>
      <c r="V34" s="754" t="s">
        <v>25</v>
      </c>
      <c r="W34" s="755">
        <f t="shared" si="12"/>
        <v>100</v>
      </c>
      <c r="X34" s="1906"/>
      <c r="Y34" s="3030"/>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0"/>
      <c r="Q35" s="1905">
        <f t="shared" si="8"/>
        <v>111</v>
      </c>
      <c r="R35" s="754" t="s">
        <v>25</v>
      </c>
      <c r="S35" s="755">
        <f t="shared" si="10"/>
        <v>100</v>
      </c>
      <c r="T35" s="754" t="s">
        <v>25</v>
      </c>
      <c r="U35" s="755">
        <f t="shared" si="11"/>
        <v>100</v>
      </c>
      <c r="V35" s="754" t="s">
        <v>25</v>
      </c>
      <c r="W35" s="755">
        <f t="shared" si="12"/>
        <v>100</v>
      </c>
      <c r="X35" s="1906"/>
      <c r="Y35" s="3030"/>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34"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4"/>
      <c r="Q37" s="1905">
        <f t="shared" si="8"/>
        <v>111</v>
      </c>
      <c r="R37" s="757" t="s">
        <v>25</v>
      </c>
      <c r="S37" s="758">
        <f t="shared" si="10"/>
        <v>100</v>
      </c>
      <c r="T37" s="757" t="s">
        <v>25</v>
      </c>
      <c r="U37" s="758">
        <f t="shared" si="11"/>
        <v>100</v>
      </c>
      <c r="V37" s="757" t="s">
        <v>25</v>
      </c>
      <c r="W37" s="758">
        <f t="shared" si="12"/>
        <v>100</v>
      </c>
      <c r="X37" s="759"/>
      <c r="Y37" s="3034"/>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4"/>
      <c r="Q38" s="1905" t="str">
        <f>B38</f>
        <v>宗地面积</v>
      </c>
      <c r="R38" s="754" t="s">
        <v>25</v>
      </c>
      <c r="S38" s="755" t="e">
        <f t="shared" si="10"/>
        <v>#N/A</v>
      </c>
      <c r="T38" s="754" t="s">
        <v>25</v>
      </c>
      <c r="U38" s="755" t="e">
        <f t="shared" si="11"/>
        <v>#N/A</v>
      </c>
      <c r="V38" s="754" t="s">
        <v>25</v>
      </c>
      <c r="W38" s="755" t="e">
        <f t="shared" si="12"/>
        <v>#N/A</v>
      </c>
      <c r="X38" s="1906"/>
      <c r="Y38" s="3034"/>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4"/>
      <c r="Q39" s="1905" t="str">
        <f t="shared" ref="Q39:Q45" si="14">B39</f>
        <v>宗地形状</v>
      </c>
      <c r="R39" s="754" t="s">
        <v>25</v>
      </c>
      <c r="S39" s="755">
        <f t="shared" si="10"/>
        <v>100</v>
      </c>
      <c r="T39" s="754" t="s">
        <v>25</v>
      </c>
      <c r="U39" s="755">
        <f t="shared" si="11"/>
        <v>100</v>
      </c>
      <c r="V39" s="754" t="s">
        <v>25</v>
      </c>
      <c r="W39" s="755">
        <f t="shared" si="12"/>
        <v>100</v>
      </c>
      <c r="X39" s="1906"/>
      <c r="Y39" s="3034"/>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4"/>
      <c r="Q40" s="1905" t="str">
        <f t="shared" si="14"/>
        <v>临街宽度及深度</v>
      </c>
      <c r="R40" s="754" t="s">
        <v>25</v>
      </c>
      <c r="S40" s="755">
        <f t="shared" si="10"/>
        <v>100</v>
      </c>
      <c r="T40" s="754" t="s">
        <v>25</v>
      </c>
      <c r="U40" s="755">
        <f t="shared" si="11"/>
        <v>100</v>
      </c>
      <c r="V40" s="754" t="s">
        <v>25</v>
      </c>
      <c r="W40" s="755">
        <f t="shared" si="12"/>
        <v>100</v>
      </c>
      <c r="X40" s="1906"/>
      <c r="Y40" s="3034"/>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4"/>
      <c r="Q41" s="1905" t="str">
        <f t="shared" si="14"/>
        <v>宗地开发程度</v>
      </c>
      <c r="R41" s="750" t="s">
        <v>25</v>
      </c>
      <c r="S41" s="751">
        <f t="shared" si="10"/>
        <v>100</v>
      </c>
      <c r="T41" s="750" t="s">
        <v>25</v>
      </c>
      <c r="U41" s="751">
        <f t="shared" si="11"/>
        <v>100</v>
      </c>
      <c r="V41" s="750" t="s">
        <v>25</v>
      </c>
      <c r="W41" s="751">
        <f t="shared" si="12"/>
        <v>100</v>
      </c>
      <c r="X41" s="752"/>
      <c r="Y41" s="3034"/>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4" t="s">
        <v>2372</v>
      </c>
      <c r="Q42" s="1905" t="str">
        <f t="shared" si="14"/>
        <v>工程地质条件</v>
      </c>
      <c r="R42" s="754" t="s">
        <v>25</v>
      </c>
      <c r="S42" s="755">
        <f t="shared" si="10"/>
        <v>100</v>
      </c>
      <c r="T42" s="754" t="s">
        <v>25</v>
      </c>
      <c r="U42" s="755">
        <f t="shared" si="11"/>
        <v>100</v>
      </c>
      <c r="V42" s="754" t="s">
        <v>25</v>
      </c>
      <c r="W42" s="755">
        <f t="shared" si="12"/>
        <v>100</v>
      </c>
      <c r="X42" s="1906"/>
      <c r="Y42" s="3034"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4"/>
      <c r="Q43" s="1905">
        <f t="shared" si="14"/>
        <v>111</v>
      </c>
      <c r="R43" s="754" t="s">
        <v>25</v>
      </c>
      <c r="S43" s="755">
        <f t="shared" si="10"/>
        <v>100</v>
      </c>
      <c r="T43" s="754" t="s">
        <v>25</v>
      </c>
      <c r="U43" s="755">
        <f t="shared" si="11"/>
        <v>100</v>
      </c>
      <c r="V43" s="754" t="s">
        <v>25</v>
      </c>
      <c r="W43" s="755">
        <f t="shared" si="12"/>
        <v>100</v>
      </c>
      <c r="X43" s="1906"/>
      <c r="Y43" s="3034"/>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4"/>
      <c r="Q44" s="1905">
        <f t="shared" si="14"/>
        <v>111</v>
      </c>
      <c r="R44" s="754" t="s">
        <v>25</v>
      </c>
      <c r="S44" s="755">
        <f t="shared" si="10"/>
        <v>100</v>
      </c>
      <c r="T44" s="754" t="s">
        <v>25</v>
      </c>
      <c r="U44" s="755">
        <f t="shared" si="11"/>
        <v>100</v>
      </c>
      <c r="V44" s="754" t="s">
        <v>25</v>
      </c>
      <c r="W44" s="755">
        <f t="shared" si="12"/>
        <v>100</v>
      </c>
      <c r="X44" s="1906"/>
      <c r="Y44" s="3034"/>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4"/>
      <c r="Q45" s="1905">
        <f t="shared" si="14"/>
        <v>111</v>
      </c>
      <c r="R45" s="757" t="s">
        <v>25</v>
      </c>
      <c r="S45" s="758">
        <f t="shared" si="10"/>
        <v>100</v>
      </c>
      <c r="T45" s="757" t="s">
        <v>25</v>
      </c>
      <c r="U45" s="758">
        <f t="shared" si="11"/>
        <v>100</v>
      </c>
      <c r="V45" s="757" t="s">
        <v>25</v>
      </c>
      <c r="W45" s="758">
        <f t="shared" si="12"/>
        <v>100</v>
      </c>
      <c r="X45" s="759"/>
      <c r="Y45" s="3034"/>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26" t="str">
        <f>A46</f>
        <v>成交单价</v>
      </c>
      <c r="Q46" s="3026"/>
      <c r="R46" s="3063">
        <f>E46</f>
        <v>0</v>
      </c>
      <c r="S46" s="3063"/>
      <c r="T46" s="3063">
        <f>G46</f>
        <v>0</v>
      </c>
      <c r="U46" s="3063"/>
      <c r="V46" s="3063">
        <f>I46</f>
        <v>0</v>
      </c>
      <c r="W46" s="3063"/>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6" t="str">
        <f>A47</f>
        <v>比较价值（元/平方米）</v>
      </c>
      <c r="Q47" s="3026"/>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3" t="str">
        <f>A48</f>
        <v>估价对象XX用房的比较价值（楼面单价，元/平方米）</v>
      </c>
      <c r="Q48" s="3024"/>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0.6</v>
      </c>
      <c r="D57" s="1294">
        <v>0.25</v>
      </c>
      <c r="E57" s="678">
        <v>0</v>
      </c>
      <c r="F57" s="675" t="e">
        <f t="shared" si="15"/>
        <v>#DIV/0!</v>
      </c>
      <c r="G57" s="973">
        <f>SUMIF(修正!$A$45:$A$56,项目基本情况!$F$9,修正!B45:B56)</f>
        <v>0.6</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0.3</v>
      </c>
      <c r="D58" s="1294">
        <v>0.25</v>
      </c>
      <c r="E58" s="678">
        <v>0</v>
      </c>
      <c r="F58" s="675" t="e">
        <f t="shared" si="15"/>
        <v>#DIV/0!</v>
      </c>
      <c r="G58" s="973">
        <f>SUMIF(修正!$A$45:$A$56,项目基本情况!$F$9,修正!C45:C56)</f>
        <v>0.3</v>
      </c>
      <c r="H58" s="974"/>
      <c r="I58" s="1261"/>
      <c r="J58" s="1261"/>
      <c r="K58" s="1265"/>
      <c r="L58" s="1266"/>
      <c r="M58" s="1261"/>
      <c r="N58" s="1261"/>
      <c r="O58" s="972"/>
    </row>
    <row r="59" spans="1:15" s="676" customFormat="1">
      <c r="A59" s="677" t="s">
        <v>2569</v>
      </c>
      <c r="B59" s="179" t="e">
        <f t="shared" si="16"/>
        <v>#DIV/0!</v>
      </c>
      <c r="C59" s="118">
        <f t="shared" si="17"/>
        <v>0.2</v>
      </c>
      <c r="D59" s="1294">
        <v>0.25</v>
      </c>
      <c r="E59" s="678">
        <v>0</v>
      </c>
      <c r="F59" s="675" t="e">
        <f t="shared" si="15"/>
        <v>#DIV/0!</v>
      </c>
      <c r="G59" s="973">
        <f>SUMIF(修正!$A$45:$A$56,项目基本情况!$F$9,修正!D45:D56)</f>
        <v>0.2</v>
      </c>
      <c r="H59" s="974"/>
      <c r="I59" s="1259"/>
      <c r="J59" s="1264"/>
      <c r="K59" s="1260"/>
      <c r="L59" s="1260"/>
      <c r="M59" s="1259"/>
      <c r="N59" s="1259"/>
      <c r="O59" s="972"/>
    </row>
    <row r="60" spans="1:15" s="676" customFormat="1">
      <c r="A60" s="677" t="s">
        <v>2570</v>
      </c>
      <c r="B60" s="179" t="e">
        <f t="shared" si="16"/>
        <v>#DIV/0!</v>
      </c>
      <c r="C60" s="118">
        <f t="shared" si="17"/>
        <v>0.2</v>
      </c>
      <c r="D60" s="1294">
        <v>0.25</v>
      </c>
      <c r="E60" s="678">
        <v>0</v>
      </c>
      <c r="F60" s="675" t="e">
        <f t="shared" si="15"/>
        <v>#DIV/0!</v>
      </c>
      <c r="G60" s="973">
        <f>SUMIF(修正!$A$45:$A$56,项目基本情况!$F$9,修正!E45:E56)</f>
        <v>0.2</v>
      </c>
      <c r="H60" s="974"/>
      <c r="I60" s="1261"/>
      <c r="J60" s="1261"/>
      <c r="K60" s="1265"/>
      <c r="L60" s="1266"/>
      <c r="M60" s="1261"/>
      <c r="N60" s="1261"/>
      <c r="O60" s="972"/>
    </row>
    <row r="61" spans="1:15" s="676" customFormat="1">
      <c r="A61" s="677" t="s">
        <v>2571</v>
      </c>
      <c r="B61" s="179" t="e">
        <f t="shared" si="16"/>
        <v>#DIV/0!</v>
      </c>
      <c r="C61" s="118">
        <f t="shared" si="17"/>
        <v>0.2</v>
      </c>
      <c r="D61" s="1294">
        <v>0.25</v>
      </c>
      <c r="E61" s="678">
        <v>0</v>
      </c>
      <c r="F61" s="675" t="e">
        <f t="shared" si="15"/>
        <v>#DIV/0!</v>
      </c>
      <c r="G61" s="973">
        <f>SUMIF(修正!A45:A56,项目基本情况!F9,修正!F45:F56)</f>
        <v>0.2</v>
      </c>
      <c r="H61" s="974"/>
      <c r="I61" s="1259"/>
      <c r="J61" s="1264"/>
      <c r="K61" s="1260"/>
      <c r="L61" s="1260"/>
      <c r="M61" s="1259"/>
      <c r="N61" s="1259"/>
      <c r="O61" s="972"/>
    </row>
    <row r="62" spans="1:15" s="676" customFormat="1">
      <c r="A62" s="677" t="s">
        <v>2572</v>
      </c>
      <c r="B62" s="179" t="e">
        <f t="shared" si="16"/>
        <v>#DIV/0!</v>
      </c>
      <c r="C62" s="118">
        <f t="shared" si="17"/>
        <v>0.2</v>
      </c>
      <c r="D62" s="1294">
        <v>0.25</v>
      </c>
      <c r="E62" s="678">
        <v>0</v>
      </c>
      <c r="F62" s="675" t="e">
        <f t="shared" si="15"/>
        <v>#DIV/0!</v>
      </c>
      <c r="G62" s="973">
        <f>SUMIF(修正!A45:A56,项目基本情况!F9,修正!G45:G56)</f>
        <v>0.2</v>
      </c>
      <c r="H62" s="974"/>
      <c r="I62" s="1261"/>
      <c r="J62" s="1261"/>
      <c r="K62" s="1265"/>
      <c r="L62" s="1266"/>
      <c r="M62" s="1261"/>
      <c r="N62" s="1261"/>
      <c r="O62" s="972"/>
    </row>
    <row r="63" spans="1:15" s="676" customFormat="1">
      <c r="A63" s="677" t="s">
        <v>2573</v>
      </c>
      <c r="B63" s="179" t="e">
        <f t="shared" si="16"/>
        <v>#DIV/0!</v>
      </c>
      <c r="C63" s="118">
        <f>IF($C$55="北京市系数",G63,H63)</f>
        <v>0.15</v>
      </c>
      <c r="D63" s="1294">
        <v>0.25</v>
      </c>
      <c r="E63" s="678">
        <v>0</v>
      </c>
      <c r="F63" s="675" t="e">
        <f t="shared" si="15"/>
        <v>#DIV/0!</v>
      </c>
      <c r="G63" s="973">
        <f>SUMIF(修正!A45:A56,项目基本情况!F9,修正!H45:H56)</f>
        <v>0.15</v>
      </c>
      <c r="H63" s="974"/>
      <c r="I63" s="1259"/>
      <c r="J63" s="1264"/>
      <c r="K63" s="1260"/>
      <c r="L63" s="1260"/>
      <c r="M63" s="1259"/>
      <c r="N63" s="1259"/>
      <c r="O63" s="972"/>
    </row>
    <row r="64" spans="1:15" s="676" customFormat="1">
      <c r="A64" s="677" t="s">
        <v>2574</v>
      </c>
      <c r="B64" s="179" t="e">
        <f t="shared" si="16"/>
        <v>#DIV/0!</v>
      </c>
      <c r="C64" s="118">
        <f t="shared" si="17"/>
        <v>0.15</v>
      </c>
      <c r="D64" s="1294">
        <v>0.25</v>
      </c>
      <c r="E64" s="678">
        <v>0</v>
      </c>
      <c r="F64" s="675" t="e">
        <f t="shared" si="15"/>
        <v>#DIV/0!</v>
      </c>
      <c r="G64" s="973">
        <f>G63</f>
        <v>0.15</v>
      </c>
      <c r="H64" s="974"/>
      <c r="I64" s="1261"/>
      <c r="J64" s="1261"/>
      <c r="K64" s="1265"/>
      <c r="L64" s="1266"/>
      <c r="M64" s="1261"/>
      <c r="N64" s="1261"/>
      <c r="O64" s="972"/>
    </row>
    <row r="65" spans="1:17" s="676" customFormat="1">
      <c r="A65" s="677" t="s">
        <v>2575</v>
      </c>
      <c r="B65" s="179" t="e">
        <f t="shared" si="16"/>
        <v>#DIV/0!</v>
      </c>
      <c r="C65" s="118">
        <f t="shared" si="17"/>
        <v>0.15</v>
      </c>
      <c r="D65" s="1294">
        <v>0.25</v>
      </c>
      <c r="E65" s="678">
        <v>0</v>
      </c>
      <c r="F65" s="675" t="e">
        <f t="shared" si="15"/>
        <v>#DIV/0!</v>
      </c>
      <c r="G65" s="973">
        <f>G63</f>
        <v>0.15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2018-2-1</v>
      </c>
      <c r="D68" s="1676">
        <f>EDATE(C68,-3)</f>
        <v>43040</v>
      </c>
      <c r="E68" s="1676">
        <f t="shared" ref="E68:O68" si="18">EDATE(D68,-3)</f>
        <v>42948</v>
      </c>
      <c r="F68" s="1676">
        <f t="shared" si="18"/>
        <v>42856</v>
      </c>
      <c r="G68" s="1676">
        <f t="shared" si="18"/>
        <v>42767</v>
      </c>
      <c r="H68" s="1676">
        <f t="shared" si="18"/>
        <v>42675</v>
      </c>
      <c r="I68" s="1676">
        <f t="shared" si="18"/>
        <v>42583</v>
      </c>
      <c r="J68" s="1676">
        <f t="shared" si="18"/>
        <v>42491</v>
      </c>
      <c r="K68" s="1676">
        <f t="shared" si="18"/>
        <v>42401</v>
      </c>
      <c r="L68" s="1676">
        <f t="shared" si="18"/>
        <v>42309</v>
      </c>
      <c r="M68" s="1676">
        <f t="shared" si="18"/>
        <v>42217</v>
      </c>
      <c r="N68" s="1676">
        <f t="shared" si="18"/>
        <v>42125</v>
      </c>
      <c r="O68" s="1676">
        <f t="shared" si="18"/>
        <v>42036</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2578</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43143</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102</v>
      </c>
      <c r="G10" s="413"/>
      <c r="H10" s="52">
        <f>ROUND(100/'数据-取费表'!B14,0)</f>
        <v>102</v>
      </c>
      <c r="I10" s="413"/>
      <c r="J10" s="52">
        <f>ROUND(100/'数据-取费表'!B14,0)</f>
        <v>102</v>
      </c>
      <c r="K10" s="656"/>
      <c r="L10" s="1250"/>
      <c r="M10" s="1251"/>
      <c r="N10" s="1251"/>
      <c r="O10" s="1252"/>
      <c r="P10" s="3026"/>
      <c r="Q10" s="1893" t="str">
        <f t="shared" si="6"/>
        <v>土地使用年限（年）</v>
      </c>
      <c r="R10" s="750" t="s">
        <v>25</v>
      </c>
      <c r="S10" s="751">
        <f t="shared" si="0"/>
        <v>102</v>
      </c>
      <c r="T10" s="750" t="s">
        <v>25</v>
      </c>
      <c r="U10" s="751">
        <f t="shared" si="1"/>
        <v>102</v>
      </c>
      <c r="V10" s="750" t="s">
        <v>25</v>
      </c>
      <c r="W10" s="751">
        <f t="shared" si="2"/>
        <v>102</v>
      </c>
      <c r="X10" s="752"/>
      <c r="Y10" s="2855"/>
      <c r="Z10" s="23" t="str">
        <f t="shared" si="7"/>
        <v>土地使用年限（年）</v>
      </c>
      <c r="AA10" s="753">
        <f t="shared" si="3"/>
        <v>0.98039215686274506</v>
      </c>
      <c r="AB10" s="753">
        <f t="shared" si="4"/>
        <v>0.98039215686274506</v>
      </c>
      <c r="AC10" s="753">
        <f t="shared" si="5"/>
        <v>0.98039215686274506</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0"/>
      <c r="Q19" s="1905" t="str">
        <f t="shared" ref="Q19:Q33" si="8">B19</f>
        <v>区域土地利用方向</v>
      </c>
      <c r="R19" s="754" t="s">
        <v>25</v>
      </c>
      <c r="S19" s="755">
        <f>F19</f>
        <v>100</v>
      </c>
      <c r="T19" s="754" t="s">
        <v>25</v>
      </c>
      <c r="U19" s="755">
        <f>H19</f>
        <v>100</v>
      </c>
      <c r="V19" s="754" t="s">
        <v>25</v>
      </c>
      <c r="W19" s="755">
        <f>J19</f>
        <v>100</v>
      </c>
      <c r="X19" s="1906"/>
      <c r="Y19" s="3030"/>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0"/>
      <c r="Q20" s="1905"/>
      <c r="R20" s="754"/>
      <c r="S20" s="755"/>
      <c r="T20" s="754"/>
      <c r="U20" s="755"/>
      <c r="V20" s="754"/>
      <c r="W20" s="755"/>
      <c r="X20" s="1906"/>
      <c r="Y20" s="3030"/>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0"/>
      <c r="Q21" s="1905" t="str">
        <f t="shared" si="8"/>
        <v>环境状况</v>
      </c>
      <c r="R21" s="754" t="s">
        <v>25</v>
      </c>
      <c r="S21" s="755">
        <f>F21</f>
        <v>100</v>
      </c>
      <c r="T21" s="754" t="s">
        <v>25</v>
      </c>
      <c r="U21" s="755">
        <f>H21</f>
        <v>100</v>
      </c>
      <c r="V21" s="754" t="s">
        <v>25</v>
      </c>
      <c r="W21" s="755">
        <f>J21</f>
        <v>100</v>
      </c>
      <c r="X21" s="1906"/>
      <c r="Y21" s="3030"/>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0"/>
      <c r="Q23" s="1893" t="str">
        <f t="shared" si="8"/>
        <v>公共配套设施</v>
      </c>
      <c r="R23" s="750" t="s">
        <v>25</v>
      </c>
      <c r="S23" s="751">
        <f>F23</f>
        <v>100</v>
      </c>
      <c r="T23" s="750" t="s">
        <v>25</v>
      </c>
      <c r="U23" s="751">
        <f>H23</f>
        <v>100</v>
      </c>
      <c r="V23" s="750" t="s">
        <v>25</v>
      </c>
      <c r="W23" s="751">
        <f>J23</f>
        <v>100</v>
      </c>
      <c r="X23" s="752"/>
      <c r="Y23" s="3030"/>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0"/>
      <c r="Q24" s="1893"/>
      <c r="R24" s="750"/>
      <c r="S24" s="751"/>
      <c r="T24" s="750"/>
      <c r="U24" s="751"/>
      <c r="V24" s="750"/>
      <c r="W24" s="751"/>
      <c r="X24" s="752"/>
      <c r="Y24" s="3030"/>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0"/>
      <c r="Q25" s="1893" t="str">
        <f t="shared" ref="Q25" si="9">B25</f>
        <v>基础设施水平</v>
      </c>
      <c r="R25" s="750" t="s">
        <v>25</v>
      </c>
      <c r="S25" s="751">
        <f>F25</f>
        <v>100</v>
      </c>
      <c r="T25" s="750" t="s">
        <v>25</v>
      </c>
      <c r="U25" s="751">
        <f>H25</f>
        <v>100</v>
      </c>
      <c r="V25" s="750" t="s">
        <v>25</v>
      </c>
      <c r="W25" s="751">
        <f>J25</f>
        <v>100</v>
      </c>
      <c r="X25" s="752"/>
      <c r="Y25" s="3030"/>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0"/>
      <c r="Q26" s="1893"/>
      <c r="R26" s="750"/>
      <c r="S26" s="751"/>
      <c r="T26" s="750"/>
      <c r="U26" s="751"/>
      <c r="V26" s="750"/>
      <c r="W26" s="751"/>
      <c r="X26" s="752"/>
      <c r="Y26" s="3030"/>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0"/>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0"/>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0"/>
      <c r="Q28" s="1905" t="str">
        <f t="shared" si="8"/>
        <v>毗邻道路的类型与等级</v>
      </c>
      <c r="R28" s="754" t="s">
        <v>25</v>
      </c>
      <c r="S28" s="755">
        <f t="shared" si="10"/>
        <v>100</v>
      </c>
      <c r="T28" s="754" t="s">
        <v>25</v>
      </c>
      <c r="U28" s="755">
        <f t="shared" si="11"/>
        <v>100</v>
      </c>
      <c r="V28" s="754" t="s">
        <v>25</v>
      </c>
      <c r="W28" s="755">
        <f t="shared" si="12"/>
        <v>100</v>
      </c>
      <c r="X28" s="1906"/>
      <c r="Y28" s="3030"/>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0"/>
      <c r="Q29" s="1905"/>
      <c r="R29" s="754"/>
      <c r="S29" s="755"/>
      <c r="T29" s="754"/>
      <c r="U29" s="755"/>
      <c r="V29" s="754"/>
      <c r="W29" s="755"/>
      <c r="X29" s="1906"/>
      <c r="Y29" s="3030"/>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0"/>
      <c r="Q30" s="1905" t="str">
        <f t="shared" si="8"/>
        <v>土地级别</v>
      </c>
      <c r="R30" s="754" t="s">
        <v>25</v>
      </c>
      <c r="S30" s="755">
        <f t="shared" si="10"/>
        <v>100</v>
      </c>
      <c r="T30" s="754" t="s">
        <v>25</v>
      </c>
      <c r="U30" s="755">
        <f t="shared" si="11"/>
        <v>100</v>
      </c>
      <c r="V30" s="754" t="s">
        <v>25</v>
      </c>
      <c r="W30" s="755">
        <f t="shared" si="12"/>
        <v>100</v>
      </c>
      <c r="X30" s="1906"/>
      <c r="Y30" s="3030"/>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0"/>
      <c r="Q31" s="1905">
        <f t="shared" si="8"/>
        <v>111</v>
      </c>
      <c r="R31" s="754" t="s">
        <v>25</v>
      </c>
      <c r="S31" s="755">
        <f t="shared" si="10"/>
        <v>100</v>
      </c>
      <c r="T31" s="754" t="s">
        <v>25</v>
      </c>
      <c r="U31" s="755">
        <f t="shared" si="11"/>
        <v>100</v>
      </c>
      <c r="V31" s="754" t="s">
        <v>25</v>
      </c>
      <c r="W31" s="755">
        <f t="shared" si="12"/>
        <v>100</v>
      </c>
      <c r="X31" s="1906"/>
      <c r="Y31" s="3030"/>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34"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4"/>
      <c r="Q33" s="1905">
        <f t="shared" si="8"/>
        <v>111</v>
      </c>
      <c r="R33" s="757" t="s">
        <v>25</v>
      </c>
      <c r="S33" s="758">
        <f t="shared" si="10"/>
        <v>100</v>
      </c>
      <c r="T33" s="757" t="s">
        <v>25</v>
      </c>
      <c r="U33" s="758">
        <f t="shared" si="11"/>
        <v>100</v>
      </c>
      <c r="V33" s="757" t="s">
        <v>25</v>
      </c>
      <c r="W33" s="758">
        <f t="shared" si="12"/>
        <v>100</v>
      </c>
      <c r="X33" s="759"/>
      <c r="Y33" s="3034"/>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4"/>
      <c r="Q34" s="1905" t="str">
        <f>B34</f>
        <v>宗地面积</v>
      </c>
      <c r="R34" s="754" t="s">
        <v>25</v>
      </c>
      <c r="S34" s="755" t="e">
        <f t="shared" si="10"/>
        <v>#N/A</v>
      </c>
      <c r="T34" s="754" t="s">
        <v>25</v>
      </c>
      <c r="U34" s="755" t="e">
        <f t="shared" si="11"/>
        <v>#N/A</v>
      </c>
      <c r="V34" s="754" t="s">
        <v>25</v>
      </c>
      <c r="W34" s="755" t="e">
        <f t="shared" si="12"/>
        <v>#N/A</v>
      </c>
      <c r="X34" s="1906"/>
      <c r="Y34" s="3034"/>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4"/>
      <c r="Q35" s="1905" t="str">
        <f t="shared" ref="Q35:Q40" si="14">B35</f>
        <v>宗地形状</v>
      </c>
      <c r="R35" s="754" t="s">
        <v>25</v>
      </c>
      <c r="S35" s="755">
        <f t="shared" si="10"/>
        <v>100</v>
      </c>
      <c r="T35" s="754" t="s">
        <v>25</v>
      </c>
      <c r="U35" s="755">
        <f t="shared" si="11"/>
        <v>100</v>
      </c>
      <c r="V35" s="754" t="s">
        <v>25</v>
      </c>
      <c r="W35" s="755">
        <f t="shared" si="12"/>
        <v>100</v>
      </c>
      <c r="X35" s="1906"/>
      <c r="Y35" s="3034"/>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4"/>
      <c r="Q36" s="1905" t="str">
        <f t="shared" si="14"/>
        <v>宗地开发程度</v>
      </c>
      <c r="R36" s="750" t="s">
        <v>25</v>
      </c>
      <c r="S36" s="751">
        <f t="shared" si="10"/>
        <v>100</v>
      </c>
      <c r="T36" s="750" t="s">
        <v>25</v>
      </c>
      <c r="U36" s="751">
        <f t="shared" si="11"/>
        <v>100</v>
      </c>
      <c r="V36" s="750" t="s">
        <v>25</v>
      </c>
      <c r="W36" s="751">
        <f t="shared" si="12"/>
        <v>100</v>
      </c>
      <c r="X36" s="752"/>
      <c r="Y36" s="3034"/>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4" t="s">
        <v>2372</v>
      </c>
      <c r="Q37" s="1905" t="str">
        <f t="shared" si="14"/>
        <v>工程地质条件</v>
      </c>
      <c r="R37" s="754" t="s">
        <v>25</v>
      </c>
      <c r="S37" s="755">
        <f t="shared" si="10"/>
        <v>100</v>
      </c>
      <c r="T37" s="754" t="s">
        <v>25</v>
      </c>
      <c r="U37" s="755">
        <f t="shared" si="11"/>
        <v>100</v>
      </c>
      <c r="V37" s="754" t="s">
        <v>25</v>
      </c>
      <c r="W37" s="755">
        <f t="shared" si="12"/>
        <v>100</v>
      </c>
      <c r="X37" s="1906"/>
      <c r="Y37" s="3034"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4"/>
      <c r="Q38" s="1905">
        <f t="shared" si="14"/>
        <v>111</v>
      </c>
      <c r="R38" s="754" t="s">
        <v>25</v>
      </c>
      <c r="S38" s="755">
        <f t="shared" si="10"/>
        <v>100</v>
      </c>
      <c r="T38" s="754" t="s">
        <v>25</v>
      </c>
      <c r="U38" s="755">
        <f t="shared" si="11"/>
        <v>100</v>
      </c>
      <c r="V38" s="754" t="s">
        <v>25</v>
      </c>
      <c r="W38" s="755">
        <f t="shared" si="12"/>
        <v>100</v>
      </c>
      <c r="X38" s="1906"/>
      <c r="Y38" s="3034"/>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4"/>
      <c r="Q39" s="1905">
        <f t="shared" si="14"/>
        <v>111</v>
      </c>
      <c r="R39" s="754" t="s">
        <v>25</v>
      </c>
      <c r="S39" s="755">
        <f t="shared" si="10"/>
        <v>100</v>
      </c>
      <c r="T39" s="754" t="s">
        <v>25</v>
      </c>
      <c r="U39" s="755">
        <f t="shared" si="11"/>
        <v>100</v>
      </c>
      <c r="V39" s="754" t="s">
        <v>25</v>
      </c>
      <c r="W39" s="755">
        <f t="shared" si="12"/>
        <v>100</v>
      </c>
      <c r="X39" s="1906"/>
      <c r="Y39" s="3034"/>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4"/>
      <c r="Q40" s="1905">
        <f t="shared" si="14"/>
        <v>111</v>
      </c>
      <c r="R40" s="757" t="s">
        <v>25</v>
      </c>
      <c r="S40" s="758">
        <f t="shared" si="10"/>
        <v>100</v>
      </c>
      <c r="T40" s="757" t="s">
        <v>25</v>
      </c>
      <c r="U40" s="758">
        <f t="shared" si="11"/>
        <v>100</v>
      </c>
      <c r="V40" s="757" t="s">
        <v>25</v>
      </c>
      <c r="W40" s="758">
        <f t="shared" si="12"/>
        <v>100</v>
      </c>
      <c r="X40" s="759"/>
      <c r="Y40" s="3034"/>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26" t="str">
        <f>A41</f>
        <v>成交单价</v>
      </c>
      <c r="Q41" s="3026"/>
      <c r="R41" s="3063">
        <f>E41</f>
        <v>0</v>
      </c>
      <c r="S41" s="3063"/>
      <c r="T41" s="3063">
        <f>G41</f>
        <v>0</v>
      </c>
      <c r="U41" s="3063"/>
      <c r="V41" s="3063">
        <f>I41</f>
        <v>0</v>
      </c>
      <c r="W41" s="3063"/>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6" t="str">
        <f>A42</f>
        <v>比较价值（元/平方米）</v>
      </c>
      <c r="Q42" s="3026"/>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3" t="str">
        <f>A43</f>
        <v>估价对象XX用房的比较价值（楼面单价，元/平方米）</v>
      </c>
      <c r="Q43" s="3024"/>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0.6</v>
      </c>
      <c r="D52" s="1294">
        <v>0.25</v>
      </c>
      <c r="E52" s="678">
        <v>0</v>
      </c>
      <c r="F52" s="675" t="e">
        <f t="shared" si="15"/>
        <v>#DIV/0!</v>
      </c>
      <c r="G52" s="973">
        <f>SUMIF(修正!$A$45:$A$56,项目基本情况!$F$9,修正!B45:B56)</f>
        <v>0.6</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0.3</v>
      </c>
      <c r="D53" s="1294">
        <v>0.25</v>
      </c>
      <c r="E53" s="678">
        <v>0</v>
      </c>
      <c r="F53" s="675" t="e">
        <f t="shared" si="15"/>
        <v>#DIV/0!</v>
      </c>
      <c r="G53" s="973">
        <f>SUMIF(修正!$A$45:$A$56,项目基本情况!$F$9,修正!C45:C56)</f>
        <v>0.3</v>
      </c>
      <c r="H53" s="974"/>
      <c r="I53" s="1261"/>
      <c r="J53" s="1264"/>
      <c r="K53" s="1260"/>
      <c r="L53" s="1260"/>
      <c r="M53" s="1259"/>
      <c r="N53" s="1259"/>
      <c r="O53" s="1259"/>
    </row>
    <row r="54" spans="1:17" s="676" customFormat="1">
      <c r="A54" s="677" t="s">
        <v>2569</v>
      </c>
      <c r="B54" s="179" t="e">
        <f t="shared" si="16"/>
        <v>#DIV/0!</v>
      </c>
      <c r="C54" s="118">
        <f t="shared" si="17"/>
        <v>0.2</v>
      </c>
      <c r="D54" s="1294">
        <v>0.25</v>
      </c>
      <c r="E54" s="678">
        <v>0</v>
      </c>
      <c r="F54" s="675" t="e">
        <f t="shared" si="15"/>
        <v>#DIV/0!</v>
      </c>
      <c r="G54" s="973">
        <f>SUMIF(修正!$A$45:$A$56,项目基本情况!$F$9,修正!D45:D56)</f>
        <v>0.2</v>
      </c>
      <c r="H54" s="974"/>
      <c r="I54" s="1259"/>
      <c r="J54" s="1264"/>
      <c r="K54" s="1260"/>
      <c r="L54" s="1260"/>
      <c r="M54" s="1259"/>
      <c r="N54" s="1259"/>
      <c r="O54" s="1259"/>
    </row>
    <row r="55" spans="1:17" s="676" customFormat="1">
      <c r="A55" s="677" t="s">
        <v>2570</v>
      </c>
      <c r="B55" s="179" t="e">
        <f t="shared" si="16"/>
        <v>#DIV/0!</v>
      </c>
      <c r="C55" s="118">
        <f t="shared" si="17"/>
        <v>0.2</v>
      </c>
      <c r="D55" s="1294">
        <v>0.25</v>
      </c>
      <c r="E55" s="678">
        <v>0</v>
      </c>
      <c r="F55" s="675" t="e">
        <f t="shared" si="15"/>
        <v>#DIV/0!</v>
      </c>
      <c r="G55" s="973">
        <f>SUMIF(修正!$A$45:$A$56,项目基本情况!$F$9,修正!E45:E56)</f>
        <v>0.2</v>
      </c>
      <c r="H55" s="974"/>
      <c r="I55" s="1261"/>
      <c r="J55" s="1264"/>
      <c r="K55" s="1260"/>
      <c r="L55" s="1260"/>
      <c r="M55" s="1259"/>
      <c r="N55" s="1259"/>
      <c r="O55" s="1259"/>
    </row>
    <row r="56" spans="1:17" s="676" customFormat="1">
      <c r="A56" s="677" t="s">
        <v>2571</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2572</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2573</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2574</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2575</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2018-2-1</v>
      </c>
      <c r="D63" s="1676">
        <f>EDATE(C63,-3)</f>
        <v>43040</v>
      </c>
      <c r="E63" s="1676">
        <f t="shared" ref="E63:O63" si="18">EDATE(D63,-3)</f>
        <v>42948</v>
      </c>
      <c r="F63" s="1676">
        <f t="shared" si="18"/>
        <v>42856</v>
      </c>
      <c r="G63" s="1676">
        <f t="shared" si="18"/>
        <v>42767</v>
      </c>
      <c r="H63" s="1676">
        <f t="shared" si="18"/>
        <v>42675</v>
      </c>
      <c r="I63" s="1676">
        <f t="shared" si="18"/>
        <v>42583</v>
      </c>
      <c r="J63" s="1676">
        <f t="shared" si="18"/>
        <v>42491</v>
      </c>
      <c r="K63" s="1676">
        <f t="shared" si="18"/>
        <v>42401</v>
      </c>
      <c r="L63" s="1676">
        <f t="shared" si="18"/>
        <v>42309</v>
      </c>
      <c r="M63" s="1676">
        <f t="shared" si="18"/>
        <v>42217</v>
      </c>
      <c r="N63" s="1676">
        <f t="shared" si="18"/>
        <v>42125</v>
      </c>
      <c r="O63" s="1676">
        <f t="shared" si="18"/>
        <v>42036</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2597</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估价对象为房地产，为所有。根据《不动产权证书》[]，估价对象建筑面积为87.32平方米，（分摊）出让国有建设用地使用权面积为0平方米。估价对象用途为。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2018年2月12日（评估专业人员实地查勘之日）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21" sqref="E21"/>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87.32</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494406</v>
      </c>
      <c r="C2" s="2515" t="s">
        <v>2607</v>
      </c>
      <c r="D2" s="2516" t="s">
        <v>2608</v>
      </c>
      <c r="E2" s="2517" t="s">
        <v>2808</v>
      </c>
      <c r="F2" s="2516" t="s">
        <v>2609</v>
      </c>
      <c r="G2" s="2518" t="str">
        <f>项目基本情况!F9</f>
        <v>八级</v>
      </c>
      <c r="H2" s="2519" t="s">
        <v>2610</v>
      </c>
      <c r="I2" s="2518" t="str">
        <f>项目基本情况!F10</f>
        <v>Ⅷ-密1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1.9419999999999999</v>
      </c>
      <c r="T2" s="1715">
        <f ca="1">ROUND($C$5*$C$18*$C$19*$C$20*S2*$C$24,0)</f>
        <v>10995</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5662</v>
      </c>
      <c r="C3" s="2515" t="s">
        <v>2613</v>
      </c>
      <c r="D3" s="2516" t="s">
        <v>2614</v>
      </c>
      <c r="E3" s="2522" t="s">
        <v>2901</v>
      </c>
      <c r="F3" s="2523" t="s">
        <v>2615</v>
      </c>
      <c r="G3" s="942">
        <f>项目基本情况!C15</f>
        <v>1.5</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1.2799</v>
      </c>
      <c r="T3" s="1715">
        <f t="shared" ref="T3:T16" ca="1" si="0">ROUND($C$5*$C$18*$C$19*$C$20*S3*$C$24,0)</f>
        <v>7246</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6"/>
      <c r="B4" s="3087"/>
      <c r="C4" s="3087"/>
      <c r="D4" s="3088"/>
      <c r="E4" s="3088"/>
      <c r="F4" s="3088"/>
      <c r="G4" s="3088"/>
      <c r="H4" s="3088"/>
      <c r="I4" s="3088"/>
      <c r="J4" s="3089"/>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1.0072000000000001</v>
      </c>
      <c r="T4" s="1715">
        <f t="shared" ca="1" si="0"/>
        <v>5702</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5539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0.75249999999999995</v>
      </c>
      <c r="T5" s="1715">
        <f t="shared" ca="1" si="0"/>
        <v>4260</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4600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0.56589999999999996</v>
      </c>
      <c r="T6" s="1715">
        <f t="shared" ca="1" si="0"/>
        <v>3204</v>
      </c>
      <c r="U6" s="1716"/>
      <c r="V6" s="1715">
        <f t="shared" ca="1" si="1"/>
        <v>0</v>
      </c>
      <c r="W6" s="1719"/>
      <c r="X6" s="1719"/>
      <c r="Y6" s="1719"/>
      <c r="Z6" s="1719"/>
      <c r="AA6" s="1719"/>
      <c r="AB6" s="1719"/>
      <c r="AC6" s="2530"/>
      <c r="AD6" s="2531"/>
      <c r="AE6" s="2531"/>
      <c r="AF6" s="2531"/>
      <c r="AG6" s="2531"/>
      <c r="AH6" s="2531"/>
      <c r="AI6" s="2531"/>
      <c r="AJ6" s="2532"/>
    </row>
    <row r="7" spans="1:36" ht="24">
      <c r="A7" s="3090"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0.45250000000000001</v>
      </c>
      <c r="T7" s="1715">
        <f t="shared" ca="1" si="0"/>
        <v>2562</v>
      </c>
      <c r="U7" s="1716"/>
      <c r="V7" s="1715">
        <f t="shared" ca="1" si="1"/>
        <v>0</v>
      </c>
      <c r="W7" s="1911" t="s">
        <v>2629</v>
      </c>
      <c r="X7" s="1717" t="str">
        <f>G2</f>
        <v>八级</v>
      </c>
      <c r="Y7" s="1717" t="s">
        <v>2630</v>
      </c>
      <c r="Z7" s="1718">
        <f>G3</f>
        <v>1.5</v>
      </c>
      <c r="AA7" s="1719"/>
      <c r="AB7" s="1719"/>
      <c r="AC7" s="1720"/>
      <c r="AD7" s="1721"/>
      <c r="AE7" s="1721"/>
      <c r="AF7" s="1721"/>
      <c r="AG7" s="1721"/>
      <c r="AH7" s="1721"/>
      <c r="AI7" s="1721"/>
      <c r="AJ7" s="1722"/>
    </row>
    <row r="8" spans="1:36" ht="15">
      <c r="A8" s="3091"/>
      <c r="B8" s="116" t="s">
        <v>2631</v>
      </c>
      <c r="C8" s="2546" t="s">
        <v>2902</v>
      </c>
      <c r="D8" s="946" t="s">
        <v>89</v>
      </c>
      <c r="E8" s="947">
        <f>ROUND(C11/E7,4)</f>
        <v>0</v>
      </c>
      <c r="F8" s="2547" t="s">
        <v>2632</v>
      </c>
      <c r="G8" s="2548"/>
      <c r="H8" s="2548"/>
      <c r="I8" s="2548"/>
      <c r="J8" s="2549"/>
      <c r="L8" s="2521" t="s">
        <v>2633</v>
      </c>
      <c r="M8" s="1121">
        <f>SUMPRODUCT((区片价!B206:B244=I2)*(区片价!C3:F3=E2)*(区片价!C206:F244))</f>
        <v>4600</v>
      </c>
      <c r="N8" s="1124">
        <f>SUMPRODUCT((因素修正幅度!B206:B244=I2)*(因素修正幅度!C3:F3=E2)*(因素修正幅度!C206:F244))</f>
        <v>0.14199999999999999</v>
      </c>
      <c r="O8" s="1464"/>
      <c r="P8" s="1464"/>
      <c r="Q8" s="1464"/>
      <c r="R8" s="1715">
        <v>7</v>
      </c>
      <c r="S8" s="1716"/>
      <c r="T8" s="1715">
        <f t="shared" ca="1" si="0"/>
        <v>0</v>
      </c>
      <c r="U8" s="1716"/>
      <c r="V8" s="1715">
        <f t="shared" ca="1" si="1"/>
        <v>0</v>
      </c>
      <c r="W8" s="3083" t="s">
        <v>2634</v>
      </c>
      <c r="X8" s="3084"/>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1"/>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5"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1"/>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1"/>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5" t="s">
        <v>2658</v>
      </c>
      <c r="X11" s="1728" t="s">
        <v>2659</v>
      </c>
      <c r="Y11" s="1729">
        <f>$G$3</f>
        <v>1.5</v>
      </c>
      <c r="Z11" s="1729">
        <f t="shared" ref="Z11:AJ11" si="3">$G$3</f>
        <v>1.5</v>
      </c>
      <c r="AA11" s="1729">
        <f t="shared" si="3"/>
        <v>1.5</v>
      </c>
      <c r="AB11" s="1729">
        <f t="shared" si="3"/>
        <v>1.5</v>
      </c>
      <c r="AC11" s="1729">
        <f t="shared" si="3"/>
        <v>1.5</v>
      </c>
      <c r="AD11" s="1729">
        <f t="shared" si="3"/>
        <v>1.5</v>
      </c>
      <c r="AE11" s="1729">
        <f t="shared" si="3"/>
        <v>1.5</v>
      </c>
      <c r="AF11" s="1729">
        <f t="shared" si="3"/>
        <v>1.5</v>
      </c>
      <c r="AG11" s="1729">
        <f t="shared" si="3"/>
        <v>1.5</v>
      </c>
      <c r="AH11" s="1729">
        <f t="shared" si="3"/>
        <v>1.5</v>
      </c>
      <c r="AI11" s="1729">
        <f t="shared" si="3"/>
        <v>1.5</v>
      </c>
      <c r="AJ11" s="1729">
        <f t="shared" si="3"/>
        <v>1.5</v>
      </c>
    </row>
    <row r="12" spans="1:36" ht="25.5" thickBot="1">
      <c r="A12" s="3090">
        <f>IF(E2="住宅",2,"")</f>
        <v>2</v>
      </c>
      <c r="B12" s="2554" t="s">
        <v>2660</v>
      </c>
      <c r="C12" s="945">
        <f>ROUND(C15*D15*E15*F15*G15*H15*I15*J15,4)</f>
        <v>1.21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5"/>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2"/>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85"/>
      <c r="X13" s="1730"/>
      <c r="Y13" s="1727">
        <f>(-0.163*(Y12^2)-0.59*Y12+7617)*(10^(-4))/Y11</f>
        <v>0.50780000000000003</v>
      </c>
      <c r="Z13" s="1727">
        <f t="shared" ref="Z13:AJ13" si="5">(-0.163*(Z12^2)-0.59*Z12+7617)*(10^(-4))/Z11</f>
        <v>0.50780000000000003</v>
      </c>
      <c r="AA13" s="1727">
        <f t="shared" si="5"/>
        <v>0.50780000000000003</v>
      </c>
      <c r="AB13" s="1727">
        <f t="shared" si="5"/>
        <v>0.50780000000000003</v>
      </c>
      <c r="AC13" s="1727">
        <f t="shared" si="5"/>
        <v>0.50780000000000003</v>
      </c>
      <c r="AD13" s="1727">
        <f t="shared" si="5"/>
        <v>0.50780000000000003</v>
      </c>
      <c r="AE13" s="1727">
        <f t="shared" si="5"/>
        <v>0.50780000000000003</v>
      </c>
      <c r="AF13" s="1727">
        <f t="shared" si="5"/>
        <v>0.50780000000000003</v>
      </c>
      <c r="AG13" s="1727">
        <f t="shared" si="5"/>
        <v>0.50780000000000003</v>
      </c>
      <c r="AH13" s="1727">
        <f t="shared" si="5"/>
        <v>0.50780000000000003</v>
      </c>
      <c r="AI13" s="1727">
        <f t="shared" si="5"/>
        <v>0.50780000000000003</v>
      </c>
      <c r="AJ13" s="1727">
        <f t="shared" si="5"/>
        <v>0.50780000000000003</v>
      </c>
    </row>
    <row r="14" spans="1:36" ht="15">
      <c r="A14" s="3092"/>
      <c r="B14" s="2565"/>
      <c r="C14" s="2566" t="s">
        <v>2670</v>
      </c>
      <c r="D14" s="2567" t="s">
        <v>2903</v>
      </c>
      <c r="E14" s="2567" t="s">
        <v>2898</v>
      </c>
      <c r="F14" s="2568" t="s">
        <v>2904</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3"/>
      <c r="B15" s="2573" t="s">
        <v>2672</v>
      </c>
      <c r="C15" s="151">
        <f>IF(C14="有",1.1,1)</f>
        <v>1.1000000000000001</v>
      </c>
      <c r="D15" s="151">
        <f>IF(D14="有",1.1,1)</f>
        <v>1.1000000000000001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90">
        <f>IF(E2="办公",2,IF(E2="工业",2,IF(E2="住宅",3,IF(E2="商业",IF(C8="不临58条商业街",2,3)))))</f>
        <v>3</v>
      </c>
      <c r="B16" s="2541" t="s">
        <v>2678</v>
      </c>
      <c r="C16" s="1891">
        <f>ROUND(SUM(G17:J17)/C17,0)</f>
        <v>27</v>
      </c>
      <c r="D16" s="2576" t="s">
        <v>2679</v>
      </c>
      <c r="E16" s="2577" t="s">
        <v>2905</v>
      </c>
      <c r="F16" s="2578" t="s">
        <v>2892</v>
      </c>
      <c r="G16" s="2579" t="s">
        <v>2893</v>
      </c>
      <c r="H16" s="2579" t="s">
        <v>1257</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1"/>
      <c r="B17" s="2581" t="s">
        <v>2681</v>
      </c>
      <c r="C17" s="950">
        <f>SUMPRODUCT((修正!A2:A5=E2)*(修正!B1:M1=G2)*(修正!B2:M5))</f>
        <v>1.5</v>
      </c>
      <c r="D17" s="2582" t="s">
        <v>2682</v>
      </c>
      <c r="E17" s="949" t="str">
        <f>IF(OR(G2="八级",G2="九级",G2="十级",G2="十一级",G2="十二级"),"五通一平","七通一平")</f>
        <v>五通一平</v>
      </c>
      <c r="F17" s="950" t="s">
        <v>2683</v>
      </c>
      <c r="G17" s="950">
        <f>SUMPRODUCT((七通一平=G16)*(修正!B1:M1=G2)*(修正!B6:M14))</f>
        <v>40</v>
      </c>
      <c r="H17" s="950">
        <f>SUMPRODUCT((七通一平=H16)*(修正!B1:M1=G2)*(修正!B6:M14))</f>
        <v>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v>
      </c>
      <c r="D19" s="2592" t="s">
        <v>2689</v>
      </c>
      <c r="E19" s="954">
        <v>41640</v>
      </c>
      <c r="F19" s="2592" t="s">
        <v>2690</v>
      </c>
      <c r="G19" s="955">
        <f>'数据-取费表'!B2</f>
        <v>43143</v>
      </c>
      <c r="H19" s="2593" t="s">
        <v>2917</v>
      </c>
      <c r="I19" s="956">
        <f>IF(H19="季度增幅（自定义）",SUMIF(N21:N24,E2,O21:O24),"")</f>
        <v>0</v>
      </c>
      <c r="J19" s="2589"/>
      <c r="K19" s="2590"/>
      <c r="L19" s="2594" t="s">
        <v>2691</v>
      </c>
      <c r="M19" s="1832">
        <f>ROUND(SUMIF(地价!B2:F2,E2,地价!B19:F19),0)</f>
        <v>423</v>
      </c>
      <c r="N19" s="1468" t="s">
        <v>2692</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0.98729999999999996</v>
      </c>
      <c r="D20" s="2600" t="s">
        <v>2695</v>
      </c>
      <c r="E20" s="1862">
        <f ca="1">存贷款利率!D4/100</f>
        <v>4.3499999999999997E-2</v>
      </c>
      <c r="F20" s="2600" t="s">
        <v>2684</v>
      </c>
      <c r="G20" s="964">
        <f ca="1">SUMIF(M15:P15,E2,M17:P17)</f>
        <v>0.05</v>
      </c>
      <c r="H20" s="2600" t="s">
        <v>2696</v>
      </c>
      <c r="I20" s="965">
        <f>'数据-取费表'!B13</f>
        <v>63.5</v>
      </c>
      <c r="J20" s="966">
        <f>IF(E2="住宅",70,IF(E2="商业",40,50))</f>
        <v>70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2894</v>
      </c>
      <c r="C21" s="967">
        <f>IF(B21="容积率修正",IF(G3&lt;=10,D22,J22),C23)</f>
        <v>1</v>
      </c>
      <c r="D21" s="2607"/>
      <c r="E21" s="2607"/>
      <c r="F21" s="2607"/>
      <c r="G21" s="2607"/>
      <c r="H21" s="2607"/>
      <c r="I21" s="2607"/>
      <c r="J21" s="2608"/>
      <c r="K21" s="2590"/>
      <c r="N21" s="2609" t="s">
        <v>2702</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1.5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1.5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1.2799</v>
      </c>
      <c r="D23" s="2570"/>
      <c r="E23" s="2570"/>
      <c r="F23" s="2612"/>
      <c r="G23" s="2613"/>
      <c r="H23" s="2614"/>
      <c r="I23" s="2615"/>
      <c r="J23" s="2616"/>
      <c r="N23" s="2609" t="s">
        <v>2707</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1.0352999999999999</v>
      </c>
      <c r="D24" s="2619"/>
      <c r="E24" s="2620"/>
      <c r="F24" s="2620"/>
      <c r="G24" s="2620"/>
      <c r="H24" s="2620"/>
      <c r="I24" s="2620"/>
      <c r="J24" s="2621"/>
      <c r="K24" s="2590"/>
      <c r="N24" s="2622" t="s">
        <v>2710</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494406</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5662</v>
      </c>
      <c r="D29" s="2641">
        <v>87.32</v>
      </c>
      <c r="E29" s="973">
        <f ca="1">ROUND(C29*D29,0)</f>
        <v>494406</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1416</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102" t="s">
        <v>2728</v>
      </c>
      <c r="B33" s="2656" t="s">
        <v>2729</v>
      </c>
      <c r="C33" s="124">
        <f ca="1">ROUND(D5*C19*C20*C24*F33,0)</f>
        <v>0</v>
      </c>
      <c r="D33" s="2641"/>
      <c r="E33" s="118">
        <f t="shared" ref="E33:E39" ca="1" si="6">ROUND(C33*D33,0)</f>
        <v>0</v>
      </c>
      <c r="F33" s="118">
        <f>SUMIF(修正!A45:A56,G2,修正!B45:B56)</f>
        <v>0.6</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3"/>
      <c r="B34" s="2561" t="s">
        <v>2730</v>
      </c>
      <c r="C34" s="124">
        <f ca="1">ROUND(D5*C19*C20*C24*F34,0)</f>
        <v>0</v>
      </c>
      <c r="D34" s="2641"/>
      <c r="E34" s="118">
        <f t="shared" ca="1" si="6"/>
        <v>0</v>
      </c>
      <c r="F34" s="118">
        <f>SUMIF(修正!A45:A56,G2,修正!C45:C56)</f>
        <v>0.3</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3"/>
      <c r="B35" s="2561" t="s">
        <v>2731</v>
      </c>
      <c r="C35" s="124">
        <f ca="1">ROUND(D5*C19*C20*C24*F35,0)</f>
        <v>0</v>
      </c>
      <c r="D35" s="2641"/>
      <c r="E35" s="118">
        <f t="shared" ca="1" si="6"/>
        <v>0</v>
      </c>
      <c r="F35" s="118">
        <f>SUMIF(修正!A45:A56,G2,修正!D45:D56)</f>
        <v>0.2</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4"/>
      <c r="B36" s="2561" t="s">
        <v>2732</v>
      </c>
      <c r="C36" s="124">
        <f ca="1">ROUND(D5*C19*C20*C24*F36,0)</f>
        <v>0</v>
      </c>
      <c r="D36" s="2641"/>
      <c r="E36" s="118">
        <f t="shared" ca="1" si="6"/>
        <v>0</v>
      </c>
      <c r="F36" s="118">
        <f>SUMIF(修正!A45:A56,G2,修正!E45:E56)</f>
        <v>0.2</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1132</v>
      </c>
      <c r="D37" s="2641"/>
      <c r="E37" s="118">
        <f t="shared" ca="1" si="6"/>
        <v>0</v>
      </c>
      <c r="F37" s="124">
        <f>SUMIF(修正!A45:A56,G2,修正!F45:F56)</f>
        <v>0.2</v>
      </c>
      <c r="G37" s="118">
        <f t="shared" ca="1" si="7"/>
        <v>283</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1132</v>
      </c>
      <c r="D38" s="2641"/>
      <c r="E38" s="118">
        <f t="shared" ca="1" si="6"/>
        <v>0</v>
      </c>
      <c r="F38" s="124">
        <f>SUMIF(修正!A45:A56,G2,修正!G45:G56)</f>
        <v>0.2</v>
      </c>
      <c r="G38" s="118">
        <f t="shared" ca="1" si="7"/>
        <v>283</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849</v>
      </c>
      <c r="D39" s="2647"/>
      <c r="E39" s="151">
        <f t="shared" ca="1" si="6"/>
        <v>0</v>
      </c>
      <c r="F39" s="962">
        <f>SUMIF(修正!A45:A56,G2,修正!H45:H56)</f>
        <v>0.15</v>
      </c>
      <c r="G39" s="151">
        <f t="shared" ca="1" si="7"/>
        <v>212</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2739</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2754</v>
      </c>
      <c r="B48" s="2680">
        <f>估价对象房地状况!C16</f>
        <v>0</v>
      </c>
      <c r="C48" s="2567" t="s">
        <v>31</v>
      </c>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89.25" hidden="1">
      <c r="A49" s="2677" t="s">
        <v>2755</v>
      </c>
      <c r="B49" s="2681" t="str">
        <f>估价对象房地状况!C18</f>
        <v>估价对象紧邻城市次干道——新西路，以估价对象为中心半径2公里范围内有密2路、密12路、密13路等公交线路，综合评价交通便捷度一般</v>
      </c>
      <c r="C49" s="2567" t="s">
        <v>30</v>
      </c>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2756</v>
      </c>
      <c r="B50" s="2681">
        <f>估价对象房地状况!C19</f>
        <v>0</v>
      </c>
      <c r="C50" s="2567" t="s">
        <v>30</v>
      </c>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2757</v>
      </c>
      <c r="B51" s="2682" t="s">
        <v>2758</v>
      </c>
      <c r="C51" s="2567" t="s">
        <v>31</v>
      </c>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hidden="1">
      <c r="A52" s="2677" t="s">
        <v>2759</v>
      </c>
      <c r="B52" s="2681" t="str">
        <f>估价对象房地状况!C24</f>
        <v>城市次干道——新西路</v>
      </c>
      <c r="C52" s="2567" t="s">
        <v>30</v>
      </c>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2760</v>
      </c>
      <c r="B53" s="2683" t="s">
        <v>2761</v>
      </c>
      <c r="C53" s="2567" t="s">
        <v>30</v>
      </c>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2762</v>
      </c>
      <c r="B54" s="2685" t="str">
        <f>估价对象房地状况!C21</f>
        <v>估价对象所在区域公共配套设施齐备情况一般</v>
      </c>
      <c r="C54" s="2567" t="s">
        <v>30</v>
      </c>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2763</v>
      </c>
      <c r="B55" s="2681" t="str">
        <f>估价对象房地状况!C22</f>
        <v>估价对象所在区域基础设施水平——七通</v>
      </c>
      <c r="C55" s="2567" t="s">
        <v>30</v>
      </c>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hidden="1" thickBot="1">
      <c r="A56" s="2686" t="s">
        <v>2764</v>
      </c>
      <c r="B56" s="2687" t="str">
        <f>估价对象房地状况!C20</f>
        <v>自然环境：滨河公园、白河郊野公园、密西公园等；人文环境：密云区博物馆、密云区政府等，综合评价环境状况较好</v>
      </c>
      <c r="C56" s="2567" t="s">
        <v>31</v>
      </c>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hidden="1">
      <c r="A59" s="2677" t="s">
        <v>2769</v>
      </c>
      <c r="B59" s="2680">
        <f>估价对象房地状况!C17</f>
        <v>0</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89.25" hidden="1">
      <c r="A60" s="2677" t="s">
        <v>2755</v>
      </c>
      <c r="B60" s="2681" t="str">
        <f>估价对象房地状况!C18</f>
        <v>估价对象紧邻城市次干道——新西路，以估价对象为中心半径2公里范围内有密2路、密12路、密13路等公交线路，综合评价交通便捷度一般</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城市次干道——新西路</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估价对象所在区域公共配套设施齐备情况一般</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估价对象所在区域基础设施水平——七通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hidden="1" thickBot="1">
      <c r="A67" s="2686" t="s">
        <v>2764</v>
      </c>
      <c r="B67" s="2689" t="str">
        <f>估价对象房地状况!C20</f>
        <v>自然环境：滨河公园、白河郊野公园、密西公园等；人文环境：密云区博物馆、密云区政府等，综合评价环境状况较好</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2770</v>
      </c>
      <c r="B68" s="2688">
        <f>1+E70</f>
        <v>1.0352999999999999</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38.25">
      <c r="A70" s="2677" t="s">
        <v>2771</v>
      </c>
      <c r="B70" s="2680" t="str">
        <f>估价对象房地状况!C15</f>
        <v>估价对象周围有康居小区、果园新里、大唐庄、密西花园等住宅小区</v>
      </c>
      <c r="C70" s="2567" t="s">
        <v>30</v>
      </c>
      <c r="D70" s="1378">
        <f t="shared" ref="D70:D78" si="20">SUMIF($J$69:$N$69,C70,J70:N70)</f>
        <v>9.9000000000000008E-3</v>
      </c>
      <c r="E70" s="830">
        <f>ROUND(SUM(D70:D78),4)</f>
        <v>3.5299999999999998E-2</v>
      </c>
      <c r="F70" s="2283">
        <f>IF(E2="住宅",SUMIF(L1:L12,G2,N1:N12),"——")</f>
        <v>0.14199999999999999</v>
      </c>
      <c r="G70" s="1379">
        <v>9.9000000000000008E-3</v>
      </c>
      <c r="H70" s="1383">
        <f t="shared" ref="H70:H78" si="21">IFERROR(ROUNDDOWN($F$70*I70/2,4),"——")</f>
        <v>9.9000000000000008E-3</v>
      </c>
      <c r="I70" s="829">
        <v>0.14000000000000001</v>
      </c>
      <c r="J70" s="1380">
        <f t="shared" ref="J70:J78" si="22">K70+$G70</f>
        <v>1.9800000000000002E-2</v>
      </c>
      <c r="K70" s="1380">
        <f t="shared" ref="K70:K78" si="23">$L70+$G70</f>
        <v>9.9000000000000008E-3</v>
      </c>
      <c r="L70" s="1380">
        <v>0</v>
      </c>
      <c r="M70" s="1380">
        <f t="shared" ref="M70:N78" si="24">L70-$G70</f>
        <v>-9.9000000000000008E-3</v>
      </c>
      <c r="N70" s="1380">
        <f t="shared" si="24"/>
        <v>-1.9800000000000002E-2</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89.25">
      <c r="A71" s="2677" t="s">
        <v>2755</v>
      </c>
      <c r="B71" s="2681" t="str">
        <f>估价对象房地状况!C18</f>
        <v>估价对象紧邻城市次干道——新西路，以估价对象为中心半径2公里范围内有密2路、密12路、密13路等公交线路，综合评价交通便捷度一般</v>
      </c>
      <c r="C71" s="2567" t="s">
        <v>31</v>
      </c>
      <c r="D71" s="1378">
        <f t="shared" si="20"/>
        <v>0</v>
      </c>
      <c r="E71" s="841"/>
      <c r="F71" s="2690"/>
      <c r="G71" s="1379">
        <v>2.1299999999999999E-2</v>
      </c>
      <c r="H71" s="1383">
        <f t="shared" si="21"/>
        <v>2.1299999999999999E-2</v>
      </c>
      <c r="I71" s="829">
        <v>0.3</v>
      </c>
      <c r="J71" s="1380">
        <f t="shared" si="22"/>
        <v>4.2599999999999999E-2</v>
      </c>
      <c r="K71" s="1380">
        <f t="shared" si="23"/>
        <v>2.1299999999999999E-2</v>
      </c>
      <c r="L71" s="1380">
        <v>0</v>
      </c>
      <c r="M71" s="1380">
        <f t="shared" si="24"/>
        <v>-2.1299999999999999E-2</v>
      </c>
      <c r="N71" s="1380">
        <f t="shared" si="24"/>
        <v>-4.2599999999999999E-2</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2756</v>
      </c>
      <c r="B72" s="2681">
        <f>估价对象房地状况!C19</f>
        <v>0</v>
      </c>
      <c r="C72" s="2567" t="s">
        <v>30</v>
      </c>
      <c r="D72" s="1378">
        <f t="shared" si="20"/>
        <v>5.5999999999999999E-3</v>
      </c>
      <c r="E72" s="841"/>
      <c r="F72" s="2690"/>
      <c r="G72" s="1379">
        <v>5.5999999999999999E-3</v>
      </c>
      <c r="H72" s="1383">
        <f t="shared" si="21"/>
        <v>5.5999999999999999E-3</v>
      </c>
      <c r="I72" s="829">
        <v>0.08</v>
      </c>
      <c r="J72" s="1380">
        <f t="shared" si="22"/>
        <v>1.12E-2</v>
      </c>
      <c r="K72" s="1380">
        <f t="shared" si="23"/>
        <v>5.5999999999999999E-3</v>
      </c>
      <c r="L72" s="1380">
        <v>0</v>
      </c>
      <c r="M72" s="1380">
        <f t="shared" si="24"/>
        <v>-5.5999999999999999E-3</v>
      </c>
      <c r="N72" s="1380">
        <f t="shared" si="24"/>
        <v>-1.12E-2</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2772</v>
      </c>
      <c r="B73" s="2681" t="str">
        <f>估价对象房地状况!C24</f>
        <v>城市次干道——新西路</v>
      </c>
      <c r="C73" s="2567" t="s">
        <v>31</v>
      </c>
      <c r="D73" s="1378">
        <f t="shared" si="20"/>
        <v>0</v>
      </c>
      <c r="E73" s="841"/>
      <c r="F73" s="2690"/>
      <c r="G73" s="1379">
        <v>2.8E-3</v>
      </c>
      <c r="H73" s="1383">
        <f t="shared" si="21"/>
        <v>2.8E-3</v>
      </c>
      <c r="I73" s="829">
        <v>0.04</v>
      </c>
      <c r="J73" s="1380">
        <f t="shared" si="22"/>
        <v>5.5999999999999999E-3</v>
      </c>
      <c r="K73" s="1380">
        <f t="shared" si="23"/>
        <v>2.8E-3</v>
      </c>
      <c r="L73" s="1380">
        <v>0</v>
      </c>
      <c r="M73" s="1380">
        <f t="shared" si="24"/>
        <v>-2.8E-3</v>
      </c>
      <c r="N73" s="1380">
        <f t="shared" si="24"/>
        <v>-5.5999999999999999E-3</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2762</v>
      </c>
      <c r="B74" s="2685" t="str">
        <f>估价对象房地状况!C21</f>
        <v>估价对象所在区域公共配套设施齐备情况一般</v>
      </c>
      <c r="C74" s="2567" t="s">
        <v>31</v>
      </c>
      <c r="D74" s="1378">
        <f t="shared" si="20"/>
        <v>0</v>
      </c>
      <c r="E74" s="841"/>
      <c r="F74" s="2690"/>
      <c r="G74" s="1379">
        <v>5.5999999999999999E-3</v>
      </c>
      <c r="H74" s="1383">
        <f t="shared" si="21"/>
        <v>5.5999999999999999E-3</v>
      </c>
      <c r="I74" s="829">
        <v>0.08</v>
      </c>
      <c r="J74" s="1380">
        <f t="shared" si="22"/>
        <v>1.12E-2</v>
      </c>
      <c r="K74" s="1380">
        <f t="shared" si="23"/>
        <v>5.5999999999999999E-3</v>
      </c>
      <c r="L74" s="1380">
        <v>0</v>
      </c>
      <c r="M74" s="1380">
        <f t="shared" si="24"/>
        <v>-5.5999999999999999E-3</v>
      </c>
      <c r="N74" s="1380">
        <f t="shared" si="24"/>
        <v>-1.12E-2</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2763</v>
      </c>
      <c r="B75" s="2685" t="str">
        <f>估价对象房地状况!C22</f>
        <v>估价对象所在区域基础设施水平——七通</v>
      </c>
      <c r="C75" s="2567" t="s">
        <v>30</v>
      </c>
      <c r="D75" s="1378">
        <f t="shared" si="20"/>
        <v>8.5000000000000006E-3</v>
      </c>
      <c r="E75" s="841"/>
      <c r="F75" s="2690"/>
      <c r="G75" s="1379">
        <v>8.5000000000000006E-3</v>
      </c>
      <c r="H75" s="1383">
        <f t="shared" si="21"/>
        <v>8.5000000000000006E-3</v>
      </c>
      <c r="I75" s="829">
        <v>0.12</v>
      </c>
      <c r="J75" s="1380">
        <f t="shared" si="22"/>
        <v>1.7000000000000001E-2</v>
      </c>
      <c r="K75" s="1380">
        <f t="shared" si="23"/>
        <v>8.5000000000000006E-3</v>
      </c>
      <c r="L75" s="1380">
        <v>0</v>
      </c>
      <c r="M75" s="1380">
        <f t="shared" si="24"/>
        <v>-8.5000000000000006E-3</v>
      </c>
      <c r="N75" s="1380">
        <f t="shared" si="24"/>
        <v>-1.7000000000000001E-2</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2760</v>
      </c>
      <c r="B76" s="2683" t="s">
        <v>2761</v>
      </c>
      <c r="C76" s="2567" t="s">
        <v>30</v>
      </c>
      <c r="D76" s="1378">
        <f t="shared" si="20"/>
        <v>3.5000000000000001E-3</v>
      </c>
      <c r="E76" s="841"/>
      <c r="F76" s="2690"/>
      <c r="G76" s="1379">
        <v>3.5000000000000001E-3</v>
      </c>
      <c r="H76" s="1383">
        <f t="shared" si="21"/>
        <v>3.5000000000000001E-3</v>
      </c>
      <c r="I76" s="829">
        <v>0.05</v>
      </c>
      <c r="J76" s="1380">
        <f t="shared" si="22"/>
        <v>7.0000000000000001E-3</v>
      </c>
      <c r="K76" s="1380">
        <f t="shared" si="23"/>
        <v>3.5000000000000001E-3</v>
      </c>
      <c r="L76" s="1380">
        <v>0</v>
      </c>
      <c r="M76" s="1380">
        <f t="shared" si="24"/>
        <v>-3.5000000000000001E-3</v>
      </c>
      <c r="N76" s="1380">
        <f t="shared" si="24"/>
        <v>-7.0000000000000001E-3</v>
      </c>
      <c r="Z76" s="2514"/>
      <c r="AA76" s="2591"/>
      <c r="AG76" s="2667"/>
      <c r="AK76" s="2591"/>
    </row>
    <row r="77" spans="1:37" ht="63.75">
      <c r="A77" s="2677" t="s">
        <v>2764</v>
      </c>
      <c r="B77" s="2680" t="str">
        <f>估价对象房地状况!C20</f>
        <v>自然环境：滨河公园、白河郊野公园、密西公园等；人文环境：密云区博物馆、密云区政府等，综合评价环境状况较好</v>
      </c>
      <c r="C77" s="2567" t="s">
        <v>30</v>
      </c>
      <c r="D77" s="1378">
        <f t="shared" si="20"/>
        <v>1.06E-2</v>
      </c>
      <c r="E77" s="841"/>
      <c r="F77" s="2690"/>
      <c r="G77" s="1379">
        <v>1.06E-2</v>
      </c>
      <c r="H77" s="1383">
        <f t="shared" si="21"/>
        <v>1.06E-2</v>
      </c>
      <c r="I77" s="829">
        <v>0.15</v>
      </c>
      <c r="J77" s="1380">
        <f t="shared" si="22"/>
        <v>2.12E-2</v>
      </c>
      <c r="K77" s="1380">
        <f t="shared" si="23"/>
        <v>1.06E-2</v>
      </c>
      <c r="L77" s="1380">
        <v>0</v>
      </c>
      <c r="M77" s="1380">
        <f t="shared" si="24"/>
        <v>-1.06E-2</v>
      </c>
      <c r="N77" s="1380">
        <f t="shared" si="24"/>
        <v>-2.12E-2</v>
      </c>
      <c r="Z77" s="2514"/>
      <c r="AA77" s="2591"/>
      <c r="AG77" s="2667"/>
      <c r="AK77" s="2591"/>
    </row>
    <row r="78" spans="1:37" ht="24.75" thickBot="1">
      <c r="A78" s="2686" t="s">
        <v>2773</v>
      </c>
      <c r="B78" s="2691"/>
      <c r="C78" s="2567" t="s">
        <v>32</v>
      </c>
      <c r="D78" s="1378">
        <f t="shared" si="20"/>
        <v>-2.8E-3</v>
      </c>
      <c r="E78" s="842"/>
      <c r="F78" s="2690"/>
      <c r="G78" s="1379">
        <v>2.8E-3</v>
      </c>
      <c r="H78" s="1383">
        <f t="shared" si="21"/>
        <v>2.8E-3</v>
      </c>
      <c r="I78" s="838">
        <v>0.04</v>
      </c>
      <c r="J78" s="1380">
        <f t="shared" si="22"/>
        <v>5.5999999999999999E-3</v>
      </c>
      <c r="K78" s="1380">
        <f t="shared" si="23"/>
        <v>2.8E-3</v>
      </c>
      <c r="L78" s="1380">
        <v>0</v>
      </c>
      <c r="M78" s="1380">
        <f t="shared" si="24"/>
        <v>-2.8E-3</v>
      </c>
      <c r="N78" s="1380">
        <f t="shared" si="24"/>
        <v>-5.5999999999999999E-3</v>
      </c>
      <c r="Z78" s="2514"/>
      <c r="AA78" s="2591"/>
      <c r="AG78" s="2667"/>
      <c r="AK78" s="2591"/>
    </row>
    <row r="79" spans="1:37" ht="15">
      <c r="A79" s="2672" t="s">
        <v>2774</v>
      </c>
      <c r="B79" s="2688">
        <f>1+E81</f>
        <v>1</v>
      </c>
      <c r="C79" s="818"/>
      <c r="D79" s="818"/>
      <c r="E79" s="819"/>
      <c r="F79" s="2675"/>
      <c r="G79" s="7"/>
      <c r="H79" s="7"/>
      <c r="I79" s="7"/>
      <c r="J79" s="9"/>
      <c r="K79" s="9"/>
      <c r="L79" s="9"/>
      <c r="M79" s="9"/>
      <c r="N79" s="9"/>
      <c r="Z79" s="2514"/>
      <c r="AA79" s="2591"/>
      <c r="AG79" s="2667"/>
      <c r="AK79" s="2591"/>
    </row>
    <row r="80" spans="1:37" ht="24.75">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4" t="s">
        <v>2777</v>
      </c>
      <c r="B90" s="3094"/>
      <c r="C90" s="3094"/>
      <c r="D90" s="3094"/>
      <c r="E90" s="3094"/>
      <c r="F90" s="3094"/>
      <c r="G90" s="3094"/>
      <c r="H90" s="3094"/>
      <c r="I90" s="3094"/>
      <c r="J90" s="3094"/>
      <c r="K90" s="2694"/>
      <c r="L90" s="2694"/>
      <c r="M90" s="2694"/>
      <c r="N90" s="2694"/>
    </row>
    <row r="91" spans="1:37">
      <c r="A91" s="3096" t="s">
        <v>2778</v>
      </c>
      <c r="B91" s="3096" t="s">
        <v>2779</v>
      </c>
      <c r="C91" s="2642" t="s">
        <v>2780</v>
      </c>
      <c r="D91" s="2643"/>
      <c r="E91" s="2643"/>
      <c r="F91" s="2643"/>
      <c r="G91" s="2643"/>
      <c r="H91" s="2643"/>
      <c r="I91" s="2643"/>
      <c r="J91" s="2695"/>
      <c r="K91" s="2696"/>
      <c r="L91" s="2696"/>
      <c r="M91" s="2696"/>
      <c r="N91" s="2696"/>
    </row>
    <row r="92" spans="1:37">
      <c r="A92" s="3096"/>
      <c r="B92" s="3096"/>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7"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8"/>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8"/>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8"/>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8"/>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8"/>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8"/>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9"/>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97" t="s">
        <v>2782</v>
      </c>
      <c r="B101" s="2701" t="s">
        <v>2783</v>
      </c>
      <c r="C101" s="2702">
        <f>$G$3</f>
        <v>1.5</v>
      </c>
      <c r="D101" s="2702">
        <f t="shared" ref="D101:N101" si="31">$G$3</f>
        <v>1.5</v>
      </c>
      <c r="E101" s="2702">
        <f t="shared" si="31"/>
        <v>1.5</v>
      </c>
      <c r="F101" s="2702">
        <f t="shared" si="31"/>
        <v>1.5</v>
      </c>
      <c r="G101" s="2702">
        <f t="shared" si="31"/>
        <v>1.5</v>
      </c>
      <c r="H101" s="2702">
        <f t="shared" si="31"/>
        <v>1.5</v>
      </c>
      <c r="I101" s="2702">
        <f t="shared" si="31"/>
        <v>1.5</v>
      </c>
      <c r="J101" s="2702">
        <f t="shared" si="31"/>
        <v>1.5</v>
      </c>
      <c r="K101" s="2702">
        <f t="shared" si="31"/>
        <v>1.5</v>
      </c>
      <c r="L101" s="2702">
        <f t="shared" si="31"/>
        <v>1.5</v>
      </c>
      <c r="M101" s="2702">
        <f t="shared" si="31"/>
        <v>1.5</v>
      </c>
      <c r="N101" s="2702">
        <f t="shared" si="31"/>
        <v>1.5</v>
      </c>
    </row>
    <row r="102" spans="1:14">
      <c r="A102" s="3098"/>
      <c r="B102" s="2697">
        <v>1</v>
      </c>
      <c r="C102" s="2698">
        <f>1.9362/C101</f>
        <v>1.2907999999999999</v>
      </c>
      <c r="D102" s="2698">
        <f>1.9362/D101</f>
        <v>1.2907999999999999</v>
      </c>
      <c r="E102" s="2698">
        <f>1.8629/E101</f>
        <v>1.2419333333333333</v>
      </c>
      <c r="F102" s="2698">
        <f>1.8629/F101</f>
        <v>1.2419333333333333</v>
      </c>
      <c r="G102" s="2698">
        <f>1.8629/G101</f>
        <v>1.2419333333333333</v>
      </c>
      <c r="H102" s="2698">
        <f>1.8629/H101</f>
        <v>1.2419333333333333</v>
      </c>
      <c r="I102" s="2698">
        <f>1.8629/I101</f>
        <v>1.2419333333333333</v>
      </c>
      <c r="J102" s="2698">
        <f>1.942/J101</f>
        <v>1.2946666666666666</v>
      </c>
      <c r="K102" s="2698">
        <f>1.942/K101</f>
        <v>1.2946666666666666</v>
      </c>
      <c r="L102" s="2698">
        <f>1.942/L101</f>
        <v>1.2946666666666666</v>
      </c>
      <c r="M102" s="2698">
        <f>1.942/M101</f>
        <v>1.2946666666666666</v>
      </c>
      <c r="N102" s="2698">
        <f>1.942/N101</f>
        <v>1.2946666666666666</v>
      </c>
    </row>
    <row r="103" spans="1:14">
      <c r="A103" s="3098"/>
      <c r="B103" s="2697">
        <v>2</v>
      </c>
      <c r="C103" s="2698">
        <f>1.4198/C101</f>
        <v>0.94653333333333334</v>
      </c>
      <c r="D103" s="2698">
        <f>1.4198/D101</f>
        <v>0.94653333333333334</v>
      </c>
      <c r="E103" s="2698">
        <f>1.3372/E101</f>
        <v>0.89146666666666663</v>
      </c>
      <c r="F103" s="2698">
        <f>1.3372/F101</f>
        <v>0.89146666666666663</v>
      </c>
      <c r="G103" s="2698">
        <f>1.3372/G101</f>
        <v>0.89146666666666663</v>
      </c>
      <c r="H103" s="2698">
        <f>1.3372/H101</f>
        <v>0.89146666666666663</v>
      </c>
      <c r="I103" s="2698">
        <f>1.3372/I101</f>
        <v>0.89146666666666663</v>
      </c>
      <c r="J103" s="2698">
        <f>1.2799/J101</f>
        <v>0.85326666666666673</v>
      </c>
      <c r="K103" s="2698">
        <f>1.2799/K101</f>
        <v>0.85326666666666673</v>
      </c>
      <c r="L103" s="2698">
        <f>1.2799/L101</f>
        <v>0.85326666666666673</v>
      </c>
      <c r="M103" s="2698">
        <f>1.2799/M101</f>
        <v>0.85326666666666673</v>
      </c>
      <c r="N103" s="2698">
        <f>1.2799/N101</f>
        <v>0.85326666666666673</v>
      </c>
    </row>
    <row r="104" spans="1:14">
      <c r="A104" s="3098"/>
      <c r="B104" s="2697">
        <v>3</v>
      </c>
      <c r="C104" s="2698">
        <f>1.1594/C101</f>
        <v>0.77293333333333336</v>
      </c>
      <c r="D104" s="2698">
        <f>1.1594/D101</f>
        <v>0.77293333333333336</v>
      </c>
      <c r="E104" s="2698">
        <f>1.0788/E101</f>
        <v>0.71919999999999995</v>
      </c>
      <c r="F104" s="2698">
        <f>1.0788/F101</f>
        <v>0.71919999999999995</v>
      </c>
      <c r="G104" s="2698">
        <f>1.0788/G101</f>
        <v>0.71919999999999995</v>
      </c>
      <c r="H104" s="2698">
        <f>1.0788/H101</f>
        <v>0.71919999999999995</v>
      </c>
      <c r="I104" s="2698">
        <f>1.0788/I101</f>
        <v>0.71919999999999995</v>
      </c>
      <c r="J104" s="2698">
        <f>1.0072/J101</f>
        <v>0.67146666666666677</v>
      </c>
      <c r="K104" s="2698">
        <f>1.0072/K101</f>
        <v>0.67146666666666677</v>
      </c>
      <c r="L104" s="2698">
        <f>1.0072/L101</f>
        <v>0.67146666666666677</v>
      </c>
      <c r="M104" s="2698">
        <f>1.0072/M101</f>
        <v>0.67146666666666677</v>
      </c>
      <c r="N104" s="2698">
        <f>1.0072/N101</f>
        <v>0.67146666666666677</v>
      </c>
    </row>
    <row r="105" spans="1:14">
      <c r="A105" s="3098"/>
      <c r="B105" s="2697">
        <v>4</v>
      </c>
      <c r="C105" s="2698">
        <f>0.9622/C101</f>
        <v>0.64146666666666674</v>
      </c>
      <c r="D105" s="2698">
        <f>0.9622/D101</f>
        <v>0.64146666666666674</v>
      </c>
      <c r="E105" s="2698">
        <f>0.8656/E101</f>
        <v>0.57706666666666673</v>
      </c>
      <c r="F105" s="2698">
        <f>0.8656/F101</f>
        <v>0.57706666666666673</v>
      </c>
      <c r="G105" s="2698">
        <f>0.8656/G101</f>
        <v>0.57706666666666673</v>
      </c>
      <c r="H105" s="2698">
        <f>0.8656/H101</f>
        <v>0.57706666666666673</v>
      </c>
      <c r="I105" s="2698">
        <f>0.8656/I101</f>
        <v>0.57706666666666673</v>
      </c>
      <c r="J105" s="2698">
        <f>0.7525/J101</f>
        <v>0.50166666666666659</v>
      </c>
      <c r="K105" s="2698">
        <f>0.7525/K101</f>
        <v>0.50166666666666659</v>
      </c>
      <c r="L105" s="2698">
        <f>0.7525/L101</f>
        <v>0.50166666666666659</v>
      </c>
      <c r="M105" s="2698">
        <f>0.7525/M101</f>
        <v>0.50166666666666659</v>
      </c>
      <c r="N105" s="2698">
        <f>0.7525/N101</f>
        <v>0.50166666666666659</v>
      </c>
    </row>
    <row r="106" spans="1:14">
      <c r="A106" s="3098"/>
      <c r="B106" s="2697">
        <v>5</v>
      </c>
      <c r="C106" s="2698">
        <f>0.8417/C101</f>
        <v>0.56113333333333337</v>
      </c>
      <c r="D106" s="2698">
        <f>0.8417/D101</f>
        <v>0.56113333333333337</v>
      </c>
      <c r="E106" s="2698">
        <f>0.7371/E101</f>
        <v>0.4914</v>
      </c>
      <c r="F106" s="2698">
        <f>0.7371/F101</f>
        <v>0.4914</v>
      </c>
      <c r="G106" s="2698">
        <f>0.7371/G101</f>
        <v>0.4914</v>
      </c>
      <c r="H106" s="2698">
        <f>0.7371/H101</f>
        <v>0.4914</v>
      </c>
      <c r="I106" s="2698">
        <f>0.7371/I101</f>
        <v>0.4914</v>
      </c>
      <c r="J106" s="2698">
        <f>0.5659/J101</f>
        <v>0.37726666666666664</v>
      </c>
      <c r="K106" s="2698">
        <f>0.5659/K101</f>
        <v>0.37726666666666664</v>
      </c>
      <c r="L106" s="2698">
        <f>0.5659/L101</f>
        <v>0.37726666666666664</v>
      </c>
      <c r="M106" s="2698">
        <f>0.5659/M101</f>
        <v>0.37726666666666664</v>
      </c>
      <c r="N106" s="2698">
        <f>0.5659/N101</f>
        <v>0.37726666666666664</v>
      </c>
    </row>
    <row r="107" spans="1:14">
      <c r="A107" s="3098"/>
      <c r="B107" s="2697">
        <v>6</v>
      </c>
      <c r="C107" s="2698">
        <f>0.7608/C101</f>
        <v>0.50719999999999998</v>
      </c>
      <c r="D107" s="2698">
        <f>0.7608/D101</f>
        <v>0.50719999999999998</v>
      </c>
      <c r="E107" s="2698">
        <f>0.6482/E101</f>
        <v>0.43213333333333331</v>
      </c>
      <c r="F107" s="2698">
        <f>0.6482/F101</f>
        <v>0.43213333333333331</v>
      </c>
      <c r="G107" s="2698">
        <f>0.6482/G101</f>
        <v>0.43213333333333331</v>
      </c>
      <c r="H107" s="2698">
        <f>0.6482/H101</f>
        <v>0.43213333333333331</v>
      </c>
      <c r="I107" s="2698">
        <f>0.6482/I101</f>
        <v>0.43213333333333331</v>
      </c>
      <c r="J107" s="2698">
        <f>0.4525/J101</f>
        <v>0.30166666666666669</v>
      </c>
      <c r="K107" s="2698">
        <f>0.4525/K101</f>
        <v>0.30166666666666669</v>
      </c>
      <c r="L107" s="2698">
        <f>0.4525/L101</f>
        <v>0.30166666666666669</v>
      </c>
      <c r="M107" s="2698">
        <f>0.4525/M101</f>
        <v>0.30166666666666669</v>
      </c>
      <c r="N107" s="2698">
        <f>0.4525/N101</f>
        <v>0.30166666666666669</v>
      </c>
    </row>
    <row r="108" spans="1:14">
      <c r="A108" s="3098"/>
      <c r="B108" s="3100"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9"/>
      <c r="B109" s="3101"/>
      <c r="C109" s="2700">
        <f>(-0.163*(C108^2)-0.59*C108+7617)*(10^(-4))/C101</f>
        <v>0.5076778666666667</v>
      </c>
      <c r="D109" s="2700">
        <f>(-0.163*(D108^2)-0.59*D108+7617)*(10^(-4))/D101</f>
        <v>0.5076778666666667</v>
      </c>
      <c r="E109" s="2700">
        <f>(-0.161*(E108^2)-7.509*E108+6533)*(10^(-4))/E101</f>
        <v>0.43448920000000002</v>
      </c>
      <c r="F109" s="2700">
        <f>(-0.161*(F108^2)-7.509*F108+6533)*(10^(-4))/F101</f>
        <v>0.43448920000000002</v>
      </c>
      <c r="G109" s="2700">
        <f>(-0.161*(G108^2)-7.509*G108+6533)*(10^(-4))/G101</f>
        <v>0.43448920000000002</v>
      </c>
      <c r="H109" s="2700">
        <f>(-0.161*(H108^2)-7.509*H108+6533)*(10^(-4))/H101</f>
        <v>0.43448920000000002</v>
      </c>
      <c r="I109" s="2700">
        <f>(-0.161*(I108^2)-7.509*I108+6533)*(10^(-4))/I101</f>
        <v>0.43448920000000002</v>
      </c>
      <c r="J109" s="2700">
        <f>(-0.214*(J108^2)-21.991*J108+4665)*(10^(-4))/J101</f>
        <v>0.30801080000000003</v>
      </c>
      <c r="K109" s="2700">
        <f>(-0.214*(K108^2)-21.991*K108+4665)*(10^(-4))/K101</f>
        <v>0.30801080000000003</v>
      </c>
      <c r="L109" s="2700">
        <f>(-0.214*(L108^2)-21.991*L108+4665)*(10^(-4))/L101</f>
        <v>0.30801080000000003</v>
      </c>
      <c r="M109" s="2700">
        <f>(-0.214*(M108^2)-21.991*M108+4665)*(10^(-4))/M101</f>
        <v>0.30801080000000003</v>
      </c>
      <c r="N109" s="2700">
        <f>(-0.214*(N108^2)-21.991*N108+4665)*(10^(-4))/N101</f>
        <v>0.30801080000000003</v>
      </c>
    </row>
    <row r="110" spans="1:14">
      <c r="A110" s="3095" t="s">
        <v>2785</v>
      </c>
      <c r="B110" s="3095"/>
      <c r="C110" s="3095"/>
      <c r="D110" s="3095"/>
      <c r="E110" s="3095"/>
      <c r="F110" s="3095"/>
      <c r="G110" s="3095"/>
      <c r="H110" s="3095"/>
      <c r="I110" s="3095"/>
      <c r="J110" s="3095"/>
      <c r="K110" s="2703"/>
      <c r="L110" s="2703"/>
      <c r="M110" s="2703"/>
      <c r="N110" s="2703"/>
    </row>
    <row r="112" spans="1:14" ht="13.5" thickBot="1"/>
    <row r="113" spans="1:13" ht="25.5" thickBot="1">
      <c r="A113" s="929" t="s">
        <v>2786</v>
      </c>
      <c r="B113" s="1381">
        <f>G3</f>
        <v>1.5</v>
      </c>
      <c r="C113" s="930" t="s">
        <v>2787</v>
      </c>
      <c r="D113" s="931">
        <f>SUMPRODUCT((A115:A118=F113)*(B114:M114=H113)*B115:M118)</f>
        <v>0.72699999999999998</v>
      </c>
      <c r="E113" s="2705" t="s">
        <v>2673</v>
      </c>
      <c r="F113" s="2706" t="str">
        <f>E2</f>
        <v>住宅</v>
      </c>
      <c r="G113" s="2705" t="s">
        <v>2609</v>
      </c>
      <c r="H113" s="2706" t="str">
        <f>G2</f>
        <v>八级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0.9194</v>
      </c>
      <c r="C115" s="936">
        <f>B115</f>
        <v>0.9194</v>
      </c>
      <c r="D115" s="936">
        <f>ROUND(0.8331-0.0109*B113,4)</f>
        <v>0.81679999999999997</v>
      </c>
      <c r="E115" s="936">
        <f>D115</f>
        <v>0.81679999999999997</v>
      </c>
      <c r="F115" s="936">
        <f>E115</f>
        <v>0.81679999999999997</v>
      </c>
      <c r="G115" s="936">
        <f>F115</f>
        <v>0.81679999999999997</v>
      </c>
      <c r="H115" s="936">
        <f>G115</f>
        <v>0.81679999999999997</v>
      </c>
      <c r="I115" s="936">
        <f>ROUND(0.689-0.0155*B113,4)</f>
        <v>0.66579999999999995</v>
      </c>
      <c r="J115" s="936">
        <f t="shared" ref="J115:M118" si="33">I115</f>
        <v>0.66579999999999995</v>
      </c>
      <c r="K115" s="936">
        <f t="shared" si="33"/>
        <v>0.66579999999999995</v>
      </c>
      <c r="L115" s="936">
        <f t="shared" si="33"/>
        <v>0.66579999999999995</v>
      </c>
      <c r="M115" s="937">
        <f t="shared" si="33"/>
        <v>0.66579999999999995</v>
      </c>
    </row>
    <row r="116" spans="1:13">
      <c r="A116" s="935" t="s">
        <v>2675</v>
      </c>
      <c r="B116" s="936">
        <f>ROUND(0.949-0.012*B113,4)</f>
        <v>0.93100000000000005</v>
      </c>
      <c r="C116" s="936">
        <f>B116</f>
        <v>0.93100000000000005</v>
      </c>
      <c r="D116" s="936">
        <f>ROUND(0.8567-0.013*B113,4)</f>
        <v>0.83720000000000006</v>
      </c>
      <c r="E116" s="936">
        <f t="shared" ref="E116:H117" si="34">D116</f>
        <v>0.83720000000000006</v>
      </c>
      <c r="F116" s="936">
        <f t="shared" si="34"/>
        <v>0.83720000000000006</v>
      </c>
      <c r="G116" s="936">
        <f t="shared" si="34"/>
        <v>0.83720000000000006</v>
      </c>
      <c r="H116" s="936">
        <f t="shared" si="34"/>
        <v>0.83720000000000006</v>
      </c>
      <c r="I116" s="936">
        <f>ROUND(0.7694-0.014*B113,4)</f>
        <v>0.74839999999999995</v>
      </c>
      <c r="J116" s="936">
        <f t="shared" si="33"/>
        <v>0.74839999999999995</v>
      </c>
      <c r="K116" s="936">
        <f t="shared" si="33"/>
        <v>0.74839999999999995</v>
      </c>
      <c r="L116" s="936">
        <f t="shared" si="33"/>
        <v>0.74839999999999995</v>
      </c>
      <c r="M116" s="937">
        <f t="shared" si="33"/>
        <v>0.74839999999999995</v>
      </c>
    </row>
    <row r="117" spans="1:13">
      <c r="A117" s="935" t="s">
        <v>2676</v>
      </c>
      <c r="B117" s="936">
        <f>ROUND(0.8808-0.006*B113,4)</f>
        <v>0.87180000000000002</v>
      </c>
      <c r="C117" s="936">
        <f>B117</f>
        <v>0.87180000000000002</v>
      </c>
      <c r="D117" s="936">
        <f>ROUND(0.8748-0.008*B113,4)</f>
        <v>0.86280000000000001</v>
      </c>
      <c r="E117" s="936">
        <f t="shared" si="34"/>
        <v>0.86280000000000001</v>
      </c>
      <c r="F117" s="936">
        <f t="shared" si="34"/>
        <v>0.86280000000000001</v>
      </c>
      <c r="G117" s="936">
        <f t="shared" si="34"/>
        <v>0.86280000000000001</v>
      </c>
      <c r="H117" s="936">
        <f t="shared" si="34"/>
        <v>0.86280000000000001</v>
      </c>
      <c r="I117" s="936">
        <f>ROUND(0.7412-0.0095*B113,4)</f>
        <v>0.72699999999999998</v>
      </c>
      <c r="J117" s="936">
        <f t="shared" si="33"/>
        <v>0.72699999999999998</v>
      </c>
      <c r="K117" s="936">
        <f t="shared" si="33"/>
        <v>0.72699999999999998</v>
      </c>
      <c r="L117" s="936">
        <f t="shared" si="33"/>
        <v>0.72699999999999998</v>
      </c>
      <c r="M117" s="937">
        <f t="shared" si="33"/>
        <v>0.72699999999999998</v>
      </c>
    </row>
    <row r="118" spans="1:13" ht="13.5" thickBot="1">
      <c r="A118" s="703" t="s">
        <v>2677</v>
      </c>
      <c r="B118" s="938">
        <f>ROUND(0.7275-0.01*B113,4)</f>
        <v>0.71250000000000002</v>
      </c>
      <c r="C118" s="938">
        <f>B118</f>
        <v>0.71250000000000002</v>
      </c>
      <c r="D118" s="938">
        <f>ROUND(0.7043-0.012*B113,4)</f>
        <v>0.68630000000000002</v>
      </c>
      <c r="E118" s="938">
        <f>D118</f>
        <v>0.68630000000000002</v>
      </c>
      <c r="F118" s="938">
        <f>E118</f>
        <v>0.68630000000000002</v>
      </c>
      <c r="G118" s="938">
        <f>ROUND(0.6299-0.0122*B113,4)</f>
        <v>0.61160000000000003</v>
      </c>
      <c r="H118" s="938">
        <f>G118</f>
        <v>0.61160000000000003</v>
      </c>
      <c r="I118" s="938">
        <f>ROUND(0.5667-0.0136*B113,4)</f>
        <v>0.54630000000000001</v>
      </c>
      <c r="J118" s="938">
        <f t="shared" si="33"/>
        <v>0.54630000000000001</v>
      </c>
      <c r="K118" s="938">
        <f t="shared" si="33"/>
        <v>0.54630000000000001</v>
      </c>
      <c r="L118" s="938">
        <f t="shared" si="33"/>
        <v>0.54630000000000001</v>
      </c>
      <c r="M118" s="939">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28" sqref="E28"/>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1106470</v>
      </c>
      <c r="C2" s="164" t="str">
        <f>'数据-取费表'!B3</f>
        <v>元</v>
      </c>
      <c r="D2" s="2339" t="s">
        <v>1257</v>
      </c>
      <c r="E2" s="1548">
        <f ca="1">SUMIF(INDIRECT("'"&amp;G2&amp;"'"&amp;"!A:A"),"承租人权益价值",INDIRECT("'"&amp;G2&amp;"'"&amp;"!c:c"))</f>
        <v>-771098</v>
      </c>
      <c r="F2" s="2340" t="str">
        <f>C2</f>
        <v>元</v>
      </c>
      <c r="G2" s="1912" t="s">
        <v>2858</v>
      </c>
    </row>
    <row r="3" spans="1:7" s="165" customFormat="1" ht="18" customHeight="1" thickBot="1">
      <c r="A3" s="168" t="s">
        <v>2009</v>
      </c>
      <c r="B3" s="169">
        <f ca="1">ROUND(C52/IF(B1="仅计算典型户型",'数据-取费表'!E5,'数据-取费表'!B5),0)</f>
        <v>12671</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509485</v>
      </c>
      <c r="D5" s="196" t="s">
        <v>2014</v>
      </c>
      <c r="E5" s="1534" t="s">
        <v>2015</v>
      </c>
      <c r="F5" s="1534" t="s">
        <v>2016</v>
      </c>
      <c r="G5" s="175"/>
    </row>
    <row r="6" spans="1:7" s="176" customFormat="1" ht="13.5" customHeight="1">
      <c r="A6" s="177" t="s">
        <v>2017</v>
      </c>
      <c r="B6" s="178" t="s">
        <v>2018</v>
      </c>
      <c r="C6" s="1533">
        <f ca="1">基准地价修正!B2</f>
        <v>494406</v>
      </c>
      <c r="D6" s="1535"/>
      <c r="E6" s="1536"/>
      <c r="F6" s="1536"/>
      <c r="G6" s="180"/>
    </row>
    <row r="7" spans="1:7" s="176" customFormat="1" ht="13.5" customHeight="1">
      <c r="A7" s="177" t="s">
        <v>2019</v>
      </c>
      <c r="B7" s="178" t="s">
        <v>2020</v>
      </c>
      <c r="C7" s="200">
        <f ca="1">ROUND(C6*F7,0)</f>
        <v>15079</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2895</v>
      </c>
    </row>
    <row r="9" spans="1:7" s="176" customFormat="1" ht="13.5" customHeight="1">
      <c r="A9" s="1306" t="s">
        <v>954</v>
      </c>
      <c r="B9" s="182" t="s">
        <v>2023</v>
      </c>
      <c r="C9" s="1539">
        <f>ROUND(D9*E9,0)</f>
        <v>13971</v>
      </c>
      <c r="D9" s="1540">
        <f>IF('数据-取费表'!B10="住宅",IF(B1="仅计算典型户型",'数据-取费表'!E5,'数据-取费表'!B5),0)</f>
        <v>87.32</v>
      </c>
      <c r="E9" s="1539">
        <f>'数据-取费表'!E11</f>
        <v>160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87.32</v>
      </c>
      <c r="E19" s="196">
        <f>'数据-取费表'!E15</f>
        <v>0</v>
      </c>
      <c r="F19" s="197"/>
      <c r="G19" s="2341" t="s">
        <v>2897</v>
      </c>
    </row>
    <row r="20" spans="1:7" s="176" customFormat="1" ht="13.5" customHeight="1">
      <c r="A20" s="205" t="s">
        <v>2036</v>
      </c>
      <c r="B20" s="174" t="s">
        <v>2037</v>
      </c>
      <c r="C20" s="184">
        <f ca="1">ROUND((C5+C19)*F20,0)</f>
        <v>10190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37090</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36729</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361</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103935</v>
      </c>
      <c r="D27" s="186">
        <f>C29</f>
        <v>4.0000000000000001E-3</v>
      </c>
      <c r="E27" s="187" t="s">
        <v>2041</v>
      </c>
      <c r="F27" s="197">
        <f>'数据-取费表'!E28</f>
        <v>0.2</v>
      </c>
      <c r="G27" s="198" t="s">
        <v>2056</v>
      </c>
    </row>
    <row r="28" spans="1:7" s="176" customFormat="1" ht="13.5" customHeight="1">
      <c r="A28" s="177" t="s">
        <v>2045</v>
      </c>
      <c r="B28" s="199" t="s">
        <v>2057</v>
      </c>
      <c r="C28" s="200">
        <f ca="1">ROUND((C5+C19+C20)*F27*'数据-取费表'!B22/'数据-取费表'!B21,0)</f>
        <v>103935</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5.2400000000000002E-2</v>
      </c>
      <c r="D30" s="187" t="s">
        <v>2041</v>
      </c>
      <c r="E30" s="192"/>
      <c r="F30" s="188">
        <f>'数据-取费表'!E29</f>
        <v>5.5000000000000007E-2</v>
      </c>
      <c r="G30" s="185" t="s">
        <v>2061</v>
      </c>
    </row>
    <row r="31" spans="1:7" ht="16.5" customHeight="1">
      <c r="A31" s="205">
        <v>1</v>
      </c>
      <c r="B31" s="174" t="s">
        <v>2062</v>
      </c>
      <c r="C31" s="196">
        <f ca="1">ROUND((C5+C19+C20+C22+C27)/(1-C21-D22-D27-C30),0)</f>
        <v>715896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304310</v>
      </c>
      <c r="D33" s="184"/>
      <c r="E33" s="1534"/>
      <c r="F33" s="192"/>
      <c r="G33" s="185"/>
    </row>
    <row r="34" spans="1:7" s="207" customFormat="1" ht="13.5" customHeight="1">
      <c r="A34" s="177" t="s">
        <v>2045</v>
      </c>
      <c r="B34" s="178" t="s">
        <v>2067</v>
      </c>
      <c r="C34" s="200">
        <f>IF(B1="仅计算典型户型",'数据-取费表'!F18,'数据-取费表'!E18)</f>
        <v>261960</v>
      </c>
      <c r="D34" s="1535"/>
      <c r="E34" s="200"/>
      <c r="F34" s="1546" t="str">
        <f>IF('数据-取费表'!B25=0,"",'数据-取费表'!E20)</f>
        <v/>
      </c>
      <c r="G34" s="180"/>
    </row>
    <row r="35" spans="1:7" ht="13.5" customHeight="1">
      <c r="A35" s="177" t="s">
        <v>2019</v>
      </c>
      <c r="B35" s="178" t="s">
        <v>2068</v>
      </c>
      <c r="C35" s="200">
        <f>ROUND(C34*F35,0)</f>
        <v>7859</v>
      </c>
      <c r="D35" s="200"/>
      <c r="E35" s="200"/>
      <c r="F35" s="1547">
        <f>'数据-取费表'!E21</f>
        <v>0.03</v>
      </c>
      <c r="G35" s="180" t="s">
        <v>2069</v>
      </c>
    </row>
    <row r="36" spans="1:7" ht="24">
      <c r="A36" s="177" t="s">
        <v>2021</v>
      </c>
      <c r="B36" s="178" t="s">
        <v>2070</v>
      </c>
      <c r="C36" s="200">
        <f>ROUND(IF('数据-取费表'!B10="住宅",C34*F36,0),0)</f>
        <v>13098</v>
      </c>
      <c r="D36" s="200"/>
      <c r="E36" s="200"/>
      <c r="F36" s="1547">
        <f>'数据-取费表'!E22</f>
        <v>0.05</v>
      </c>
      <c r="G36" s="208" t="s">
        <v>2071</v>
      </c>
    </row>
    <row r="37" spans="1:7" s="207" customFormat="1" ht="13.5" customHeight="1">
      <c r="A37" s="177" t="s">
        <v>2052</v>
      </c>
      <c r="B37" s="178" t="s">
        <v>2072</v>
      </c>
      <c r="C37" s="200">
        <f>ROUND(E37*D37,0)</f>
        <v>17464</v>
      </c>
      <c r="D37" s="1535">
        <f>IF(B1="仅计算典型户型",'数据-取费表'!E5,'数据-取费表'!B5)</f>
        <v>87.32</v>
      </c>
      <c r="E37" s="200">
        <f>'数据-取费表'!E23</f>
        <v>200</v>
      </c>
      <c r="F37" s="1547"/>
      <c r="G37" s="209" t="s">
        <v>2073</v>
      </c>
    </row>
    <row r="38" spans="1:7" ht="13.5" customHeight="1">
      <c r="A38" s="177" t="s">
        <v>2074</v>
      </c>
      <c r="B38" s="178" t="s">
        <v>2075</v>
      </c>
      <c r="C38" s="200">
        <f>ROUND(C34*F38,0)</f>
        <v>3929</v>
      </c>
      <c r="D38" s="200"/>
      <c r="E38" s="200"/>
      <c r="F38" s="1547">
        <f>'数据-取费表'!E24</f>
        <v>1.4999999999999999E-2</v>
      </c>
      <c r="G38" s="180" t="s">
        <v>2069</v>
      </c>
    </row>
    <row r="39" spans="1:7" s="176" customFormat="1" ht="13.5" customHeight="1">
      <c r="A39" s="205" t="s">
        <v>2034</v>
      </c>
      <c r="B39" s="174" t="s">
        <v>2037</v>
      </c>
      <c r="C39" s="184">
        <f>ROUND(C33*F20,0)</f>
        <v>6086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10994</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10778</v>
      </c>
      <c r="D42" s="189"/>
      <c r="E42" s="189"/>
      <c r="F42" s="190"/>
      <c r="G42" s="3105" t="s">
        <v>2079</v>
      </c>
    </row>
    <row r="43" spans="1:7" ht="13.5" customHeight="1">
      <c r="A43" s="177" t="s">
        <v>2019</v>
      </c>
      <c r="B43" s="178" t="s">
        <v>2048</v>
      </c>
      <c r="C43" s="189">
        <f ca="1">ROUND(IF('数据-取费表'!B23&lt;=1,C39*F22*'数据-取费表'!B22/2,C39*(POWER((1+F22),'数据-取费表'!B22/2)-1)),0)</f>
        <v>216</v>
      </c>
      <c r="D43" s="189"/>
      <c r="E43" s="189"/>
      <c r="F43" s="190"/>
      <c r="G43" s="3106"/>
    </row>
    <row r="44" spans="1:7" ht="13.5" customHeight="1">
      <c r="A44" s="177" t="s">
        <v>2021</v>
      </c>
      <c r="B44" s="178" t="s">
        <v>2050</v>
      </c>
      <c r="C44" s="189">
        <f ca="1">ROUND(IF('数据-取费表'!B23&lt;=1,C40*F22*'数据-取费表'!B22/2,C40*(POWER((1+F22),'数据-取费表'!B22/2)-1)),4)</f>
        <v>6.9999999999999999E-4</v>
      </c>
      <c r="D44" s="189"/>
      <c r="E44" s="189"/>
      <c r="F44" s="190"/>
      <c r="G44" s="3107"/>
    </row>
    <row r="45" spans="1:7" s="176" customFormat="1" ht="13.5" customHeight="1">
      <c r="A45" s="205" t="s">
        <v>2043</v>
      </c>
      <c r="B45" s="195" t="s">
        <v>2055</v>
      </c>
      <c r="C45" s="196">
        <f>C46</f>
        <v>62079</v>
      </c>
      <c r="D45" s="186">
        <f>C47</f>
        <v>4.0000000000000001E-3</v>
      </c>
      <c r="E45" s="187" t="s">
        <v>2077</v>
      </c>
      <c r="F45" s="197"/>
      <c r="G45" s="198" t="s">
        <v>2080</v>
      </c>
    </row>
    <row r="46" spans="1:7" s="176" customFormat="1" ht="13.5" customHeight="1">
      <c r="A46" s="177" t="s">
        <v>2045</v>
      </c>
      <c r="B46" s="199" t="s">
        <v>2081</v>
      </c>
      <c r="C46" s="200">
        <f>ROUND((C33+C39)*F27,0)</f>
        <v>62079</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5.2400000000000002E-2</v>
      </c>
      <c r="D48" s="187" t="s">
        <v>2077</v>
      </c>
      <c r="E48" s="184"/>
      <c r="F48" s="188"/>
      <c r="G48" s="185" t="s">
        <v>2084</v>
      </c>
    </row>
    <row r="49" spans="1:7" ht="16.5" customHeight="1">
      <c r="A49" s="1307" t="s">
        <v>2085</v>
      </c>
      <c r="B49" s="174" t="s">
        <v>2086</v>
      </c>
      <c r="C49" s="184">
        <f ca="1">ROUND((C33+C39+C41+C45)/(1-C40-D41-D45-C48),0)</f>
        <v>415504</v>
      </c>
      <c r="D49" s="184"/>
      <c r="E49" s="184"/>
      <c r="F49" s="211"/>
      <c r="G49" s="185" t="s">
        <v>2087</v>
      </c>
    </row>
    <row r="50" spans="1:7" s="207" customFormat="1" ht="24">
      <c r="A50" s="1307" t="s">
        <v>2088</v>
      </c>
      <c r="B50" s="174" t="s">
        <v>2089</v>
      </c>
      <c r="C50" s="184"/>
      <c r="D50" s="184"/>
      <c r="E50" s="184"/>
      <c r="F50" s="211">
        <f>IF('数据-取费表'!B25=0,'数据-取费表'!E20,1)</f>
        <v>0.94</v>
      </c>
      <c r="G50" s="198" t="s">
        <v>2090</v>
      </c>
    </row>
    <row r="51" spans="1:7" ht="16.5" customHeight="1">
      <c r="A51" s="1307" t="s">
        <v>2091</v>
      </c>
      <c r="B51" s="174" t="s">
        <v>2092</v>
      </c>
      <c r="C51" s="184">
        <f ca="1">ROUND(C49*F50,0)</f>
        <v>390574</v>
      </c>
      <c r="D51" s="184"/>
      <c r="E51" s="184"/>
      <c r="F51" s="211"/>
      <c r="G51" s="185" t="s">
        <v>2093</v>
      </c>
    </row>
    <row r="52" spans="1:7" s="173" customFormat="1" ht="16.5" thickBot="1">
      <c r="A52" s="212" t="s">
        <v>2094</v>
      </c>
      <c r="B52" s="213"/>
      <c r="C52" s="214">
        <f ca="1">C31+C51</f>
        <v>1106470</v>
      </c>
      <c r="D52" s="213"/>
      <c r="E52" s="213"/>
      <c r="F52" s="213"/>
      <c r="G52" s="215"/>
    </row>
    <row r="55" spans="1:7" ht="15">
      <c r="B55" s="217" t="s">
        <v>2095</v>
      </c>
      <c r="C55" s="218"/>
    </row>
    <row r="56" spans="1:7">
      <c r="B56" s="220" t="s">
        <v>2096</v>
      </c>
      <c r="C56" s="221">
        <f ca="1">ROUND(C51/C52,3)</f>
        <v>0.35299999999999998</v>
      </c>
    </row>
    <row r="57" spans="1:7">
      <c r="B57" s="220" t="s">
        <v>2097</v>
      </c>
      <c r="C57" s="222">
        <f ca="1">1-C56</f>
        <v>0.64700000000000002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8" workbookViewId="0">
      <selection activeCell="I231" sqref="I231"/>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87.32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43143</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183.24100000000001</v>
      </c>
      <c r="C5" s="1836">
        <f ca="1">ROUND(B5*10000/$B$1,0)</f>
        <v>20985</v>
      </c>
      <c r="D5" s="1836" t="e">
        <f ca="1">ROUND(B5*10000/$B$2,0)</f>
        <v>#DIV/0!</v>
      </c>
      <c r="E5" s="1837"/>
      <c r="F5" s="1841"/>
      <c r="G5" s="1841"/>
    </row>
    <row r="6" spans="1:9" ht="16.5">
      <c r="A6" s="1836" t="s">
        <v>1237</v>
      </c>
      <c r="B6" s="1836">
        <f ca="1">SUM(G14:G23)</f>
        <v>183.24100000000001</v>
      </c>
      <c r="C6" s="1836">
        <f t="shared" ref="C6:C8" ca="1" si="0">ROUND(B6*10000/$B$1,0)</f>
        <v>20985</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2860</v>
      </c>
      <c r="B14" s="1840">
        <f>项目基本情况!C12</f>
        <v>87.32</v>
      </c>
      <c r="C14" s="1840">
        <f>项目基本情况!C13</f>
        <v>0</v>
      </c>
      <c r="D14" s="1840">
        <f ca="1">IF('数据-取费表'!B3="万元",IF(A14="估价对象1（结果表）",结果表!H121,'结果表 (1修多)'!H124),IF(A14="估价对象1（结果表）",结果表!H121,'结果表 (1修多)'!H124)/10000)</f>
        <v>183.24100000000001</v>
      </c>
      <c r="E14" s="1840">
        <f ca="1">ROUND(D14*10000/B14,0)</f>
        <v>20985</v>
      </c>
      <c r="F14" s="1840" t="e">
        <f ca="1">ROUND(D14*10000/C14,0)</f>
        <v>#DIV/0!</v>
      </c>
      <c r="G14" s="1840">
        <f ca="1">IF('数据-取费表'!B3="万元",IF(A14="估价对象1（结果表）",结果表!D125,'结果表 (1修多)'!D128),IF(A14="估价对象1（结果表）",结果表!D125,'结果表 (1修多)'!D128)/10000)</f>
        <v>183.24100000000001</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估价对象紧邻城市次干道——新西路，以估价对象为中心半径2公里范围内有密2路、密12路、密13路等公交线路，综合评价交通便捷度一般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城市次干道——新西路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自然环境：滨河公园、白河郊野公园、密西公园等；人文环境：密云区博物馆、密云区政府等，综合评价环境状况较好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估价对象紧邻城市次干道——新西路，以估价对象为中心半径2公里范围内有密2路、密12路、密13路等公交线路，综合评价交通便捷度一般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城市次干道——新西路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自然环境：滨河公园、白河郊野公园、密西公园等；人文环境：密云区博物馆、密云区政府等，综合评价环境状况较好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估价对象周围有康居小区、果园新里、大唐庄、密西花园等住宅小区</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0.14199999999999999</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估价对象紧邻城市次干道——新西路，以估价对象为中心半径2公里范围内有密2路、密12路、密13路等公交线路，综合评价交通便捷度一般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城市次干道——新西路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自然环境：滨河公园、白河郊野公园、密西公园等；人文环境：密云区博物馆、密云区政府等，综合评价环境状况较好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4600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1.0961000000000001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4" t="s">
        <v>1035</v>
      </c>
      <c r="H1" s="3114"/>
      <c r="I1" s="3114"/>
      <c r="J1" s="3114"/>
      <c r="K1" s="3114"/>
      <c r="L1" s="3114"/>
      <c r="N1" s="3114" t="s">
        <v>1036</v>
      </c>
      <c r="O1" s="3114"/>
      <c r="P1" s="3114"/>
      <c r="Q1" s="3114"/>
      <c r="R1" s="1550"/>
      <c r="S1" s="3114" t="s">
        <v>1037</v>
      </c>
      <c r="T1" s="3114"/>
      <c r="U1" s="3114"/>
      <c r="V1" s="3114"/>
      <c r="X1" s="3113" t="s">
        <v>1038</v>
      </c>
      <c r="Y1" s="3114"/>
      <c r="Z1" s="3114"/>
      <c r="AA1" s="3114"/>
      <c r="AB1" s="3114"/>
      <c r="AD1" s="3113" t="s">
        <v>1039</v>
      </c>
      <c r="AE1" s="3114"/>
      <c r="AF1" s="3114"/>
      <c r="AG1" s="3114"/>
      <c r="AH1" s="3114"/>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6"/>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6"/>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7"/>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6"/>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6"/>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7"/>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5">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6"/>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6"/>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7"/>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5">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6"/>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6"/>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7"/>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5">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6"/>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6"/>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7"/>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5">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6">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6">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7">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5">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6">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6">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7">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5">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6">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6">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7">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5">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6">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6">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7">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5">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6">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6">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7">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5">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6">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6">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7">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5">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6">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6">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7">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5">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6">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6">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7">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5">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6">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6">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7">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5">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6">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6">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7">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9"/>
      <c r="C2" s="2779"/>
      <c r="D2" s="2779"/>
      <c r="E2" s="2779"/>
    </row>
    <row r="3" spans="1:5" ht="13.5" customHeight="1">
      <c r="A3" s="1936"/>
      <c r="B3" s="1936"/>
      <c r="C3" s="1936"/>
      <c r="D3" s="1936"/>
      <c r="E3" s="1936"/>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33"/>
      <c r="B5" s="1937" t="s">
        <v>742</v>
      </c>
      <c r="C5" s="2781" t="s">
        <v>784</v>
      </c>
      <c r="D5" s="2782"/>
      <c r="E5" s="1933"/>
    </row>
    <row r="6" spans="1:5" ht="14.25">
      <c r="A6" s="1933"/>
      <c r="B6" s="1938" t="str">
        <f>项目基本情况!I1</f>
        <v>房地产</v>
      </c>
      <c r="C6" s="2783">
        <f>项目基本情况!C12</f>
        <v>87.32</v>
      </c>
      <c r="D6" s="2783"/>
      <c r="E6" s="1933"/>
    </row>
    <row r="7" spans="1:5" ht="14.25">
      <c r="A7" s="1933"/>
      <c r="B7" s="2777" t="s">
        <v>785</v>
      </c>
      <c r="C7" s="1939" t="str">
        <f>IF('数据-取费表'!B3="万元","总价（万元）","总价（元）")</f>
        <v>总价（元）</v>
      </c>
      <c r="D7" s="1940">
        <f ca="1">IF('数据-取费表'!E3="否",结果表!I102,'结果表 (1修多)'!I103)</f>
        <v>1832410</v>
      </c>
      <c r="E7" s="1933"/>
    </row>
    <row r="8" spans="1:5" ht="28.5">
      <c r="A8" s="1933"/>
      <c r="B8" s="2777"/>
      <c r="C8" s="1941" t="s">
        <v>1179</v>
      </c>
      <c r="D8" s="1942" t="str">
        <f ca="1">IF('数据-取费表'!B3="万元",NUMBERSTRING(INT(D7*10000),2)&amp;"元整",NUMBERSTRING(INT(D7),2)&amp;"元整")</f>
        <v>壹佰捌拾叁万贰仟肆佰壹拾元整</v>
      </c>
      <c r="E8" s="1933"/>
    </row>
    <row r="9" spans="1:5" ht="14.25">
      <c r="A9" s="1933"/>
      <c r="B9" s="2777"/>
      <c r="C9" s="1943" t="s">
        <v>1277</v>
      </c>
      <c r="D9" s="1940">
        <f ca="1">IF('数据-取费表'!E3="否",结果表!I103,'结果表 (1修多)'!I104)</f>
        <v>20985</v>
      </c>
      <c r="E9" s="1933"/>
    </row>
    <row r="10" spans="1:5" ht="14.25">
      <c r="A10" s="1933"/>
      <c r="B10" s="2784"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4"/>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4" t="str">
        <f>IF('数据-取费表'!E3="否",结果表!F110,'结果表 (1修多)'!F111)</f>
        <v>3.房地产抵押价值</v>
      </c>
      <c r="C15" s="1934" t="str">
        <f>C7</f>
        <v>总价（元）</v>
      </c>
      <c r="D15" s="1940">
        <f ca="1">IF('数据-取费表'!E3="否",结果表!I110,'结果表 (1修多)'!I111)</f>
        <v>1832410</v>
      </c>
      <c r="E15" s="1933"/>
    </row>
    <row r="16" spans="1:5" ht="28.5">
      <c r="A16" s="1933"/>
      <c r="B16" s="2784"/>
      <c r="C16" s="1941" t="s">
        <v>1179</v>
      </c>
      <c r="D16" s="1940" t="str">
        <f ca="1">IF('数据-取费表'!B3="万元",NUMBERSTRING(INT(D15*10000),2)&amp;"元整",NUMBERSTRING(INT(D15),2)&amp;"元整")</f>
        <v>壹佰捌拾叁万贰仟肆佰壹拾元整</v>
      </c>
      <c r="E16" s="1933"/>
    </row>
    <row r="17" spans="1:5" ht="14.25">
      <c r="A17" s="1933"/>
      <c r="B17" s="2784"/>
      <c r="C17" s="1943" t="s">
        <v>1277</v>
      </c>
      <c r="D17" s="1940">
        <f ca="1">IF('数据-取费表'!E3="否",结果表!I111,'结果表 (1修多)'!I112)</f>
        <v>20985</v>
      </c>
      <c r="E17" s="1933"/>
    </row>
    <row r="18" spans="1:5" ht="14.25">
      <c r="A18" s="1933"/>
      <c r="B18" s="2784" t="str">
        <f>IF('数据-取费表'!E3="否",结果表!F112,'结果表 (1修多)'!F113)</f>
        <v>——</v>
      </c>
      <c r="C18" s="1934" t="str">
        <f>C7</f>
        <v>总价（元）</v>
      </c>
      <c r="D18" s="1940" t="str">
        <f>IF('数据-取费表'!E3="否",结果表!I112,'结果表 (1修多)'!I113)</f>
        <v>——</v>
      </c>
      <c r="E18" s="1933"/>
    </row>
    <row r="19" spans="1:5" ht="14.25">
      <c r="A19" s="1933"/>
      <c r="B19" s="2784"/>
      <c r="C19" s="1941" t="s">
        <v>1179</v>
      </c>
      <c r="D19" s="1940" t="e">
        <f>IF('数据-取费表'!B3="万元",NUMBERSTRING(INT(D18*10000),2)&amp;"元整",NUMBERSTRING(INT(D18),2)&amp;"元整")</f>
        <v>#VALUE!</v>
      </c>
      <c r="E19" s="1933"/>
    </row>
    <row r="20" spans="1:5" ht="14.25">
      <c r="A20" s="1933"/>
      <c r="B20" s="2784"/>
      <c r="C20" s="1943" t="s">
        <v>1277</v>
      </c>
      <c r="D20" s="1940" t="str">
        <f>IF('数据-取费表'!E3="否",结果表!I113,'结果表 (1修多)'!I114)</f>
        <v>——</v>
      </c>
      <c r="E20" s="1933"/>
    </row>
    <row r="21" spans="1:5" ht="14.25">
      <c r="A21" s="1933"/>
      <c r="B21" s="2777" t="str">
        <f>IF('数据-取费表'!E3="否",结果表!F114,'结果表 (1修多)'!F115)</f>
        <v>——</v>
      </c>
      <c r="C21" s="1939" t="str">
        <f>C7</f>
        <v>总价（元）</v>
      </c>
      <c r="D21" s="1940" t="str">
        <f>IF('数据-取费表'!E3="否",结果表!I114,'结果表 (1修多)'!I115)</f>
        <v>——</v>
      </c>
      <c r="E21" s="1933"/>
    </row>
    <row r="22" spans="1:5" ht="14.25">
      <c r="A22" s="1933"/>
      <c r="B22" s="2777"/>
      <c r="C22" s="1941" t="s">
        <v>1179</v>
      </c>
      <c r="D22" s="1942" t="e">
        <f>IF('数据-取费表'!B3="万元",NUMBERSTRING(INT(D21*10000),2)&amp;"元整",NUMBERSTRING(INT(D21),2)&amp;"元整")</f>
        <v>#VALUE!</v>
      </c>
      <c r="E22" s="1933"/>
    </row>
    <row r="23" spans="1:5" ht="15" thickBot="1">
      <c r="A23" s="1933"/>
      <c r="B23" s="2778"/>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9" t="s">
        <v>1278</v>
      </c>
      <c r="C25" s="2769"/>
      <c r="D25" s="2769"/>
      <c r="E25" s="1933"/>
    </row>
    <row r="26" spans="1:5" ht="18.75" customHeight="1" thickTop="1">
      <c r="A26" s="1933"/>
      <c r="B26" s="2772" t="s">
        <v>1178</v>
      </c>
      <c r="C26" s="2773"/>
      <c r="D26" s="2770" t="s">
        <v>1177</v>
      </c>
      <c r="E26" s="1933"/>
    </row>
    <row r="27" spans="1:5" ht="18.75" customHeight="1">
      <c r="A27" s="1933"/>
      <c r="B27" s="2774"/>
      <c r="C27" s="2775"/>
      <c r="D27" s="2771"/>
      <c r="E27" s="1933"/>
    </row>
    <row r="28" spans="1:5" ht="14.25">
      <c r="A28" s="1933"/>
      <c r="B28" s="2762" t="s">
        <v>785</v>
      </c>
      <c r="C28" s="1950" t="s">
        <v>1180</v>
      </c>
      <c r="D28" s="1951">
        <f ca="1">IF('数据-取费表'!E3="否",结果表!I102,'结果表 (1修多)'!I103)</f>
        <v>1832410</v>
      </c>
      <c r="E28" s="1933"/>
    </row>
    <row r="29" spans="1:5" ht="28.5">
      <c r="A29" s="1933"/>
      <c r="B29" s="2763"/>
      <c r="C29" s="1952" t="s">
        <v>1179</v>
      </c>
      <c r="D29" s="1953" t="str">
        <f ca="1">IF('数据-取费表'!B3="万元",NUMBERSTRING(INT(D28*10000),2)&amp;"元整",NUMBERSTRING(INT(D28),2)&amp;"元整")</f>
        <v>壹佰捌拾叁万贰仟肆佰壹拾元整</v>
      </c>
      <c r="E29" s="1933"/>
    </row>
    <row r="30" spans="1:5" ht="14.25">
      <c r="A30" s="1933"/>
      <c r="B30" s="2764"/>
      <c r="C30" s="1943" t="s">
        <v>1182</v>
      </c>
      <c r="D30" s="1954">
        <f ca="1">IF('数据-取费表'!E3="否",结果表!I103,'结果表 (1修多)'!I104)</f>
        <v>20985</v>
      </c>
      <c r="E30" s="1933"/>
    </row>
    <row r="31" spans="1:5" ht="14.25">
      <c r="A31" s="1933"/>
      <c r="B31" s="2767" t="str">
        <f>B10</f>
        <v>2.估价师所知悉的法定优先受偿款</v>
      </c>
      <c r="C31" s="1955" t="s">
        <v>1181</v>
      </c>
      <c r="D31" s="1956">
        <f>IF('数据-取费表'!E3="否",结果表!I105,'结果表 (1修多)'!I106)</f>
        <v>0</v>
      </c>
      <c r="E31" s="1933"/>
    </row>
    <row r="32" spans="1:5" ht="14.25">
      <c r="A32" s="1933"/>
      <c r="B32" s="2776"/>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5" t="str">
        <f>B15</f>
        <v>3.房地产抵押价值</v>
      </c>
      <c r="C36" s="1955" t="str">
        <f>C28</f>
        <v>总价</v>
      </c>
      <c r="D36" s="1956">
        <f ca="1">IF('数据-取费表'!E3="否",结果表!I110,'结果表 (1修多)'!I111)</f>
        <v>1832410</v>
      </c>
      <c r="E36" s="1933"/>
    </row>
    <row r="37" spans="1:5" ht="28.5">
      <c r="A37" s="1933"/>
      <c r="B37" s="2765"/>
      <c r="C37" s="1952" t="s">
        <v>1179</v>
      </c>
      <c r="D37" s="1957" t="str">
        <f ca="1">IF('数据-取费表'!B3="万元",NUMBERSTRING(INT(D36*10000),2)&amp;"元整",NUMBERSTRING(INT(D36),2)&amp;"元整")</f>
        <v>壹佰捌拾叁万贰仟肆佰壹拾元整</v>
      </c>
      <c r="E37" s="1933"/>
    </row>
    <row r="38" spans="1:5" ht="14.25">
      <c r="A38" s="1933"/>
      <c r="B38" s="2765"/>
      <c r="C38" s="1943" t="s">
        <v>1183</v>
      </c>
      <c r="D38" s="1954">
        <f ca="1">IF('数据-取费表'!E3="否",结果表!D113,'结果表 (1修多)'!D116)</f>
        <v>20985</v>
      </c>
      <c r="E38" s="1933"/>
    </row>
    <row r="39" spans="1:5" ht="14.25">
      <c r="A39" s="1933"/>
      <c r="B39" s="2766" t="str">
        <f>B18</f>
        <v>——</v>
      </c>
      <c r="C39" s="1955" t="str">
        <f>C28</f>
        <v>总价</v>
      </c>
      <c r="D39" s="1956" t="str">
        <f>IF('数据-取费表'!E3="否",结果表!I112,'结果表 (1修多)'!I113)</f>
        <v>——</v>
      </c>
      <c r="E39" s="1933"/>
    </row>
    <row r="40" spans="1:5" ht="14.25">
      <c r="A40" s="1933"/>
      <c r="B40" s="2766"/>
      <c r="C40" s="1952" t="s">
        <v>1179</v>
      </c>
      <c r="D40" s="1957" t="e">
        <f>IF('数据-取费表'!B3="万元",NUMBERSTRING(INT(D39*10000),2)&amp;"元整",NUMBERSTRING(INT(D39),2)&amp;"元整")</f>
        <v>#VALUE!</v>
      </c>
      <c r="E40" s="1933"/>
    </row>
    <row r="41" spans="1:5" ht="14.25">
      <c r="A41" s="1933"/>
      <c r="B41" s="2766"/>
      <c r="C41" s="1943" t="s">
        <v>1183</v>
      </c>
      <c r="D41" s="1954" t="str">
        <f>IF('数据-取费表'!E3="否",结果表!D115,'结果表 (1修多)'!D118)</f>
        <v>——</v>
      </c>
      <c r="E41" s="1933"/>
    </row>
    <row r="42" spans="1:5" ht="14.25">
      <c r="A42" s="1933"/>
      <c r="B42" s="2765" t="str">
        <f>B21</f>
        <v>——</v>
      </c>
      <c r="C42" s="1955" t="str">
        <f>C28</f>
        <v>总价</v>
      </c>
      <c r="D42" s="1956" t="str">
        <f>IF('数据-取费表'!E3="否",结果表!I114,'结果表 (1修多)'!I115)</f>
        <v>——</v>
      </c>
      <c r="E42" s="1933"/>
    </row>
    <row r="43" spans="1:5" ht="14.25">
      <c r="A43" s="1933"/>
      <c r="B43" s="2767"/>
      <c r="C43" s="1952" t="s">
        <v>1179</v>
      </c>
      <c r="D43" s="1958" t="e">
        <f>IF('数据-取费表'!B3="万元",NUMBERSTRING(INT(D42*10000),2)&amp;"元整",NUMBERSTRING(INT(D42),2)&amp;"元整")</f>
        <v>#VALUE!</v>
      </c>
      <c r="E43" s="1933"/>
    </row>
    <row r="44" spans="1:5" ht="15" thickBot="1">
      <c r="A44" s="1933"/>
      <c r="B44" s="2768"/>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43143</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5"/>
      <c r="B3" s="2785"/>
      <c r="C3" s="2785"/>
      <c r="D3" s="1050" t="s">
        <v>1284</v>
      </c>
      <c r="E3" s="1050" t="s">
        <v>1285</v>
      </c>
      <c r="F3" s="1050" t="s">
        <v>1284</v>
      </c>
      <c r="G3" s="1050" t="s">
        <v>1286</v>
      </c>
      <c r="H3" s="1050" t="s">
        <v>1284</v>
      </c>
      <c r="I3" s="1050" t="s">
        <v>1286</v>
      </c>
    </row>
    <row r="4" spans="1:9" ht="46.5" customHeight="1">
      <c r="A4" s="1050" t="str">
        <f>项目基本情况!I1</f>
        <v>房地产</v>
      </c>
      <c r="B4" s="1050">
        <f>结果表!B121</f>
        <v>87.32</v>
      </c>
      <c r="C4" s="1050">
        <f>结果表!C121</f>
        <v>0</v>
      </c>
      <c r="D4" s="1050">
        <f ca="1">IF('数据-取费表'!E3="否",结果表!D121,'结果表 (1修多)'!D124)</f>
        <v>773306</v>
      </c>
      <c r="E4" s="1050">
        <f ca="1">IF('数据-取费表'!E3="否",结果表!E121,'结果表 (1修多)'!E124)</f>
        <v>8856</v>
      </c>
      <c r="F4" s="1050">
        <f ca="1">IF('数据-取费表'!E3="否",结果表!F121,'结果表 (1修多)'!F124)</f>
        <v>1059104</v>
      </c>
      <c r="G4" s="1050">
        <f ca="1">IF('数据-取费表'!E3="否",结果表!G121,'结果表 (1修多)'!G124)</f>
        <v>12129</v>
      </c>
      <c r="H4" s="1050">
        <f ca="1">IF('数据-取费表'!E3="否",结果表!H121,'结果表 (1修多)'!H124)</f>
        <v>1832410</v>
      </c>
      <c r="I4" s="1050">
        <f ca="1">IF('数据-取费表'!E3="否",结果表!I121,'结果表 (1修多)'!I124)</f>
        <v>20985</v>
      </c>
    </row>
    <row r="5" spans="1:9" ht="15">
      <c r="A5" s="2785" t="s">
        <v>1287</v>
      </c>
      <c r="B5" s="2785"/>
      <c r="C5" s="2785"/>
      <c r="D5" s="2786" t="str">
        <f ca="1">IF('数据-取费表'!E3="否",结果表!D122,'结果表 (1修多)'!D125)</f>
        <v>柒拾柒万叁仟叁佰零陆元整</v>
      </c>
      <c r="E5" s="2786"/>
      <c r="F5" s="2786" t="str">
        <f ca="1">IF('数据-取费表'!E3="否",结果表!F122,'结果表 (1修多)'!F125)</f>
        <v>壹佰零伍万玖仟壹佰零肆元整</v>
      </c>
      <c r="G5" s="2786"/>
      <c r="H5" s="2786" t="str">
        <f ca="1">IF('数据-取费表'!E3="否",结果表!H122,'结果表 (1修多)'!H125)</f>
        <v>壹佰捌拾叁万贰仟肆佰壹拾元整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1287</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1832410</v>
      </c>
      <c r="E8" s="2787"/>
      <c r="F8" s="2787"/>
      <c r="G8" s="2787"/>
      <c r="H8" s="2787"/>
      <c r="I8" s="2787"/>
    </row>
    <row r="9" spans="1:9" ht="15">
      <c r="A9" s="2785" t="s">
        <v>1287</v>
      </c>
      <c r="B9" s="2785"/>
      <c r="C9" s="2785"/>
      <c r="D9" s="2786">
        <f ca="1">IF('数据-取费表'!E3="否",结果表!D126,'结果表 (1修多)'!D129)</f>
        <v>20985</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1287</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1287</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7" t="s">
        <v>1301</v>
      </c>
      <c r="B1" s="2797"/>
      <c r="C1" s="2797"/>
      <c r="D1" s="2797"/>
    </row>
    <row r="2" spans="1:4" ht="18">
      <c r="A2" s="2796" t="s">
        <v>1289</v>
      </c>
      <c r="B2" s="2796"/>
      <c r="C2" s="2796"/>
      <c r="D2" s="2796"/>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杨红英</v>
      </c>
      <c r="B5" s="1964">
        <f>项目基本情况!E3</f>
        <v>1120070085</v>
      </c>
      <c r="C5" s="1967"/>
      <c r="D5" s="1966" t="s">
        <v>1302</v>
      </c>
    </row>
    <row r="6" spans="1:4" ht="12" customHeight="1">
      <c r="A6" s="1963"/>
      <c r="B6" s="1964"/>
      <c r="C6" s="1968"/>
      <c r="D6" s="1966"/>
    </row>
    <row r="7" spans="1:4" ht="18">
      <c r="A7" s="2796" t="s">
        <v>1294</v>
      </c>
      <c r="B7" s="2796"/>
      <c r="C7" s="2796"/>
      <c r="D7" s="2796"/>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8" t="s">
        <v>1303</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1304</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1297</v>
      </c>
      <c r="B20" s="2800"/>
      <c r="C20" s="2800"/>
      <c r="D20" s="2800"/>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43166</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2017-12-19T08:27:19Z</cp:lastPrinted>
  <dcterms:created xsi:type="dcterms:W3CDTF">2015-07-13T07:17:23Z</dcterms:created>
  <dcterms:modified xsi:type="dcterms:W3CDTF">2018-03-07T08:04:49Z</dcterms:modified>
</cp:coreProperties>
</file>