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Sheet1" sheetId="77"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47" i="21" l="1"/>
  <c r="G47" i="21"/>
  <c r="E47" i="21"/>
  <c r="I37" i="21"/>
  <c r="G37" i="21"/>
  <c r="E37" i="21"/>
  <c r="C37" i="21" l="1"/>
  <c r="C33" i="21"/>
  <c r="N6" i="1"/>
  <c r="N21" i="1"/>
  <c r="N19" i="1"/>
  <c r="E59" i="21"/>
  <c r="F59" i="21"/>
  <c r="G59" i="21" s="1"/>
  <c r="H59" i="21" s="1"/>
  <c r="I59" i="21" s="1"/>
  <c r="J59" i="21" s="1"/>
  <c r="K59" i="21" s="1"/>
  <c r="L59" i="21" s="1"/>
  <c r="M59" i="21" s="1"/>
  <c r="D59" i="21"/>
  <c r="I11" i="21"/>
  <c r="G11" i="21"/>
  <c r="E11" i="21"/>
  <c r="G71" i="43" l="1"/>
  <c r="G72" i="43"/>
  <c r="G73" i="43"/>
  <c r="G74" i="43"/>
  <c r="G75" i="43"/>
  <c r="G76" i="43"/>
  <c r="G77" i="43"/>
  <c r="G78" i="43"/>
  <c r="G70" i="43"/>
  <c r="D29" i="43"/>
  <c r="F19" i="6"/>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c r="H43" i="21"/>
  <c r="AB43" i="21"/>
  <c r="F38" i="21"/>
  <c r="S38" i="21"/>
  <c r="F36" i="21"/>
  <c r="S36" i="21"/>
  <c r="F39" i="21"/>
  <c r="AA39" i="21"/>
  <c r="J40" i="21"/>
  <c r="W40" i="21"/>
  <c r="H35" i="21"/>
  <c r="AB35" i="21"/>
  <c r="J8" i="21"/>
  <c r="AC8" i="21" s="1"/>
  <c r="H8" i="21"/>
  <c r="U8" i="21" s="1"/>
  <c r="H10" i="21"/>
  <c r="AB10" i="21"/>
  <c r="H39" i="21"/>
  <c r="U39" i="21"/>
  <c r="J34" i="21"/>
  <c r="W34" i="21" s="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F48" i="43"/>
  <c r="H52" i="43" s="1"/>
  <c r="M11" i="43"/>
  <c r="F39" i="43"/>
  <c r="F35"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s="1"/>
  <c r="G13" i="3"/>
  <c r="G5" i="3"/>
  <c r="B3" i="3" s="1"/>
  <c r="BA13" i="3"/>
  <c r="E10" i="6"/>
  <c r="BA5" i="3"/>
  <c r="E11" i="6"/>
  <c r="E61" i="39" s="1"/>
  <c r="BL17" i="3"/>
  <c r="AZ17" i="3"/>
  <c r="BL13" i="3"/>
  <c r="E65" i="39"/>
  <c r="G30" i="6"/>
  <c r="G31" i="6"/>
  <c r="J56" i="9"/>
  <c r="J57" i="9"/>
  <c r="U29" i="34"/>
  <c r="E14" i="6"/>
  <c r="E64" i="39" s="1"/>
  <c r="E5" i="6"/>
  <c r="D9" i="11" s="1"/>
  <c r="C9" i="11" s="1"/>
  <c r="P10" i="1"/>
  <c r="L101" i="43"/>
  <c r="L109" i="43" s="1"/>
  <c r="H101" i="43"/>
  <c r="H102" i="43" s="1"/>
  <c r="G22" i="43"/>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c r="F100" i="43"/>
  <c r="H17" i="43"/>
  <c r="D9" i="53"/>
  <c r="B25" i="72"/>
  <c r="B24" i="72"/>
  <c r="G6" i="1"/>
  <c r="H85" i="43"/>
  <c r="H81" i="43"/>
  <c r="H84" i="43"/>
  <c r="H88" i="43"/>
  <c r="C17" i="43"/>
  <c r="F33" i="43"/>
  <c r="K17" i="43"/>
  <c r="F34" i="43"/>
  <c r="N6" i="43"/>
  <c r="F70" i="43" s="1"/>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c r="C46" i="36"/>
  <c r="C59" i="34"/>
  <c r="D59" i="34" s="1"/>
  <c r="E59" i="34" s="1"/>
  <c r="C52" i="37"/>
  <c r="A4" i="51"/>
  <c r="B6" i="72" s="1"/>
  <c r="C48" i="35"/>
  <c r="C4" i="12"/>
  <c r="H65" i="43"/>
  <c r="H63" i="43"/>
  <c r="H56" i="43"/>
  <c r="L20" i="6"/>
  <c r="B6" i="1"/>
  <c r="E6" i="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M6" i="1"/>
  <c r="O6" i="1" s="1"/>
  <c r="P6" i="1" s="1"/>
  <c r="E63" i="39"/>
  <c r="T11" i="1"/>
  <c r="D9" i="69"/>
  <c r="C9" i="69" s="1"/>
  <c r="D19" i="12"/>
  <c r="C19" i="12" s="1"/>
  <c r="AQ9" i="1"/>
  <c r="AR11" i="1"/>
  <c r="T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S37" i="21"/>
  <c r="AA23" i="21"/>
  <c r="AB15" i="21"/>
  <c r="J23" i="21"/>
  <c r="F85" i="21"/>
  <c r="G85" i="21"/>
  <c r="H23" i="21"/>
  <c r="S13" i="21"/>
  <c r="D6" i="52"/>
  <c r="D121" i="9"/>
  <c r="D7" i="52"/>
  <c r="K120" i="9"/>
  <c r="J22" i="43"/>
  <c r="AZ5" i="3"/>
  <c r="K14" i="1"/>
  <c r="M14" i="1" s="1"/>
  <c r="BL5" i="3"/>
  <c r="J59" i="9"/>
  <c r="J61" i="9"/>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99" i="3"/>
  <c r="E61" i="3"/>
  <c r="E236" i="3"/>
  <c r="E254" i="3"/>
  <c r="E188" i="3"/>
  <c r="E135" i="3"/>
  <c r="E148" i="3"/>
  <c r="E91" i="3"/>
  <c r="E228" i="3"/>
  <c r="E290" i="3"/>
  <c r="E269" i="3"/>
  <c r="E221" i="3"/>
  <c r="E181" i="3"/>
  <c r="E161" i="3"/>
  <c r="E122" i="3"/>
  <c r="E180" i="3"/>
  <c r="E157" i="3"/>
  <c r="E117" i="3"/>
  <c r="E89" i="3"/>
  <c r="L106" i="43"/>
  <c r="L107"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5" i="62"/>
  <c r="B73" i="72"/>
  <c r="L27" i="6"/>
  <c r="AP7" i="1"/>
  <c r="M7" i="1"/>
  <c r="O7" i="1" s="1"/>
  <c r="P7" i="1" s="1"/>
  <c r="Q16" i="1"/>
  <c r="F27" i="69" s="1"/>
  <c r="C47" i="69" s="1"/>
  <c r="D45" i="69" s="1"/>
  <c r="H16" i="1"/>
  <c r="AB45" i="21"/>
  <c r="AC33" i="21"/>
  <c r="W33" i="21"/>
  <c r="S33" i="21"/>
  <c r="AB9" i="21"/>
  <c r="U9" i="21"/>
  <c r="AA32" i="21"/>
  <c r="S32" i="21"/>
  <c r="W9" i="21"/>
  <c r="AC9" i="21"/>
  <c r="AB32" i="21"/>
  <c r="U32" i="21"/>
  <c r="AA10" i="21"/>
  <c r="S10" i="21"/>
  <c r="AR7" i="1"/>
  <c r="E6" i="70"/>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9" i="11"/>
  <c r="C17" i="4"/>
  <c r="B4" i="52"/>
  <c r="B43" i="72" s="1"/>
  <c r="D37" i="11"/>
  <c r="L18" i="9"/>
  <c r="D14" i="12"/>
  <c r="D17" i="12" s="1"/>
  <c r="C17" i="12" s="1"/>
  <c r="D3" i="37"/>
  <c r="M18" i="9"/>
  <c r="B118" i="9" s="1"/>
  <c r="B14" i="74" s="1"/>
  <c r="B1" i="74" s="1"/>
  <c r="F28" i="12"/>
  <c r="F27" i="11"/>
  <c r="C29" i="11" s="1"/>
  <c r="D27" i="11" s="1"/>
  <c r="AC11" i="37"/>
  <c r="W11" i="37"/>
  <c r="W11" i="34"/>
  <c r="AC11" i="34"/>
  <c r="D10" i="11"/>
  <c r="C10" i="11" s="1"/>
  <c r="D20" i="12"/>
  <c r="C20" i="12" s="1"/>
  <c r="R7" i="1"/>
  <c r="F34" i="11"/>
  <c r="C37" i="11" s="1"/>
  <c r="F11" i="12"/>
  <c r="C23" i="12" s="1"/>
  <c r="F34" i="68"/>
  <c r="C47" i="11"/>
  <c r="D45" i="11" s="1"/>
  <c r="R8" i="1"/>
  <c r="E2" i="70"/>
  <c r="C34" i="69"/>
  <c r="C35" i="69" s="1"/>
  <c r="D10" i="69"/>
  <c r="C10" i="69" s="1"/>
  <c r="AE7" i="1"/>
  <c r="AE8" i="1"/>
  <c r="AE6" i="1"/>
  <c r="AG6" i="1"/>
  <c r="H109" i="9"/>
  <c r="H110" i="9"/>
  <c r="D18" i="53" s="1"/>
  <c r="B35" i="72" s="1"/>
  <c r="D124" i="9"/>
  <c r="H14" i="74" s="1"/>
  <c r="B7" i="74" s="1"/>
  <c r="D16" i="53"/>
  <c r="B34" i="72"/>
  <c r="D17" i="53"/>
  <c r="B36" i="72" s="1"/>
  <c r="D125" i="9"/>
  <c r="D11" i="52" s="1"/>
  <c r="J7" i="33"/>
  <c r="F7" i="33"/>
  <c r="H7" i="33"/>
  <c r="AB7" i="33" s="1"/>
  <c r="T48" i="33" s="1"/>
  <c r="G48" i="33" s="1"/>
  <c r="H112" i="9"/>
  <c r="D21" i="53"/>
  <c r="B39" i="72" s="1"/>
  <c r="H111" i="9"/>
  <c r="D126" i="9" s="1"/>
  <c r="D19" i="53"/>
  <c r="D20" i="53" s="1"/>
  <c r="B40" i="72" s="1"/>
  <c r="D59" i="9"/>
  <c r="M55" i="9"/>
  <c r="AD3" i="71"/>
  <c r="B4" i="62"/>
  <c r="B71" i="72"/>
  <c r="D63" i="40"/>
  <c r="E63" i="40" s="1"/>
  <c r="J1" i="73"/>
  <c r="C36" i="11"/>
  <c r="H51" i="43"/>
  <c r="H67" i="43"/>
  <c r="H59" i="43"/>
  <c r="H60" i="43"/>
  <c r="H61" i="43"/>
  <c r="M4" i="43"/>
  <c r="M5" i="43"/>
  <c r="N12" i="43"/>
  <c r="N11" i="43"/>
  <c r="M10" i="43"/>
  <c r="M2" i="43"/>
  <c r="M7" i="43"/>
  <c r="H54" i="43"/>
  <c r="N9" i="43"/>
  <c r="M8" i="43"/>
  <c r="N10" i="43"/>
  <c r="H48" i="43"/>
  <c r="M6" i="43"/>
  <c r="C6" i="43" s="1"/>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10" i="49"/>
  <c r="E6" i="49"/>
  <c r="B22" i="49"/>
  <c r="D65" i="40"/>
  <c r="D70" i="39"/>
  <c r="E68" i="39"/>
  <c r="V11" i="71"/>
  <c r="C11" i="71"/>
  <c r="D12" i="71"/>
  <c r="E65" i="40"/>
  <c r="F63" i="40"/>
  <c r="F68" i="39"/>
  <c r="E70" i="39"/>
  <c r="D9" i="71"/>
  <c r="T11" i="71"/>
  <c r="D10" i="71"/>
  <c r="D11" i="71"/>
  <c r="F65" i="40"/>
  <c r="G63" i="40"/>
  <c r="G65" i="40" s="1"/>
  <c r="G68" i="39"/>
  <c r="F70" i="39"/>
  <c r="C19" i="43"/>
  <c r="U11" i="71"/>
  <c r="H63" i="40"/>
  <c r="I63" i="40" s="1"/>
  <c r="H68" i="39"/>
  <c r="G70" i="39"/>
  <c r="H65" i="40"/>
  <c r="I68" i="39"/>
  <c r="I70" i="39" s="1"/>
  <c r="H70" i="39"/>
  <c r="J68" i="39"/>
  <c r="J70" i="39" s="1"/>
  <c r="K68" i="39"/>
  <c r="K70" i="39" s="1"/>
  <c r="L68" i="39"/>
  <c r="L70" i="39" s="1"/>
  <c r="M68" i="39"/>
  <c r="M70" i="39" s="1"/>
  <c r="N68" i="39"/>
  <c r="O68" i="39" s="1"/>
  <c r="O70" i="39" s="1"/>
  <c r="E9" i="49"/>
  <c r="E8" i="49"/>
  <c r="B4" i="49"/>
  <c r="F36" i="67"/>
  <c r="F7" i="73"/>
  <c r="AO6" i="1"/>
  <c r="D34" i="9"/>
  <c r="M9" i="67"/>
  <c r="M28" i="67"/>
  <c r="F35" i="15"/>
  <c r="M9" i="15"/>
  <c r="E13" i="76"/>
  <c r="F5" i="73"/>
  <c r="M21" i="67"/>
  <c r="D3" i="73"/>
  <c r="J15" i="15"/>
  <c r="L47" i="15"/>
  <c r="F26" i="15"/>
  <c r="D2" i="35"/>
  <c r="M22" i="15"/>
  <c r="F43" i="67"/>
  <c r="F40" i="15"/>
  <c r="D2" i="33"/>
  <c r="B13" i="76"/>
  <c r="M22" i="67"/>
  <c r="F9" i="15"/>
  <c r="D6" i="73"/>
  <c r="F7" i="15"/>
  <c r="M28" i="15"/>
  <c r="AO8" i="1"/>
  <c r="E8" i="76"/>
  <c r="F41" i="15"/>
  <c r="F6" i="73"/>
  <c r="AO10" i="1"/>
  <c r="F42" i="67"/>
  <c r="M24" i="15"/>
  <c r="M23" i="15"/>
  <c r="F3" i="73"/>
  <c r="D4" i="73"/>
  <c r="F43" i="15"/>
  <c r="F9" i="67"/>
  <c r="F16" i="67"/>
  <c r="F13" i="67"/>
  <c r="B8" i="76"/>
  <c r="B7" i="76"/>
  <c r="M26" i="67"/>
  <c r="C76" i="15"/>
  <c r="D10" i="68"/>
  <c r="D2" i="21"/>
  <c r="B10" i="76"/>
  <c r="M27" i="15"/>
  <c r="F37" i="67"/>
  <c r="M29" i="67"/>
  <c r="F6" i="15"/>
  <c r="F35" i="67"/>
  <c r="F38" i="67"/>
  <c r="AO7" i="1"/>
  <c r="E7" i="76"/>
  <c r="F42" i="15"/>
  <c r="E12" i="76"/>
  <c r="E11" i="76"/>
  <c r="L48" i="67"/>
  <c r="AO12" i="1"/>
  <c r="F16" i="15"/>
  <c r="F36" i="15"/>
  <c r="F4" i="73"/>
  <c r="F20" i="31"/>
  <c r="M29" i="15"/>
  <c r="AO9" i="1"/>
  <c r="M8" i="67"/>
  <c r="F8" i="67"/>
  <c r="L48" i="15"/>
  <c r="D5" i="73"/>
  <c r="M8" i="15"/>
  <c r="M24" i="67"/>
  <c r="D2" i="37"/>
  <c r="E2" i="68"/>
  <c r="E9" i="76"/>
  <c r="C76" i="67"/>
  <c r="F37" i="15"/>
  <c r="M23" i="67"/>
  <c r="M6" i="15"/>
  <c r="E2" i="69"/>
  <c r="D35" i="9"/>
  <c r="F38" i="15"/>
  <c r="D2" i="34"/>
  <c r="B9" i="76"/>
  <c r="F26" i="67"/>
  <c r="AO13" i="1"/>
  <c r="B11" i="76"/>
  <c r="L47" i="67"/>
  <c r="E10" i="76"/>
  <c r="M6" i="67"/>
  <c r="B12" i="76"/>
  <c r="F7" i="67"/>
  <c r="M27" i="67"/>
  <c r="J15" i="67"/>
  <c r="F13" i="15"/>
  <c r="M21" i="15"/>
  <c r="D9" i="68"/>
  <c r="AO11" i="1"/>
  <c r="M26" i="15"/>
  <c r="F8" i="15"/>
  <c r="F40" i="67"/>
  <c r="D7" i="73"/>
  <c r="F6" i="67"/>
  <c r="D2" i="36"/>
  <c r="F41" i="67"/>
  <c r="L104" i="43" l="1"/>
  <c r="L105" i="43"/>
  <c r="L102" i="43"/>
  <c r="U34" i="21"/>
  <c r="AC32" i="21"/>
  <c r="A24" i="51"/>
  <c r="B18" i="72" s="1"/>
  <c r="E70" i="43"/>
  <c r="B68" i="43" s="1"/>
  <c r="C24" i="43" s="1"/>
  <c r="U33" i="21"/>
  <c r="C9" i="68"/>
  <c r="C10" i="68"/>
  <c r="E11" i="43"/>
  <c r="E9" i="43"/>
  <c r="E10" i="43"/>
  <c r="E8" i="43"/>
  <c r="H106" i="43"/>
  <c r="H105" i="43"/>
  <c r="H107" i="43"/>
  <c r="H109" i="43"/>
  <c r="H104" i="43"/>
  <c r="H103" i="43"/>
  <c r="H73" i="43"/>
  <c r="H78" i="43"/>
  <c r="H76" i="43"/>
  <c r="H75" i="43"/>
  <c r="H77" i="43"/>
  <c r="H70" i="43"/>
  <c r="H74" i="43"/>
  <c r="C36" i="69"/>
  <c r="C92" i="9"/>
  <c r="C94" i="9"/>
  <c r="C20" i="11"/>
  <c r="C28" i="11" s="1"/>
  <c r="C27" i="11" s="1"/>
  <c r="F32" i="15"/>
  <c r="F60" i="15" s="1"/>
  <c r="F31" i="12"/>
  <c r="C31" i="12" s="1"/>
  <c r="F54" i="9"/>
  <c r="M18" i="15"/>
  <c r="M18" i="67"/>
  <c r="F30" i="68"/>
  <c r="C24" i="12"/>
  <c r="C77" i="9"/>
  <c r="C74" i="9" s="1"/>
  <c r="C13" i="12"/>
  <c r="D68" i="9"/>
  <c r="F28" i="15"/>
  <c r="C28" i="15" s="1"/>
  <c r="F30" i="69"/>
  <c r="C30" i="69" s="1"/>
  <c r="F32" i="67"/>
  <c r="F60" i="67" s="1"/>
  <c r="F52" i="9"/>
  <c r="F28" i="67"/>
  <c r="C28" i="67" s="1"/>
  <c r="F30" i="11"/>
  <c r="D23" i="67"/>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69" i="3"/>
  <c r="E237" i="3"/>
  <c r="E114" i="3"/>
  <c r="E261" i="3"/>
  <c r="E278" i="3"/>
  <c r="E304" i="3"/>
  <c r="E415" i="3"/>
  <c r="E528" i="3"/>
  <c r="E563" i="3"/>
  <c r="E565" i="3"/>
  <c r="E395" i="3"/>
  <c r="E183" i="3"/>
  <c r="E172" i="3"/>
  <c r="E213" i="3"/>
  <c r="E260" i="3"/>
  <c r="E361" i="3"/>
  <c r="E445" i="3"/>
  <c r="E17" i="3"/>
  <c r="E550" i="3"/>
  <c r="E503" i="3"/>
  <c r="E535" i="3"/>
  <c r="E302" i="3"/>
  <c r="AY6"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2" i="6"/>
  <c r="K15" i="1"/>
  <c r="K16" i="1" s="1"/>
  <c r="E30" i="6"/>
  <c r="F27" i="6"/>
  <c r="F31" i="6" s="1"/>
  <c r="E56" i="39"/>
  <c r="E51" i="40"/>
  <c r="E59" i="40"/>
  <c r="M16" i="1"/>
  <c r="O14" i="1"/>
  <c r="P14" i="1" s="1"/>
  <c r="O9" i="1"/>
  <c r="P9" i="1" s="1"/>
  <c r="O8" i="1"/>
  <c r="P8" i="1" s="1"/>
  <c r="T7" i="1"/>
  <c r="E16" i="6"/>
  <c r="P11" i="1"/>
  <c r="E56" i="40"/>
  <c r="O12" i="1"/>
  <c r="P12" i="1" s="1"/>
  <c r="F22" i="43"/>
  <c r="K101" i="43"/>
  <c r="F101" i="43"/>
  <c r="N101" i="43"/>
  <c r="E22" i="43"/>
  <c r="D22" i="43" s="1"/>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H72" i="43"/>
  <c r="H55" i="43"/>
  <c r="H64" i="43"/>
  <c r="H66" i="43"/>
  <c r="H71" i="43"/>
  <c r="H53" i="43"/>
  <c r="N104" i="46"/>
  <c r="H50" i="43"/>
  <c r="J17" i="43"/>
  <c r="I17" i="43"/>
  <c r="D17" i="43"/>
  <c r="H113" i="43"/>
  <c r="D127" i="9"/>
  <c r="D13" i="52" s="1"/>
  <c r="I14" i="74"/>
  <c r="B8" i="74" s="1"/>
  <c r="D12" i="52"/>
  <c r="C7" i="74"/>
  <c r="D10" i="52"/>
  <c r="B38" i="72"/>
  <c r="G16" i="1"/>
  <c r="J10" i="39" s="1"/>
  <c r="F7" i="39"/>
  <c r="S7" i="39" s="1"/>
  <c r="J7" i="39"/>
  <c r="W7" i="39" s="1"/>
  <c r="I65" i="40"/>
  <c r="J63" i="40"/>
  <c r="N70" i="39"/>
  <c r="H7" i="39" s="1"/>
  <c r="G52" i="33"/>
  <c r="H52" i="33" s="1"/>
  <c r="F59" i="34"/>
  <c r="G59" i="34" s="1"/>
  <c r="H59" i="34" s="1"/>
  <c r="I59" i="34" s="1"/>
  <c r="J59" i="34" s="1"/>
  <c r="K59" i="34" s="1"/>
  <c r="L59" i="34" s="1"/>
  <c r="M59" i="34" s="1"/>
  <c r="N59" i="34" s="1"/>
  <c r="O59" i="34" s="1"/>
  <c r="F7" i="34"/>
  <c r="U7" i="33"/>
  <c r="S7" i="33"/>
  <c r="AA7" i="33"/>
  <c r="R48" i="33" s="1"/>
  <c r="D48" i="35"/>
  <c r="D52" i="37"/>
  <c r="J10" i="40"/>
  <c r="W7" i="33"/>
  <c r="AC7" i="33"/>
  <c r="V48" i="33" s="1"/>
  <c r="I48" i="33" s="1"/>
  <c r="D46" i="36"/>
  <c r="D58" i="21"/>
  <c r="C29" i="12"/>
  <c r="D28" i="12" s="1"/>
  <c r="C48" i="69"/>
  <c r="D6" i="71"/>
  <c r="C5" i="71"/>
  <c r="D5" i="71" s="1"/>
  <c r="B6" i="49"/>
  <c r="B10" i="49"/>
  <c r="E13" i="49"/>
  <c r="B8" i="49"/>
  <c r="E14" i="49"/>
  <c r="Y7" i="71"/>
  <c r="Z7" i="71" s="1"/>
  <c r="Y6" i="71"/>
  <c r="AA7" i="71"/>
  <c r="AB3" i="71"/>
  <c r="E22" i="49"/>
  <c r="E21" i="49"/>
  <c r="B14" i="49"/>
  <c r="B9" i="49"/>
  <c r="E11" i="49"/>
  <c r="B11" i="49"/>
  <c r="E4" i="49"/>
  <c r="B13" i="49"/>
  <c r="E7" i="49"/>
  <c r="D19" i="68"/>
  <c r="C19" i="68" s="1"/>
  <c r="C29" i="69"/>
  <c r="D27" i="69" s="1"/>
  <c r="B7" i="71"/>
  <c r="B6" i="71" s="1"/>
  <c r="B5" i="71" s="1"/>
  <c r="X7" i="71"/>
  <c r="AB7" i="71"/>
  <c r="Z6" i="71"/>
  <c r="Y3" i="71"/>
  <c r="Z3" i="71" s="1"/>
  <c r="D7" i="71"/>
  <c r="F7" i="71"/>
  <c r="F6" i="71" s="1"/>
  <c r="F5" i="71" s="1"/>
  <c r="AC7" i="39"/>
  <c r="V47" i="39" s="1"/>
  <c r="I47" i="39" s="1"/>
  <c r="I51" i="39" s="1"/>
  <c r="J51" i="39" s="1"/>
  <c r="AA7" i="39"/>
  <c r="R47" i="39" s="1"/>
  <c r="E47" i="39" s="1"/>
  <c r="C14" i="12"/>
  <c r="AF3" i="71"/>
  <c r="P22" i="43" s="1"/>
  <c r="C18" i="12"/>
  <c r="C38" i="69"/>
  <c r="C8" i="69"/>
  <c r="C5" i="69" s="1"/>
  <c r="D19" i="69"/>
  <c r="C19" i="69" s="1"/>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F31" i="15"/>
  <c r="M17" i="67"/>
  <c r="F59" i="15"/>
  <c r="F31" i="67"/>
  <c r="M17" i="15"/>
  <c r="F59" i="67"/>
  <c r="C36" i="68"/>
  <c r="C16" i="15"/>
  <c r="C16" i="67"/>
  <c r="C34" i="68"/>
  <c r="C14" i="15"/>
  <c r="G1" i="73"/>
  <c r="C17" i="67"/>
  <c r="C14" i="67"/>
  <c r="C17" i="15"/>
  <c r="F27" i="68"/>
  <c r="D37" i="69" l="1"/>
  <c r="C37" i="69" s="1"/>
  <c r="C33" i="69" s="1"/>
  <c r="C39" i="69" s="1"/>
  <c r="C8" i="68"/>
  <c r="C35" i="68"/>
  <c r="C38" i="68"/>
  <c r="C29" i="68"/>
  <c r="D27" i="68" s="1"/>
  <c r="C47" i="68"/>
  <c r="D45" i="68" s="1"/>
  <c r="C30" i="68"/>
  <c r="C48" i="68"/>
  <c r="C48" i="11"/>
  <c r="C30" i="11"/>
  <c r="C18" i="15"/>
  <c r="C15" i="15"/>
  <c r="E57" i="40"/>
  <c r="E62" i="39"/>
  <c r="AC6" i="3"/>
  <c r="E6" i="3" s="1"/>
  <c r="E66" i="39"/>
  <c r="E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AY178" i="3"/>
  <c r="AY146" i="3"/>
  <c r="AY157" i="3"/>
  <c r="AY126" i="3"/>
  <c r="AY117" i="3"/>
  <c r="AY302" i="3"/>
  <c r="AY271" i="3"/>
  <c r="AY239" i="3"/>
  <c r="AY254" i="3"/>
  <c r="AY222" i="3"/>
  <c r="AY211" i="3"/>
  <c r="AY389" i="3"/>
  <c r="AY365" i="3"/>
  <c r="BS6"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193" i="3"/>
  <c r="AY162" i="3"/>
  <c r="AY173" i="3"/>
  <c r="AY141" i="3"/>
  <c r="AY134" i="3"/>
  <c r="AY291" i="3"/>
  <c r="AY286" i="3"/>
  <c r="AY255" i="3"/>
  <c r="AY270" i="3"/>
  <c r="AY238" i="3"/>
  <c r="AY227" i="3"/>
  <c r="AY384" i="3"/>
  <c r="AY373" i="3"/>
  <c r="AY368"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378" i="3"/>
  <c r="AY362" i="3"/>
  <c r="AY346" i="3"/>
  <c r="AY469" i="3"/>
  <c r="AY456" i="3"/>
  <c r="AY437" i="3"/>
  <c r="AY558" i="3"/>
  <c r="AY560" i="3"/>
  <c r="BL6" i="3"/>
  <c r="AY91" i="3"/>
  <c r="AY55" i="3"/>
  <c r="AY38"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21" i="3"/>
  <c r="AY376" i="3"/>
  <c r="AY331" i="3"/>
  <c r="AY314" i="3"/>
  <c r="AY466" i="3"/>
  <c r="AY424" i="3"/>
  <c r="AY405" i="3"/>
  <c r="AY517" i="3"/>
  <c r="AY512" i="3"/>
  <c r="AY587" i="3"/>
  <c r="AY86" i="3"/>
  <c r="AY70"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16" i="1"/>
  <c r="C11" i="12" s="1"/>
  <c r="C12" i="12" s="1"/>
  <c r="O16" i="1"/>
  <c r="C104" i="43"/>
  <c r="C106" i="43"/>
  <c r="C105" i="43"/>
  <c r="C102" i="43"/>
  <c r="C109" i="43"/>
  <c r="C103" i="43"/>
  <c r="C107" i="43"/>
  <c r="B115" i="43"/>
  <c r="C115" i="43" s="1"/>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B116" i="43"/>
  <c r="C116" i="43" s="1"/>
  <c r="I117" i="43"/>
  <c r="J117" i="43" s="1"/>
  <c r="K117" i="43" s="1"/>
  <c r="L117" i="43" s="1"/>
  <c r="M117" i="43" s="1"/>
  <c r="B117" i="43"/>
  <c r="C117" i="43" s="1"/>
  <c r="E104" i="43"/>
  <c r="E107" i="43"/>
  <c r="E105" i="43"/>
  <c r="E109" i="43"/>
  <c r="E102" i="43"/>
  <c r="E106" i="43"/>
  <c r="E103" i="43"/>
  <c r="M109" i="43"/>
  <c r="M104" i="43"/>
  <c r="M107" i="43"/>
  <c r="M105" i="43"/>
  <c r="M102" i="43"/>
  <c r="M106" i="43"/>
  <c r="M103" i="43"/>
  <c r="N103" i="43"/>
  <c r="N106" i="43"/>
  <c r="N107" i="43"/>
  <c r="N102" i="43"/>
  <c r="N105" i="43"/>
  <c r="N104" i="43"/>
  <c r="N109" i="43"/>
  <c r="K107" i="43"/>
  <c r="K104" i="43"/>
  <c r="K106" i="43"/>
  <c r="K103" i="43"/>
  <c r="K105" i="43"/>
  <c r="K102" i="43"/>
  <c r="K109" i="43"/>
  <c r="C34" i="11"/>
  <c r="N16" i="1"/>
  <c r="L16" i="1"/>
  <c r="D113" i="43"/>
  <c r="J104" i="43"/>
  <c r="J105" i="43"/>
  <c r="J103" i="43"/>
  <c r="J106" i="43"/>
  <c r="J107" i="43"/>
  <c r="J102" i="43"/>
  <c r="J109" i="43"/>
  <c r="G105" i="43"/>
  <c r="G102" i="43"/>
  <c r="G103" i="43"/>
  <c r="G109" i="43"/>
  <c r="G107" i="43"/>
  <c r="G104" i="43"/>
  <c r="G106" i="43"/>
  <c r="I102" i="43"/>
  <c r="I106" i="43"/>
  <c r="I103" i="43"/>
  <c r="I109" i="43"/>
  <c r="I104" i="43"/>
  <c r="I107" i="43"/>
  <c r="I105" i="43"/>
  <c r="D103" i="43"/>
  <c r="D104" i="43"/>
  <c r="D107" i="43"/>
  <c r="D109" i="43"/>
  <c r="D105" i="43"/>
  <c r="D106" i="43"/>
  <c r="D102" i="43"/>
  <c r="F107" i="43"/>
  <c r="F106" i="43"/>
  <c r="F103" i="43"/>
  <c r="F104" i="43"/>
  <c r="F102" i="43"/>
  <c r="F105" i="43"/>
  <c r="F109" i="43"/>
  <c r="G17" i="43"/>
  <c r="C16" i="43" s="1"/>
  <c r="C8" i="74"/>
  <c r="H10" i="39"/>
  <c r="AB10" i="39" s="1"/>
  <c r="R48" i="39"/>
  <c r="C48" i="39" s="1"/>
  <c r="F10" i="39"/>
  <c r="H10" i="40"/>
  <c r="F10" i="40"/>
  <c r="U7" i="39"/>
  <c r="AB7" i="39"/>
  <c r="T47" i="39" s="1"/>
  <c r="G47" i="39" s="1"/>
  <c r="G51" i="39" s="1"/>
  <c r="H51" i="39" s="1"/>
  <c r="E58" i="21"/>
  <c r="I52" i="33"/>
  <c r="J52" i="33" s="1"/>
  <c r="U10" i="39"/>
  <c r="AC10" i="40"/>
  <c r="W10" i="40"/>
  <c r="E52" i="37"/>
  <c r="E48" i="35"/>
  <c r="H7" i="34"/>
  <c r="J7" i="34"/>
  <c r="G53" i="33"/>
  <c r="H53" i="33" s="1"/>
  <c r="E46" i="36"/>
  <c r="AC10" i="39"/>
  <c r="W10" i="39"/>
  <c r="E48" i="33"/>
  <c r="R49" i="33"/>
  <c r="AA7" i="34"/>
  <c r="R49" i="34" s="1"/>
  <c r="S7" i="34"/>
  <c r="K63" i="40"/>
  <c r="J65" i="40"/>
  <c r="P24" i="43"/>
  <c r="B66" i="40" s="1"/>
  <c r="P21" i="43"/>
  <c r="D37" i="68"/>
  <c r="C37" i="68" s="1"/>
  <c r="C20" i="69"/>
  <c r="C28" i="69" s="1"/>
  <c r="C27" i="69" s="1"/>
  <c r="C49" i="67"/>
  <c r="I52" i="39"/>
  <c r="J52" i="39" s="1"/>
  <c r="P25" i="43"/>
  <c r="P23" i="43"/>
  <c r="B71" i="39" s="1"/>
  <c r="M20" i="43"/>
  <c r="G52" i="39"/>
  <c r="H52" i="39" s="1"/>
  <c r="E51" i="39"/>
  <c r="F51" i="39" s="1"/>
  <c r="E52" i="39"/>
  <c r="F52" i="39" s="1"/>
  <c r="C49" i="15"/>
  <c r="C15" i="67"/>
  <c r="C18" i="67"/>
  <c r="B40" i="1"/>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B2" i="70"/>
  <c r="B3" i="70" s="1"/>
  <c r="C33" i="68" l="1"/>
  <c r="C39" i="68" s="1"/>
  <c r="C46" i="68" s="1"/>
  <c r="C45" i="68" s="1"/>
  <c r="S5" i="43"/>
  <c r="C23" i="43"/>
  <c r="C21" i="43" s="1"/>
  <c r="S4" i="43"/>
  <c r="S7" i="43"/>
  <c r="S6" i="43"/>
  <c r="S2" i="43"/>
  <c r="S3" i="43"/>
  <c r="E41" i="43"/>
  <c r="C41" i="43" s="1"/>
  <c r="C20" i="43"/>
  <c r="C19" i="15"/>
  <c r="C20" i="15" s="1"/>
  <c r="C26" i="15" s="1"/>
  <c r="C15" i="12"/>
  <c r="C16" i="12" s="1"/>
  <c r="C21" i="12" s="1"/>
  <c r="K24" i="6"/>
  <c r="M24" i="6" s="1"/>
  <c r="I24" i="6" s="1"/>
  <c r="S24" i="6" s="1"/>
  <c r="K19" i="6"/>
  <c r="S6" i="1" s="1"/>
  <c r="E31" i="6"/>
  <c r="K26" i="6"/>
  <c r="M26" i="6" s="1"/>
  <c r="I26" i="6" s="1"/>
  <c r="S26" i="6" s="1"/>
  <c r="K23" i="6"/>
  <c r="M23" i="6" s="1"/>
  <c r="I23" i="6" s="1"/>
  <c r="S23" i="6" s="1"/>
  <c r="K22" i="6"/>
  <c r="M22" i="6" s="1"/>
  <c r="I22" i="6" s="1"/>
  <c r="S22" i="6" s="1"/>
  <c r="K20" i="6"/>
  <c r="M20" i="6" s="1"/>
  <c r="I20" i="6" s="1"/>
  <c r="K21" i="6"/>
  <c r="M21" i="6" s="1"/>
  <c r="I21" i="6" s="1"/>
  <c r="S21" i="6" s="1"/>
  <c r="K25" i="6"/>
  <c r="M25" i="6" s="1"/>
  <c r="I25" i="6" s="1"/>
  <c r="S25" i="6" s="1"/>
  <c r="D19" i="6"/>
  <c r="D26" i="6"/>
  <c r="C18" i="4"/>
  <c r="D21" i="6"/>
  <c r="D24" i="6"/>
  <c r="D20" i="6"/>
  <c r="D5" i="6"/>
  <c r="D12" i="6"/>
  <c r="D11" i="6"/>
  <c r="D13" i="6"/>
  <c r="D28" i="6"/>
  <c r="M19" i="9"/>
  <c r="C118" i="9" s="1"/>
  <c r="C14" i="74" s="1"/>
  <c r="B2" i="74" s="1"/>
  <c r="D25" i="6"/>
  <c r="D15" i="6"/>
  <c r="D22" i="6"/>
  <c r="D23" i="6"/>
  <c r="D14" i="6"/>
  <c r="D6" i="6"/>
  <c r="D9" i="6"/>
  <c r="D10" i="6"/>
  <c r="L19" i="9"/>
  <c r="E61" i="40"/>
  <c r="D8" i="6"/>
  <c r="H21" i="6"/>
  <c r="R21" i="6" s="1"/>
  <c r="H26" i="6"/>
  <c r="R26" i="6" s="1"/>
  <c r="D29" i="6"/>
  <c r="H23" i="6"/>
  <c r="R23" i="6" s="1"/>
  <c r="H22" i="6"/>
  <c r="R22" i="6" s="1"/>
  <c r="F50" i="11"/>
  <c r="F50" i="68"/>
  <c r="F50" i="69"/>
  <c r="C38" i="11"/>
  <c r="C35" i="11"/>
  <c r="D5" i="43"/>
  <c r="C5" i="43"/>
  <c r="C47" i="39"/>
  <c r="AA10" i="40"/>
  <c r="S10" i="40"/>
  <c r="S10" i="39"/>
  <c r="AA10" i="39"/>
  <c r="U10" i="40"/>
  <c r="AB10" i="40"/>
  <c r="L63" i="40"/>
  <c r="K65" i="40"/>
  <c r="R50" i="34"/>
  <c r="E49" i="34"/>
  <c r="E53" i="33"/>
  <c r="F53" i="33" s="1"/>
  <c r="E52" i="33"/>
  <c r="F52" i="33" s="1"/>
  <c r="F46" i="36"/>
  <c r="U7" i="34"/>
  <c r="AB7" i="34"/>
  <c r="T49" i="34" s="1"/>
  <c r="G49" i="34" s="1"/>
  <c r="F52" i="37"/>
  <c r="F58" i="21"/>
  <c r="C49" i="33"/>
  <c r="B2" i="33" s="1"/>
  <c r="B3" i="33" s="1"/>
  <c r="C48" i="33"/>
  <c r="AC7" i="34"/>
  <c r="V49" i="34" s="1"/>
  <c r="I49" i="34" s="1"/>
  <c r="W7" i="34"/>
  <c r="F48" i="35"/>
  <c r="I53" i="33"/>
  <c r="J53" i="33" s="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J29" i="15" s="1"/>
  <c r="C53" i="67"/>
  <c r="C48" i="67" s="1"/>
  <c r="C10" i="67"/>
  <c r="C5" i="67" s="1"/>
  <c r="C53" i="15"/>
  <c r="C48" i="15" s="1"/>
  <c r="C10" i="15"/>
  <c r="C5" i="15" s="1"/>
  <c r="F25" i="12"/>
  <c r="F22" i="69"/>
  <c r="F24" i="67"/>
  <c r="C24" i="67" s="1"/>
  <c r="F22" i="11"/>
  <c r="F22" i="68"/>
  <c r="F24" i="15"/>
  <c r="C24" i="15" s="1"/>
  <c r="C46" i="69"/>
  <c r="C45" i="69" s="1"/>
  <c r="AQ6" i="1" l="1"/>
  <c r="AR6" i="1"/>
  <c r="T6" i="1"/>
  <c r="T16" i="1" s="1"/>
  <c r="S16" i="1"/>
  <c r="C33" i="11"/>
  <c r="C39" i="11" s="1"/>
  <c r="H25" i="6"/>
  <c r="R25" i="6" s="1"/>
  <c r="H24" i="6"/>
  <c r="R24" i="6" s="1"/>
  <c r="C22" i="12"/>
  <c r="C30" i="12" s="1"/>
  <c r="C28" i="12" s="1"/>
  <c r="D16" i="6"/>
  <c r="D30" i="6"/>
  <c r="A7" i="51"/>
  <c r="B7" i="72" s="1"/>
  <c r="C4" i="52"/>
  <c r="B45" i="72" s="1"/>
  <c r="A10" i="51"/>
  <c r="B9" i="72" s="1"/>
  <c r="D27" i="6"/>
  <c r="D31" i="6" s="1"/>
  <c r="I6" i="6" s="1"/>
  <c r="M19" i="6"/>
  <c r="K27" i="6"/>
  <c r="D7" i="74"/>
  <c r="D8" i="74"/>
  <c r="H20" i="6"/>
  <c r="R20" i="6" s="1"/>
  <c r="S20" i="6"/>
  <c r="T14" i="43"/>
  <c r="V14" i="43" s="1"/>
  <c r="T12" i="43"/>
  <c r="V12" i="43" s="1"/>
  <c r="T9" i="43"/>
  <c r="V9" i="43" s="1"/>
  <c r="T4" i="43"/>
  <c r="V4" i="43" s="1"/>
  <c r="T6" i="43"/>
  <c r="V6" i="43" s="1"/>
  <c r="T10" i="43"/>
  <c r="V10" i="43" s="1"/>
  <c r="T13" i="43"/>
  <c r="V13" i="43" s="1"/>
  <c r="T2" i="43"/>
  <c r="V2" i="43" s="1"/>
  <c r="T3" i="43"/>
  <c r="V3" i="43" s="1"/>
  <c r="T5" i="43"/>
  <c r="V5" i="43" s="1"/>
  <c r="T11" i="43"/>
  <c r="V11" i="43" s="1"/>
  <c r="T15" i="43"/>
  <c r="V15" i="43" s="1"/>
  <c r="C29" i="43"/>
  <c r="T7" i="43"/>
  <c r="V7" i="43" s="1"/>
  <c r="T16" i="43"/>
  <c r="V16" i="43" s="1"/>
  <c r="T8" i="43"/>
  <c r="V8" i="43" s="1"/>
  <c r="C35" i="43"/>
  <c r="C37" i="43"/>
  <c r="C33" i="43"/>
  <c r="C36" i="43"/>
  <c r="C39" i="43"/>
  <c r="C34" i="43"/>
  <c r="C38" i="43"/>
  <c r="G53" i="34"/>
  <c r="H53" i="34" s="1"/>
  <c r="G54" i="34"/>
  <c r="H54" i="34" s="1"/>
  <c r="G48" i="35"/>
  <c r="I53" i="34"/>
  <c r="J53" i="34" s="1"/>
  <c r="I54" i="34"/>
  <c r="J54" i="34" s="1"/>
  <c r="G58" i="21"/>
  <c r="G52" i="37"/>
  <c r="E54" i="34"/>
  <c r="F54" i="34" s="1"/>
  <c r="E53" i="34"/>
  <c r="F53" i="34" s="1"/>
  <c r="G46" i="36"/>
  <c r="C50" i="34"/>
  <c r="B2" i="34" s="1"/>
  <c r="B3" i="34" s="1"/>
  <c r="C49" i="34"/>
  <c r="M63" i="40"/>
  <c r="L65" i="40"/>
  <c r="C43" i="68"/>
  <c r="C60" i="15"/>
  <c r="C66" i="15"/>
  <c r="C23" i="15"/>
  <c r="C29" i="15" s="1"/>
  <c r="C26" i="69"/>
  <c r="D22" i="69" s="1"/>
  <c r="C44" i="69"/>
  <c r="D41" i="69" s="1"/>
  <c r="C23" i="69"/>
  <c r="C24" i="69"/>
  <c r="C25" i="69"/>
  <c r="C42" i="69"/>
  <c r="C44" i="68"/>
  <c r="D41" i="68" s="1"/>
  <c r="C26" i="68"/>
  <c r="D22" i="68" s="1"/>
  <c r="C42" i="68"/>
  <c r="C24" i="68"/>
  <c r="C26" i="12"/>
  <c r="D25" i="12" s="1"/>
  <c r="C44" i="11"/>
  <c r="D41" i="11" s="1"/>
  <c r="C23" i="11"/>
  <c r="C24" i="11"/>
  <c r="C25" i="11"/>
  <c r="C26" i="11"/>
  <c r="D22" i="11" s="1"/>
  <c r="C42" i="11"/>
  <c r="C43" i="69"/>
  <c r="C38" i="67"/>
  <c r="C38" i="15"/>
  <c r="C66" i="67"/>
  <c r="C60" i="67"/>
  <c r="C23" i="67"/>
  <c r="C29" i="67" s="1"/>
  <c r="C46" i="11" l="1"/>
  <c r="C45" i="11" s="1"/>
  <c r="C43" i="11"/>
  <c r="C41" i="11" s="1"/>
  <c r="I5" i="6"/>
  <c r="C27" i="12"/>
  <c r="C25" i="12" s="1"/>
  <c r="C32" i="12" s="1"/>
  <c r="B2" i="12" s="1"/>
  <c r="B3" i="12" s="1"/>
  <c r="I19" i="6"/>
  <c r="M27" i="6"/>
  <c r="G34" i="43"/>
  <c r="I34" i="43" s="1"/>
  <c r="E34" i="43"/>
  <c r="E36" i="43"/>
  <c r="G36" i="43"/>
  <c r="I36" i="43" s="1"/>
  <c r="E37" i="43"/>
  <c r="G37" i="43"/>
  <c r="I37" i="43" s="1"/>
  <c r="E38" i="43"/>
  <c r="G38" i="43"/>
  <c r="I38" i="43" s="1"/>
  <c r="G39" i="43"/>
  <c r="I39" i="43" s="1"/>
  <c r="E39" i="43"/>
  <c r="G33" i="43"/>
  <c r="I33" i="43" s="1"/>
  <c r="E33" i="43"/>
  <c r="E35" i="43"/>
  <c r="G35" i="43"/>
  <c r="I35" i="43" s="1"/>
  <c r="C30" i="43"/>
  <c r="E30" i="43" s="1"/>
  <c r="E29" i="43"/>
  <c r="N63" i="40"/>
  <c r="M65" i="40"/>
  <c r="H46" i="36"/>
  <c r="H52" i="37"/>
  <c r="H58" i="21"/>
  <c r="H48" i="35"/>
  <c r="C41" i="68"/>
  <c r="C49" i="68" s="1"/>
  <c r="C51" i="68" s="1"/>
  <c r="J14" i="15"/>
  <c r="C57" i="15"/>
  <c r="C36" i="15"/>
  <c r="C33" i="15"/>
  <c r="C31" i="15" s="1"/>
  <c r="C13" i="15"/>
  <c r="Q49" i="15"/>
  <c r="J19" i="15"/>
  <c r="J17" i="15" s="1"/>
  <c r="J59" i="15"/>
  <c r="J60" i="15" s="1"/>
  <c r="C22" i="69"/>
  <c r="C31" i="69" s="1"/>
  <c r="C22" i="11"/>
  <c r="C31" i="11" s="1"/>
  <c r="C41" i="69"/>
  <c r="C49" i="69" s="1"/>
  <c r="C51" i="69" s="1"/>
  <c r="C36" i="67"/>
  <c r="C33" i="67"/>
  <c r="C31" i="67" s="1"/>
  <c r="J14" i="67"/>
  <c r="C13" i="67"/>
  <c r="J19" i="67"/>
  <c r="J17" i="67" s="1"/>
  <c r="C57" i="67"/>
  <c r="Q49" i="67"/>
  <c r="J59" i="67"/>
  <c r="J60" i="67" s="1"/>
  <c r="C27" i="43" l="1"/>
  <c r="C26" i="43"/>
  <c r="B2" i="43" s="1"/>
  <c r="C6" i="68" s="1"/>
  <c r="C7" i="68" s="1"/>
  <c r="C5" i="68" s="1"/>
  <c r="C49" i="11"/>
  <c r="C51" i="11" s="1"/>
  <c r="C52" i="11" s="1"/>
  <c r="S19" i="6"/>
  <c r="S27" i="6" s="1"/>
  <c r="H19" i="6"/>
  <c r="I27" i="6"/>
  <c r="I58" i="21"/>
  <c r="I52" i="37"/>
  <c r="I46" i="36"/>
  <c r="J46" i="36" s="1"/>
  <c r="K46" i="36" s="1"/>
  <c r="L46" i="36" s="1"/>
  <c r="M46" i="36" s="1"/>
  <c r="N46" i="36" s="1"/>
  <c r="O46" i="36" s="1"/>
  <c r="J7" i="36" s="1"/>
  <c r="F7" i="36"/>
  <c r="H7" i="36"/>
  <c r="N65" i="40"/>
  <c r="F7" i="40" s="1"/>
  <c r="O63" i="40"/>
  <c r="O65" i="40" s="1"/>
  <c r="J7" i="40" s="1"/>
  <c r="H7" i="40"/>
  <c r="I48" i="35"/>
  <c r="J48" i="35" s="1"/>
  <c r="K48" i="35" s="1"/>
  <c r="L48" i="35" s="1"/>
  <c r="M48" i="35" s="1"/>
  <c r="N48" i="35" s="1"/>
  <c r="O48" i="35" s="1"/>
  <c r="H7" i="35" s="1"/>
  <c r="F7" i="35"/>
  <c r="J7" i="35"/>
  <c r="Q48" i="15"/>
  <c r="L46" i="15"/>
  <c r="J13" i="67"/>
  <c r="J23" i="67" s="1"/>
  <c r="J22" i="67"/>
  <c r="C61" i="67"/>
  <c r="C59" i="67" s="1"/>
  <c r="C64" i="67"/>
  <c r="C52" i="69"/>
  <c r="B2" i="69" s="1"/>
  <c r="B3" i="69" s="1"/>
  <c r="C64" i="15"/>
  <c r="C61" i="15"/>
  <c r="C59" i="15" s="1"/>
  <c r="Q48" i="67"/>
  <c r="L46" i="67"/>
  <c r="C56" i="67"/>
  <c r="C65" i="67" s="1"/>
  <c r="C75" i="67"/>
  <c r="Q70" i="67"/>
  <c r="C37" i="67"/>
  <c r="C30" i="67" s="1"/>
  <c r="C39" i="67" s="1"/>
  <c r="C56" i="15"/>
  <c r="C65" i="15" s="1"/>
  <c r="Q70" i="15"/>
  <c r="C37" i="15"/>
  <c r="C30" i="15" s="1"/>
  <c r="C39" i="15" s="1"/>
  <c r="C75" i="15"/>
  <c r="J22" i="15"/>
  <c r="J13" i="15"/>
  <c r="J23" i="15" s="1"/>
  <c r="B6" i="76"/>
  <c r="E6" i="76"/>
  <c r="L51" i="67"/>
  <c r="L51" i="15"/>
  <c r="B2" i="11" l="1"/>
  <c r="B3" i="11" s="1"/>
  <c r="C56" i="11"/>
  <c r="C57" i="11" s="1"/>
  <c r="C20" i="68"/>
  <c r="C25" i="68" s="1"/>
  <c r="C23" i="68"/>
  <c r="E2" i="76"/>
  <c r="R19" i="6"/>
  <c r="H27" i="6"/>
  <c r="B2" i="76"/>
  <c r="B3" i="43"/>
  <c r="AB7" i="35"/>
  <c r="T38" i="35" s="1"/>
  <c r="G38" i="35" s="1"/>
  <c r="U7" i="35"/>
  <c r="AC7" i="40"/>
  <c r="V42" i="40" s="1"/>
  <c r="I42" i="40" s="1"/>
  <c r="W7" i="40"/>
  <c r="AA7" i="35"/>
  <c r="R38" i="35" s="1"/>
  <c r="S7" i="35"/>
  <c r="AC7" i="35"/>
  <c r="V38" i="35" s="1"/>
  <c r="I38" i="35" s="1"/>
  <c r="W7" i="35"/>
  <c r="U7" i="36"/>
  <c r="AB7" i="36"/>
  <c r="T36" i="36" s="1"/>
  <c r="G36" i="36" s="1"/>
  <c r="W7" i="36"/>
  <c r="AC7" i="36"/>
  <c r="V36" i="36" s="1"/>
  <c r="I36" i="36" s="1"/>
  <c r="U7" i="40"/>
  <c r="AB7" i="40"/>
  <c r="T42" i="40" s="1"/>
  <c r="G42" i="40" s="1"/>
  <c r="AA7" i="40"/>
  <c r="R42" i="40" s="1"/>
  <c r="S7" i="40"/>
  <c r="AA7" i="36"/>
  <c r="R36" i="36" s="1"/>
  <c r="S7" i="36"/>
  <c r="J52" i="37"/>
  <c r="J58" i="21"/>
  <c r="K58" i="21" s="1"/>
  <c r="L58" i="21" s="1"/>
  <c r="M58" i="21" s="1"/>
  <c r="N58" i="21" s="1"/>
  <c r="O58" i="21" s="1"/>
  <c r="H7" i="21" s="1"/>
  <c r="J7" i="21"/>
  <c r="C58" i="15"/>
  <c r="C67" i="15" s="1"/>
  <c r="C68" i="15" s="1"/>
  <c r="C71" i="15" s="1"/>
  <c r="J16" i="15"/>
  <c r="J25" i="15" s="1"/>
  <c r="J16" i="67"/>
  <c r="J25" i="67" s="1"/>
  <c r="C80" i="67"/>
  <c r="C79" i="67" s="1"/>
  <c r="C80" i="15"/>
  <c r="C79" i="15" s="1"/>
  <c r="C58" i="67"/>
  <c r="C67" i="67" s="1"/>
  <c r="C68" i="67" s="1"/>
  <c r="Q69" i="15"/>
  <c r="Q68" i="15" s="1"/>
  <c r="C40" i="15"/>
  <c r="Q69" i="67"/>
  <c r="Q68" i="67" s="1"/>
  <c r="C40" i="67"/>
  <c r="C57" i="69"/>
  <c r="C56" i="69" s="1"/>
  <c r="C22" i="68" l="1"/>
  <c r="C28" i="68"/>
  <c r="C27" i="68" s="1"/>
  <c r="B3" i="76"/>
  <c r="R27" i="6"/>
  <c r="R6" i="1"/>
  <c r="R16" i="1" s="1"/>
  <c r="AB7" i="21"/>
  <c r="T48" i="21" s="1"/>
  <c r="G48" i="21" s="1"/>
  <c r="U7" i="21"/>
  <c r="F7" i="21"/>
  <c r="G47" i="40"/>
  <c r="H47" i="40" s="1"/>
  <c r="G46" i="40"/>
  <c r="H46" i="40" s="1"/>
  <c r="I40" i="36"/>
  <c r="J40" i="36" s="1"/>
  <c r="G40" i="36"/>
  <c r="H40" i="36" s="1"/>
  <c r="G41" i="36"/>
  <c r="H41" i="36" s="1"/>
  <c r="I46" i="40"/>
  <c r="J46" i="40" s="1"/>
  <c r="W7" i="21"/>
  <c r="AC7" i="21"/>
  <c r="V48" i="21" s="1"/>
  <c r="I48" i="21" s="1"/>
  <c r="K52" i="37"/>
  <c r="L52" i="37" s="1"/>
  <c r="M52" i="37" s="1"/>
  <c r="N52" i="37" s="1"/>
  <c r="O52" i="37" s="1"/>
  <c r="H7" i="37" s="1"/>
  <c r="R37" i="36"/>
  <c r="E36" i="36"/>
  <c r="R43" i="40"/>
  <c r="E42" i="40"/>
  <c r="I42" i="35"/>
  <c r="J42" i="35" s="1"/>
  <c r="E38" i="35"/>
  <c r="I43" i="35" s="1"/>
  <c r="J43" i="35" s="1"/>
  <c r="R39" i="35"/>
  <c r="G42" i="35"/>
  <c r="H42" i="35" s="1"/>
  <c r="G43" i="35"/>
  <c r="H43" i="35" s="1"/>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31" i="68" l="1"/>
  <c r="C52" i="68" s="1"/>
  <c r="B2" i="68" s="1"/>
  <c r="U7" i="37"/>
  <c r="AB7" i="37"/>
  <c r="T42" i="37" s="1"/>
  <c r="G42" i="37" s="1"/>
  <c r="C39" i="35"/>
  <c r="B2" i="35" s="1"/>
  <c r="B3" i="35" s="1"/>
  <c r="C38" i="35"/>
  <c r="E46" i="40"/>
  <c r="F46" i="40" s="1"/>
  <c r="E47" i="40"/>
  <c r="F47" i="40" s="1"/>
  <c r="E40" i="36"/>
  <c r="F40" i="36" s="1"/>
  <c r="E41" i="36"/>
  <c r="F41" i="36" s="1"/>
  <c r="F7" i="37"/>
  <c r="I52" i="21"/>
  <c r="J52" i="21" s="1"/>
  <c r="I47" i="40"/>
  <c r="J47" i="40" s="1"/>
  <c r="I41" i="36"/>
  <c r="J41" i="36" s="1"/>
  <c r="S7" i="21"/>
  <c r="AA7" i="21"/>
  <c r="R48" i="21" s="1"/>
  <c r="E43" i="35"/>
  <c r="F43" i="35" s="1"/>
  <c r="E42" i="35"/>
  <c r="F42" i="35" s="1"/>
  <c r="C43" i="40"/>
  <c r="C42" i="40"/>
  <c r="C36" i="36"/>
  <c r="C37" i="36"/>
  <c r="B2" i="36" s="1"/>
  <c r="B3" i="36" s="1"/>
  <c r="J7" i="37"/>
  <c r="G52" i="21"/>
  <c r="H52" i="21" s="1"/>
  <c r="G53" i="21"/>
  <c r="H53" i="21" s="1"/>
  <c r="Q66" i="15"/>
  <c r="Q75" i="15" s="1"/>
  <c r="Q57" i="15"/>
  <c r="Q62" i="15" s="1"/>
  <c r="Q66" i="67"/>
  <c r="Q75" i="67" s="1"/>
  <c r="Q57" i="67"/>
  <c r="Q62" i="67" s="1"/>
  <c r="B2" i="67"/>
  <c r="B3" i="67"/>
  <c r="D19" i="9"/>
  <c r="B3" i="68"/>
  <c r="D102" i="9" l="1"/>
  <c r="D21" i="9"/>
  <c r="C57" i="68"/>
  <c r="C56" i="68" s="1"/>
  <c r="W7" i="37"/>
  <c r="AC7" i="37"/>
  <c r="V42" i="37" s="1"/>
  <c r="I42" i="37"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G46" i="37"/>
  <c r="H46" i="37" s="1"/>
  <c r="G47" i="37"/>
  <c r="H47" i="37" s="1"/>
  <c r="R49" i="21"/>
  <c r="E48" i="21"/>
  <c r="S7" i="37"/>
  <c r="AA7" i="37"/>
  <c r="R42" i="37" s="1"/>
  <c r="D20" i="9"/>
  <c r="D103" i="9" l="1"/>
  <c r="R43" i="37"/>
  <c r="E42" i="37"/>
  <c r="E52" i="21"/>
  <c r="F52" i="21" s="1"/>
  <c r="E53" i="21"/>
  <c r="F53" i="21" s="1"/>
  <c r="I53" i="21"/>
  <c r="J53" i="21" s="1"/>
  <c r="C48" i="21"/>
  <c r="C49" i="21"/>
  <c r="B2" i="21" s="1"/>
  <c r="I47" i="37"/>
  <c r="J47" i="37" s="1"/>
  <c r="I46" i="37"/>
  <c r="J46" i="37" s="1"/>
  <c r="C19" i="9"/>
  <c r="C102" i="9" l="1"/>
  <c r="C21" i="9"/>
  <c r="D22" i="9"/>
  <c r="G19" i="9"/>
  <c r="B3" i="21"/>
  <c r="C42" i="37"/>
  <c r="C43" i="37"/>
  <c r="B2" i="37" s="1"/>
  <c r="B3" i="37" s="1"/>
  <c r="E47" i="37"/>
  <c r="F47" i="37" s="1"/>
  <c r="E46" i="37"/>
  <c r="F46" i="37" s="1"/>
  <c r="C20" i="9"/>
  <c r="C103" i="9" l="1"/>
  <c r="G20" i="9"/>
  <c r="G21" i="9"/>
  <c r="C32" i="9"/>
  <c r="H118" i="9" l="1"/>
  <c r="C35" i="9"/>
  <c r="F118" i="9" s="1"/>
  <c r="F4" i="52" l="1"/>
  <c r="B51" i="72" s="1"/>
  <c r="G118" i="9"/>
  <c r="G4" i="52" s="1"/>
  <c r="B52" i="72" s="1"/>
  <c r="F119" i="9"/>
  <c r="F5" i="52" s="1"/>
  <c r="B53" i="72" s="1"/>
  <c r="H4" i="52"/>
  <c r="C104" i="9"/>
  <c r="I118" i="9"/>
  <c r="H101" i="9"/>
  <c r="D14" i="74"/>
  <c r="H119" i="9"/>
  <c r="H5" i="52" s="1"/>
  <c r="C34" i="9"/>
  <c r="D118" i="9" s="1"/>
  <c r="M48" i="9" l="1"/>
  <c r="D5" i="53"/>
  <c r="H107" i="9"/>
  <c r="D45" i="9"/>
  <c r="D4" i="52"/>
  <c r="B47" i="72" s="1"/>
  <c r="D119" i="9"/>
  <c r="D5" i="52" s="1"/>
  <c r="B49" i="72" s="1"/>
  <c r="E14" i="74"/>
  <c r="F14" i="74"/>
  <c r="B5" i="74"/>
  <c r="H102" i="9"/>
  <c r="D7" i="53" s="1"/>
  <c r="B21" i="72" s="1"/>
  <c r="C105" i="9"/>
  <c r="E118" i="9"/>
  <c r="E4" i="52" s="1"/>
  <c r="B48" i="72" s="1"/>
  <c r="I4" i="52"/>
  <c r="C5" i="74" l="1"/>
  <c r="D5" i="74"/>
  <c r="M49" i="9"/>
  <c r="H108" i="9"/>
  <c r="D15" i="53" s="1"/>
  <c r="B31" i="72" s="1"/>
  <c r="D13" i="53"/>
  <c r="D122" i="9"/>
  <c r="C93" i="9"/>
  <c r="C86" i="9" s="1"/>
  <c r="C64" i="9"/>
  <c r="C63" i="9" s="1"/>
  <c r="C67" i="9" s="1"/>
  <c r="C68" i="9" s="1"/>
  <c r="D54" i="9" s="1"/>
  <c r="C72" i="9"/>
  <c r="C85" i="9"/>
  <c r="C78" i="9"/>
  <c r="C73" i="9" s="1"/>
  <c r="D52" i="9"/>
  <c r="D53" i="9"/>
  <c r="D55" i="9"/>
  <c r="M53" i="9" s="1"/>
  <c r="D6" i="53"/>
  <c r="B22" i="72" s="1"/>
  <c r="B20" i="72"/>
  <c r="C79" i="9" l="1"/>
  <c r="B30" i="72"/>
  <c r="D14" i="53"/>
  <c r="B32" i="72" s="1"/>
  <c r="L68" i="9"/>
  <c r="M68" i="9" s="1"/>
  <c r="L63" i="9"/>
  <c r="M63" i="9" s="1"/>
  <c r="L64" i="9"/>
  <c r="M64" i="9" s="1"/>
  <c r="L66" i="9"/>
  <c r="M66" i="9" s="1"/>
  <c r="L65" i="9"/>
  <c r="M65" i="9" s="1"/>
  <c r="L67" i="9"/>
  <c r="M67" i="9" s="1"/>
  <c r="C95" i="9"/>
  <c r="G14" i="74"/>
  <c r="B6" i="74" s="1"/>
  <c r="D123" i="9"/>
  <c r="D9" i="52" s="1"/>
  <c r="D8" i="52"/>
  <c r="C96" i="9" l="1"/>
  <c r="E96" i="9" s="1"/>
  <c r="E97" i="9" s="1"/>
  <c r="C6" i="74"/>
  <c r="D6" i="74"/>
  <c r="M69" i="9"/>
  <c r="N69"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<sst xmlns="http://schemas.openxmlformats.org/spreadsheetml/2006/main" count="7344" uniqueCount="3118">
  <si>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</si>
  <si>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</si>
  <si>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</si>
  <si>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</si>
  <si>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</si>
  <si>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</si>
  <si>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</si>
  <si>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</si>
  <si>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</si>
  <si>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</si>
  <si>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</si>
  <si>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</si>
  <si>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</si>
  <si>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</si>
  <si>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</si>
  <si>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</si>
  <si>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</si>
  <si>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</si>
  <si>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</si>
  <si>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</si>
  <si>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</si>
  <si>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</si>
  <si>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</si>
  <si>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</si>
  <si>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</si>
  <si>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</si>
  <si>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</si>
  <si>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</si>
  <si>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</si>
  <si>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</si>
  <si>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</si>
  <si>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</si>
  <si>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</si>
  <si>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</si>
  <si>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</si>
  <si>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</si>
  <si>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</si>
  <si>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</si>
  <si>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</si>
  <si>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</si>
  <si>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</si>
  <si>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</si>
  <si>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</si>
  <si>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</si>
  <si>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</si>
  <si>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</si>
  <si>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</si>
  <si>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</si>
  <si>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</si>
  <si>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</si>
  <si>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</si>
  <si>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</si>
  <si>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</si>
  <si>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</si>
  <si>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</si>
  <si>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</si>
  <si>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</si>
  <si>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</si>
  <si>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</si>
  <si>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</si>
  <si>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</si>
  <si>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</si>
  <si>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</si>
  <si>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</si>
  <si>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</si>
  <si>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</si>
  <si>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</si>
  <si>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</si>
  <si>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</si>
  <si>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</si>
  <si>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</si>
  <si>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</si>
  <si>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</si>
  <si>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</si>
  <si>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</si>
  <si>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</si>
  <si>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</si>
  <si>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</si>
  <si>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</si>
  <si>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</si>
  <si>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</si>
  <si>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</si>
  <si>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</si>
  <si>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</si>
  <si>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</si>
  <si>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</si>
  <si>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</si>
  <si>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</si>
  <si>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</si>
  <si>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</si>
  <si>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</si>
  <si>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</si>
  <si>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</si>
  <si>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</si>
  <si>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</si>
  <si>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</si>
  <si>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</si>
  <si>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</si>
  <si>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</si>
  <si>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</si>
  <si>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</si>
  <si>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</si>
  <si>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</si>
  <si>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</si>
  <si>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</si>
  <si>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</si>
  <si>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</si>
  <si>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</si>
  <si>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</si>
  <si>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</si>
  <si>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</si>
  <si>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</si>
  <si>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</si>
  <si>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</si>
  <si>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</si>
  <si>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</si>
  <si>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</si>
  <si>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</si>
  <si>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</si>
  <si>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</si>
  <si>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</si>
  <si>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</si>
  <si>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</si>
  <si>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</si>
  <si>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</si>
  <si>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</si>
  <si>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</si>
  <si>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</si>
  <si>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</si>
  <si>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</si>
  <si>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</si>
  <si>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</si>
  <si>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</si>
  <si>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</si>
  <si>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</si>
  <si>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</si>
  <si>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</si>
  <si>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</si>
  <si>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</si>
  <si>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</si>
  <si>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</si>
  <si>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</si>
  <si>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</si>
  <si>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</si>
  <si>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</si>
  <si>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</si>
  <si>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</si>
  <si>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</si>
  <si>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</si>
  <si>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</si>
  <si>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</si>
  <si>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</si>
  <si>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</si>
  <si>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</si>
  <si>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</si>
  <si>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</si>
  <si>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</si>
  <si>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</si>
  <si>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</si>
  <si>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</si>
  <si>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</si>
  <si>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</si>
  <si>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</si>
  <si>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</si>
  <si>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</si>
  <si>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</si>
  <si>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</si>
  <si>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</si>
  <si>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</si>
  <si>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</si>
  <si>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</si>
  <si>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</si>
  <si>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</si>
  <si>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</si>
  <si>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</si>
  <si>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</si>
  <si>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</si>
  <si>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</si>
  <si>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</si>
  <si>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</si>
  <si>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</si>
  <si>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</si>
  <si>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</si>
  <si>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</si>
  <si>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</si>
  <si>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</si>
  <si>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</si>
  <si>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</si>
  <si>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</si>
  <si>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</si>
  <si>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</si>
  <si>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</si>
  <si>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</si>
  <si>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</si>
  <si>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</si>
  <si>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</si>
  <si>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</si>
  <si>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</si>
  <si>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</si>
  <si>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</si>
  <si>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</si>
  <si>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</si>
  <si>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</si>
  <si>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</si>
  <si>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</si>
  <si>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</si>
  <si>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</si>
  <si>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</si>
  <si>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</si>
  <si>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</si>
  <si>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</si>
  <si>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</si>
  <si>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</si>
  <si>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</si>
  <si>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</si>
  <si>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</si>
  <si>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</si>
  <si>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</si>
  <si>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</si>
  <si>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</si>
  <si>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</si>
  <si>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</si>
  <si>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</si>
  <si>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</si>
  <si>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</si>
  <si>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</si>
  <si>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</si>
  <si>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</si>
  <si>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</si>
  <si>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</si>
  <si>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</si>
  <si>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</si>
  <si>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</si>
  <si>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</si>
  <si>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</si>
  <si>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</si>
  <si>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</si>
  <si>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</si>
  <si>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</si>
  <si>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</si>
  <si>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</si>
  <si>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</si>
  <si>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</si>
  <si>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</si>
  <si>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</si>
  <si>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</si>
  <si>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</si>
  <si>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</si>
  <si>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</si>
  <si>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</si>
  <si>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</si>
  <si>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</si>
  <si>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</si>
  <si>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</si>
  <si>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</si>
  <si>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</si>
  <si>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</si>
  <si>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</si>
  <si>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</si>
  <si>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</si>
  <si>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</si>
  <si>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</si>
  <si>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</si>
  <si>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</si>
  <si>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</si>
  <si>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</si>
  <si>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</si>
  <si>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</si>
  <si>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</si>
  <si>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</si>
  <si>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</si>
  <si>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</si>
  <si>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</si>
  <si>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</si>
  <si>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</si>
  <si>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</si>
  <si>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</si>
  <si>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</si>
  <si>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</si>
  <si>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</si>
  <si>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</si>
  <si>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</si>
  <si>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</si>
  <si>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</si>
  <si>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</si>
  <si>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</si>
  <si>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</si>
  <si>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</si>
  <si>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</si>
  <si>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</si>
  <si>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</si>
  <si>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</si>
  <si>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</si>
  <si>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</si>
  <si>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</si>
  <si>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</si>
  <si>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</si>
  <si>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</si>
  <si>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</si>
  <si>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</si>
  <si>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</si>
  <si>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</si>
  <si>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</si>
  <si>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</si>
  <si>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</si>
  <si>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</si>
  <si>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</si>
  <si>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</si>
  <si>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</si>
  <si>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</si>
  <si>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</si>
  <si>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</si>
  <si>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</si>
  <si>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</si>
  <si>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</si>
  <si>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</si>
  <si>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</si>
  <si>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</si>
  <si>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</si>
  <si>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</si>
  <si>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</si>
  <si>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</si>
  <si>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</si>
  <si>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</si>
  <si>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</si>
  <si>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</si>
  <si>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</si>
  <si>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</si>
  <si>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</si>
  <si>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</si>
  <si>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</si>
  <si>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</si>
  <si>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</si>
  <si>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</si>
  <si>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</si>
  <si>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</si>
  <si>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</si>
  <si>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</si>
  <si>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</si>
  <si>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</si>
  <si>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</si>
  <si>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</si>
  <si>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</si>
  <si>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</si>
  <si>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</si>
  <si>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</si>
  <si>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</si>
  <si>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</si>
  <si>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</si>
  <si>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</si>
  <si>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</si>
  <si>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</si>
  <si>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</si>
  <si>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</si>
  <si>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</si>
  <si>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</si>
  <si>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</si>
  <si>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</si>
  <si>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</si>
  <si>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</si>
  <si>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</si>
  <si>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</si>
  <si>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</si>
  <si>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</si>
  <si>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</si>
  <si>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</si>
  <si>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</si>
  <si>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</si>
  <si>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</si>
  <si>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</si>
  <si>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</si>
  <si>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</si>
  <si>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</si>
  <si>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</si>
  <si>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</si>
  <si>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</si>
  <si>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</si>
  <si>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</si>
  <si>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</si>
  <si>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</si>
  <si>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</si>
  <si>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</si>
  <si>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</si>
  <si>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</si>
  <si>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</si>
  <si>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</si>
  <si>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</si>
  <si>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</si>
  <si>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</si>
  <si>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</si>
  <si>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</si>
  <si>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</si>
  <si>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</si>
  <si>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</si>
  <si>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</si>
  <si>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</si>
  <si>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</si>
  <si>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</si>
  <si>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</si>
  <si>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</si>
  <si>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</si>
  <si>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</si>
  <si>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</si>
  <si>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</si>
  <si>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</si>
  <si>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</si>
  <si>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</si>
  <si>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</si>
  <si>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</si>
  <si>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</si>
  <si>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</si>
  <si>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</si>
  <si>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</si>
  <si>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</si>
  <si>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</si>
  <si>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</si>
  <si>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</si>
  <si>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</si>
  <si>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</si>
  <si>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</si>
  <si>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</si>
  <si>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</si>
  <si>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</si>
  <si>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</si>
  <si>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</si>
  <si>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</si>
  <si>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</si>
  <si>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</si>
  <si>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</si>
  <si>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</si>
  <si>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</si>
  <si>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</si>
  <si>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</si>
  <si>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</si>
  <si>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</si>
  <si>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</si>
  <si>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</si>
  <si>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</si>
  <si>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</si>
  <si>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</si>
  <si>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</si>
  <si>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</si>
  <si>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</si>
  <si>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</si>
  <si>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</si>
  <si>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</si>
  <si>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</si>
  <si>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</si>
  <si>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</si>
  <si>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</si>
  <si>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</si>
  <si>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</si>
  <si>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</si>
  <si>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</si>
  <si>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</si>
  <si>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</si>
  <si>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</si>
  <si>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</si>
  <si>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</si>
  <si>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</si>
  <si>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</si>
  <si>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</si>
  <si>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</si>
  <si>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</si>
  <si>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</si>
  <si>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</si>
  <si>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</si>
  <si>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</si>
  <si>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</si>
  <si>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</si>
  <si>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</si>
  <si>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</si>
  <si>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</si>
  <si>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</si>
  <si>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</si>
  <si>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</si>
  <si>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</si>
  <si>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</si>
  <si>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</si>
  <si>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</si>
  <si>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</si>
  <si>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</si>
  <si>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</si>
  <si>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</si>
  <si>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</si>
  <si>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</si>
  <si>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</si>
  <si>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</si>
  <si>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</si>
  <si>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</si>
  <si>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</si>
  <si>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</si>
  <si>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</si>
  <si>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</si>
  <si>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</si>
  <si>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</si>
  <si>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</si>
  <si>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</si>
  <si>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</si>
  <si>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</si>
  <si>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</si>
  <si>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</si>
  <si>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</si>
  <si>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</si>
  <si>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</si>
  <si>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</si>
  <si>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</si>
  <si>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</si>
  <si>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</si>
  <si>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</si>
  <si>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</si>
  <si>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</si>
  <si>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</si>
  <si>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</si>
  <si>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</si>
  <si>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</si>
  <si>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</si>
  <si>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</si>
  <si>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</si>
  <si>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</si>
  <si>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</si>
  <si>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</si>
  <si>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</si>
  <si>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</si>
  <si>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</si>
  <si>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</si>
  <si>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</si>
  <si>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</si>
  <si>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</si>
  <si>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</si>
  <si>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</si>
  <si>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</si>
  <si>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</si>
  <si>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</si>
  <si>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</si>
  <si>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</si>
  <si>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</si>
  <si>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</si>
  <si>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</si>
  <si>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</si>
  <si>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</si>
  <si>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</si>
  <si>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</si>
  <si>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</si>
  <si>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</si>
  <si>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</si>
  <si>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</si>
  <si>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</si>
  <si>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</si>
  <si>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</si>
  <si>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</si>
  <si>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</si>
  <si>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</si>
  <si>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</si>
  <si>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</si>
  <si>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</si>
  <si>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</si>
  <si>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</si>
  <si>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</si>
  <si>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</si>
  <si>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</si>
  <si>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</si>
  <si>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</si>
  <si>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</si>
  <si>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</si>
  <si>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</si>
  <si>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</si>
  <si>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</si>
  <si>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</si>
  <si>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</si>
  <si>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</si>
  <si>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</si>
  <si>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</si>
  <si>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</si>
  <si>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</si>
  <si>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</si>
  <si>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</si>
  <si>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</si>
  <si>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</si>
  <si>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</si>
  <si>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</si>
  <si>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</si>
  <si>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</si>
  <si>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</si>
  <si>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</si>
  <si>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</si>
  <si>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</si>
  <si>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</si>
  <si>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</si>
  <si>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</si>
  <si>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</si>
  <si>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</si>
  <si>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</si>
  <si>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</si>
  <si>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</si>
  <si>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</si>
  <si>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</si>
  <si>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</si>
  <si>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</si>
  <si>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</si>
  <si>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</si>
  <si>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</si>
  <si>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</si>
  <si>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</si>
  <si>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</si>
  <si>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</si>
  <si>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</si>
  <si>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</si>
  <si>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</si>
  <si>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</si>
  <si>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</si>
  <si>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</si>
  <si>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</si>
  <si>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</si>
  <si>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</si>
  <si>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</si>
  <si>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</si>
  <si>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</si>
  <si>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</si>
  <si>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</si>
  <si>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</si>
  <si>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</si>
  <si>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</si>
  <si>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</si>
  <si>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</si>
  <si>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</si>
  <si>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</si>
  <si>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</si>
  <si>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</si>
  <si>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</si>
  <si>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</si>
  <si>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</si>
  <si>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</si>
  <si>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</si>
  <si>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</si>
  <si>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</si>
  <si>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</si>
  <si>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</si>
  <si>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</si>
  <si>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</si>
  <si>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</si>
  <si>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</si>
  <si>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</si>
  <si>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</si>
  <si>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</si>
  <si>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</si>
  <si>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</si>
  <si>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</si>
  <si>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</si>
  <si>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</si>
  <si>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</si>
  <si>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</si>
  <si>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</si>
  <si>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</si>
  <si>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</si>
  <si>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</si>
  <si>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</si>
  <si>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</si>
  <si>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</si>
  <si>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</si>
  <si>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</si>
  <si>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</si>
  <si>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</si>
  <si>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</si>
  <si>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</si>
  <si>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</si>
  <si>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</si>
  <si>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</si>
  <si>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</si>
  <si>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</si>
  <si>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</si>
  <si>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</si>
  <si>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</si>
  <si>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</si>
  <si>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</si>
  <si>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</si>
  <si>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</si>
  <si>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</si>
  <si>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</si>
  <si>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</si>
  <si>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</si>
  <si>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</si>
  <si>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</si>
  <si>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</si>
  <si>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</si>
  <si>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</si>
  <si>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</si>
  <si>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</si>
  <si>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</si>
  <si>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</si>
  <si>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</si>
  <si>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</si>
  <si>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</si>
  <si>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</si>
  <si>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</si>
  <si>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</si>
  <si>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</si>
  <si>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</si>
  <si>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</si>
  <si>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</si>
  <si>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</si>
  <si>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</si>
  <si>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</si>
  <si>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</si>
  <si>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</si>
  <si>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</si>
  <si>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</si>
  <si>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</si>
  <si>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</si>
  <si>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</si>
  <si>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</si>
  <si>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</si>
  <si>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</si>
  <si>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</si>
  <si>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</si>
  <si>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</si>
  <si>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</si>
  <si>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</si>
  <si>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</si>
  <si>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</si>
  <si>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</si>
  <si>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</si>
  <si>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</si>
  <si>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</si>
  <si>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</si>
  <si>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</si>
  <si>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</si>
  <si>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</si>
  <si>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</si>
  <si>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</si>
  <si>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</si>
  <si>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</si>
  <si>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</si>
  <si>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</si>
  <si>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</si>
  <si>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</si>
  <si>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</si>
  <si>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</si>
  <si>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</si>
  <si>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</si>
  <si>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</si>
  <si>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</si>
  <si>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</si>
  <si>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</si>
  <si>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</si>
  <si>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</si>
  <si>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</si>
  <si>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</si>
  <si>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</si>
  <si>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</si>
  <si>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</si>
  <si>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</si>
  <si>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</si>
  <si>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</si>
  <si>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</si>
  <si>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</si>
  <si>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</si>
  <si>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</si>
  <si>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</si>
  <si>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</si>
  <si>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</si>
  <si>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</si>
  <si>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</si>
  <si>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</si>
  <si>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</si>
  <si>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</si>
  <si>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</si>
  <si>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</si>
  <si>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</si>
  <si>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</si>
  <si>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</si>
  <si>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</si>
  <si>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</si>
  <si>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</si>
  <si>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</si>
  <si>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</si>
  <si>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</si>
  <si>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</si>
  <si>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</si>
  <si>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</si>
  <si>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</si>
  <si>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</si>
  <si>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</si>
  <si>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</si>
  <si>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</si>
  <si>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</si>
  <si>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</si>
  <si>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</si>
  <si>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</si>
  <si>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</si>
  <si>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</si>
  <si>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</si>
  <si>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</si>
  <si>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</si>
  <si>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</si>
  <si>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</si>
  <si>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</si>
  <si>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</si>
  <si>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</si>
  <si>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</si>
  <si>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</si>
  <si>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</si>
  <si>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</si>
  <si>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</si>
  <si>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</si>
  <si>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</si>
  <si>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</si>
  <si>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</si>
  <si>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</si>
  <si>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</si>
  <si>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</si>
  <si>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</si>
  <si>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</si>
  <si>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</si>
  <si>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</si>
  <si>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</si>
  <si>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</si>
  <si>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</si>
  <si>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</si>
  <si>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</si>
  <si>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</si>
  <si>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</si>
  <si>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</si>
  <si>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</si>
  <si>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</si>
  <si>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</si>
  <si>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</si>
  <si>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</si>
  <si>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</si>
  <si>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</si>
  <si>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</si>
  <si>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</si>
  <si>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</si>
  <si>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</si>
  <si>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</si>
  <si>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</si>
  <si>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</si>
  <si>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</si>
  <si>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</si>
  <si>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</si>
  <si>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</si>
  <si>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</si>
  <si>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</si>
  <si>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</si>
  <si>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</si>
  <si>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</si>
  <si>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</si>
  <si>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</si>
  <si>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</si>
  <si>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</si>
  <si>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</si>
  <si>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</si>
  <si>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</si>
  <si>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</si>
  <si>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</si>
  <si>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</si>
  <si>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</si>
  <si>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</si>
  <si>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</si>
  <si>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</si>
  <si>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</si>
  <si>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</si>
  <si>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</si>
  <si>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</si>
  <si>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</si>
  <si>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</si>
  <si>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</si>
  <si>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</si>
  <si>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</si>
  <si>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</si>
  <si>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</si>
  <si>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</si>
  <si>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</si>
  <si>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</si>
  <si>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</si>
  <si>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</si>
  <si>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</si>
  <si>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</si>
  <si>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</si>
  <si>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</si>
  <si>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</si>
  <si>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</si>
  <si>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</si>
  <si>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</si>
  <si>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</si>
  <si>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</si>
  <si>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</si>
  <si>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</si>
  <si>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</si>
  <si>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</si>
  <si>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</si>
  <si>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</si>
  <si>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</si>
  <si>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</si>
  <si>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</si>
  <si>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</si>
  <si>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</si>
  <si>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</si>
  <si>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</si>
  <si>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</si>
  <si>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</si>
  <si>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</si>
  <si>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</si>
  <si>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</si>
  <si>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</si>
  <si>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</si>
  <si>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</si>
  <si>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</si>
  <si>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</si>
  <si>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</si>
  <si>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</si>
  <si>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</si>
  <si>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</si>
  <si>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</si>
  <si>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</si>
  <si>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</si>
  <si>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</si>
  <si>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</si>
  <si>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</si>
  <si>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</si>
  <si>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</si>
  <si>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</si>
  <si>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</si>
  <si>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</si>
  <si>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</si>
  <si>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</si>
  <si>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</si>
  <si>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</si>
  <si>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</si>
  <si>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</si>
  <si>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</si>
  <si>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</si>
  <si>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</si>
  <si>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</si>
  <si>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</si>
  <si>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</si>
  <si>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</si>
  <si>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</si>
  <si>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</si>
  <si>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</si>
  <si>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</si>
  <si>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</si>
  <si>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</si>
  <si>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</si>
  <si>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</si>
  <si>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</si>
  <si>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</si>
  <si>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</si>
  <si>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</si>
  <si>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</si>
  <si>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</si>
  <si>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</si>
  <si>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</si>
  <si>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</si>
  <si>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</si>
  <si>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</si>
  <si>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</si>
  <si>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</si>
  <si>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</si>
  <si>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</si>
  <si>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</si>
  <si>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</si>
  <si>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</si>
  <si>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</si>
  <si>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</si>
  <si>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</si>
  <si>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</si>
  <si>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</si>
  <si>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</si>
  <si>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</si>
  <si>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</si>
  <si>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</si>
  <si>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</si>
  <si>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</si>
  <si>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</si>
  <si>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</si>
  <si>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</si>
  <si>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</si>
  <si>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</si>
  <si>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</si>
  <si>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</si>
  <si>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</si>
  <si>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</si>
  <si>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</si>
  <si>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</si>
  <si>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</si>
  <si>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</si>
  <si>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</si>
  <si>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</si>
  <si>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</si>
  <si>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</si>
  <si>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</si>
  <si>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</si>
  <si>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</si>
  <si>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</si>
  <si>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</si>
  <si>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</si>
  <si>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</si>
  <si>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</si>
  <si>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</si>
  <si>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</si>
  <si>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</si>
  <si>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</si>
  <si>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</si>
  <si>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</si>
  <si>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</si>
  <si>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</si>
  <si>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</si>
  <si>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</si>
  <si>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</si>
  <si>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</si>
  <si>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</si>
  <si>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</si>
  <si>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</si>
  <si>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</si>
  <si>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</si>
  <si>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</si>
  <si>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</si>
  <si>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</si>
  <si>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</si>
  <si>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</si>
  <si>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</si>
  <si>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</si>
  <si>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</si>
  <si>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</si>
  <si>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</si>
  <si>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</si>
  <si>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</si>
  <si>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</si>
  <si>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</si>
  <si>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</si>
  <si>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</si>
  <si>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</si>
  <si>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</si>
  <si>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</si>
  <si>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</si>
  <si>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</si>
  <si>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</si>
  <si>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</si>
  <si>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</si>
  <si>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</si>
  <si>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</si>
  <si>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</si>
  <si>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</si>
  <si>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</si>
  <si>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</si>
  <si>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</si>
  <si>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</si>
  <si>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</si>
  <si>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</si>
  <si>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</si>
  <si>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</si>
  <si>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</si>
  <si>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</si>
  <si>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</si>
  <si>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</si>
  <si>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</si>
  <si>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</si>
  <si>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</si>
  <si>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</si>
  <si>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</si>
  <si>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</si>
  <si>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</si>
  <si>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</si>
  <si>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</si>
  <si>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</si>
  <si>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</si>
  <si>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</si>
  <si>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</si>
  <si>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</si>
  <si>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</si>
  <si>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</si>
  <si>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</si>
  <si>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</si>
  <si>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</si>
  <si>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</si>
  <si>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</si>
  <si>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</si>
  <si>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</si>
  <si>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</si>
  <si>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</si>
  <si>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</si>
  <si>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</si>
  <si>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</si>
  <si>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</si>
  <si>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</si>
  <si>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</si>
  <si>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</si>
  <si>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</si>
  <si>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</si>
  <si>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</si>
  <si>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</si>
  <si>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</si>
  <si>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</si>
  <si>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</si>
  <si>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</si>
  <si>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</si>
  <si>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</si>
  <si>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</si>
  <si>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</si>
  <si>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</si>
  <si>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</si>
  <si>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</si>
  <si>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</si>
  <si>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</si>
  <si>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</si>
  <si>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</si>
  <si>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</si>
  <si>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</si>
  <si>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</si>
  <si>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</si>
  <si>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</si>
  <si>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</si>
  <si>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</si>
  <si>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</si>
  <si>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</si>
  <si>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</si>
  <si>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</si>
  <si>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</si>
  <si>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</si>
  <si>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</si>
  <si>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</si>
  <si>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</si>
  <si>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</si>
  <si>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</si>
  <si>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</si>
  <si>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</si>
  <si>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</si>
  <si>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</si>
  <si>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</si>
  <si>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</si>
  <si>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</si>
  <si>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</si>
  <si>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</si>
  <si>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</si>
  <si>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</si>
  <si>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</si>
  <si>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</si>
  <si>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</si>
  <si>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</si>
  <si>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</si>
  <si>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</si>
  <si>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</si>
  <si>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</si>
  <si>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</si>
  <si>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</si>
  <si>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</si>
  <si>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</si>
  <si>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</si>
  <si>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</si>
  <si>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</si>
  <si>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</si>
  <si>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</si>
  <si>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</si>
  <si>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</si>
  <si>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</si>
  <si>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</si>
  <si>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</si>
  <si>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</si>
  <si>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</si>
  <si>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</si>
  <si>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</si>
  <si>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</si>
  <si>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</si>
  <si>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</si>
  <si>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</si>
  <si>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</si>
  <si>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</si>
  <si>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</si>
  <si>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</si>
  <si>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</si>
  <si>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</si>
  <si>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</si>
  <si>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</si>
  <si>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</si>
  <si>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</si>
  <si>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</si>
  <si>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</si>
  <si>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</si>
  <si>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</si>
  <si>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</si>
  <si>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</si>
  <si>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</si>
  <si>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</si>
  <si>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</si>
  <si>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</si>
  <si>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</si>
  <si>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</si>
  <si>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</si>
  <si>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</si>
  <si>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</si>
  <si>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</si>
  <si>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</si>
  <si>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</si>
  <si>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</si>
  <si>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</si>
  <si>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</si>
  <si>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</si>
  <si>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</si>
  <si>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</si>
  <si>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</si>
  <si>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</si>
  <si>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</si>
  <si>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</si>
  <si>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</si>
  <si>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</si>
  <si>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</si>
  <si>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</si>
  <si>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</si>
  <si>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</si>
  <si>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</si>
  <si>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</si>
  <si>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</si>
  <si>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</si>
  <si>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</si>
  <si>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</si>
  <si>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</si>
  <si>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</si>
  <si>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</si>
  <si>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</si>
  <si>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</si>
  <si>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</si>
  <si>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</si>
  <si>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</si>
  <si>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</si>
  <si>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</si>
  <si>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</si>
  <si>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</si>
  <si>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</si>
  <si>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</si>
  <si>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</si>
  <si>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</si>
  <si>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</si>
  <si>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</si>
  <si>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</si>
  <si>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</si>
  <si>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</si>
  <si>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</si>
  <si>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</si>
  <si>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</si>
  <si>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</si>
  <si>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</si>
  <si>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</si>
  <si>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</si>
  <si>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</si>
  <si>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</si>
  <si>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</si>
  <si>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</si>
  <si>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</si>
  <si>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</si>
  <si>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</si>
  <si>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</si>
  <si>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</si>
  <si>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</si>
  <si>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</si>
  <si>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</si>
  <si>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</si>
  <si>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</si>
  <si>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</si>
  <si>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</si>
  <si>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</si>
  <si>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</si>
  <si>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</si>
  <si>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</si>
  <si>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</si>
  <si>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</si>
  <si>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</si>
  <si>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</si>
  <si>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</si>
  <si>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</si>
  <si>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</si>
  <si>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</si>
  <si>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</si>
  <si>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</si>
  <si>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</si>
  <si>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</si>
  <si>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</si>
  <si>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</si>
  <si>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</si>
  <si>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</si>
  <si>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</si>
  <si>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</si>
  <si>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</si>
  <si>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</si>
  <si>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</si>
  <si>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</si>
  <si>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</si>
  <si>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</si>
  <si>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</si>
  <si>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</si>
  <si>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</si>
  <si>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</si>
  <si>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</si>
  <si>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</si>
  <si>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</si>
  <si>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</si>
  <si>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</si>
  <si>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</si>
  <si>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</si>
  <si>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</si>
  <si>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</si>
  <si>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</si>
  <si>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</si>
  <si>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</si>
  <si>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</si>
  <si>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</si>
  <si>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</si>
  <si>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</si>
  <si>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</si>
  <si>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</si>
  <si>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</si>
  <si>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</si>
  <si>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</si>
  <si>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</si>
  <si>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</si>
  <si>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</si>
  <si>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</si>
  <si>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</si>
  <si>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</si>
  <si>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</si>
  <si>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</si>
  <si>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</si>
  <si>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</si>
  <si>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</si>
  <si>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</si>
  <si>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</si>
  <si>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</si>
  <si>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</si>
  <si>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</si>
  <si>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</si>
  <si>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</si>
  <si>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</si>
  <si>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</si>
  <si>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</si>
  <si>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</si>
  <si>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</si>
  <si>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</si>
  <si>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</si>
  <si>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</si>
  <si>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</si>
  <si>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</si>
  <si>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</si>
  <si>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</si>
  <si>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</si>
  <si>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</si>
  <si>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</si>
  <si>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</si>
  <si>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</si>
  <si>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</si>
  <si>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</si>
  <si>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</si>
  <si>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</si>
  <si>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</si>
  <si>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</si>
  <si>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</si>
  <si>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</si>
  <si>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</si>
  <si>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</si>
  <si>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</si>
  <si>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</si>
  <si>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</si>
  <si>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</si>
  <si>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</si>
  <si>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</si>
  <si>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</si>
  <si>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</si>
  <si>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</si>
  <si>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</si>
  <si>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</si>
  <si>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</si>
  <si>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</si>
  <si>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</si>
  <si>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</si>
  <si>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</si>
  <si>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</si>
  <si>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</si>
  <si>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</si>
  <si>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</si>
  <si>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</si>
  <si>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</si>
  <si>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</si>
  <si>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</si>
  <si>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</si>
  <si>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</si>
  <si>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</si>
  <si>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</si>
  <si>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</si>
  <si>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</si>
  <si>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</si>
  <si>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</si>
  <si>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</si>
  <si>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</si>
  <si>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</si>
  <si>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</si>
  <si>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</si>
  <si>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</si>
  <si>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</si>
  <si>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</si>
  <si>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</si>
  <si>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</si>
  <si>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</si>
  <si>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</si>
  <si>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</si>
  <si>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</si>
  <si>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</si>
  <si>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</si>
  <si>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</si>
  <si>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</si>
  <si>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</si>
  <si>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</si>
  <si>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</si>
  <si>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</si>
  <si>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</si>
  <si>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</si>
  <si>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</si>
  <si>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</si>
  <si>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</si>
  <si>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</si>
  <si>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</si>
  <si>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</si>
  <si>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</si>
  <si>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</si>
  <si>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</si>
  <si>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</si>
  <si>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</si>
  <si>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</si>
  <si>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</si>
  <si>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</si>
  <si>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</si>
  <si>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</si>
  <si>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</si>
  <si>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</si>
  <si>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</si>
  <si>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</si>
  <si>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</si>
  <si>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</si>
  <si>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</si>
  <si>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</si>
  <si>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</si>
  <si>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</si>
  <si>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</si>
  <si>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</si>
  <si>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</si>
  <si>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</si>
  <si>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</si>
  <si>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</si>
  <si>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</si>
  <si>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</si>
  <si>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</si>
  <si>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</si>
  <si>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</si>
  <si>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</si>
  <si>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</si>
  <si>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</si>
  <si>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</si>
  <si>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</si>
  <si>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</si>
  <si>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</si>
  <si>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</si>
  <si>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</si>
  <si>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</si>
  <si>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</si>
  <si>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</si>
  <si>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</si>
  <si>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</si>
  <si>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</si>
  <si>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</si>
  <si>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</si>
  <si>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</si>
  <si>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</si>
  <si>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</si>
  <si>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</si>
  <si>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</si>
  <si>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</si>
  <si>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</si>
  <si>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</si>
  <si>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</si>
  <si>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</si>
  <si>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</si>
  <si>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</si>
  <si>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</si>
  <si>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</si>
  <si>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</si>
  <si>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</si>
  <si>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</si>
  <si>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</si>
  <si>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</si>
  <si>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</si>
  <si>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</si>
  <si>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</si>
  <si>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</si>
  <si>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</si>
  <si>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</si>
  <si>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</si>
  <si>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</si>
  <si>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</si>
  <si>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</si>
  <si>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</si>
  <si>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</si>
  <si>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</si>
  <si>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</si>
  <si>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</si>
  <si>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</si>
  <si>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</si>
  <si>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</si>
  <si>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</si>
  <si>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</si>
  <si>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</si>
  <si>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</si>
  <si>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</si>
  <si>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</si>
  <si>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</si>
  <si>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</si>
  <si>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</si>
  <si>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</si>
  <si>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</si>
  <si>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</si>
  <si>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</si>
  <si>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</si>
  <si>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</si>
  <si>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</si>
  <si>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</si>
  <si>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</si>
  <si>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</si>
  <si>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</si>
  <si>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</si>
  <si>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</si>
  <si>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</si>
  <si>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</si>
  <si>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</si>
  <si>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</si>
  <si>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</si>
  <si>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</si>
  <si>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</si>
  <si>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</si>
  <si>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</si>
  <si>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</si>
  <si>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</si>
  <si>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</si>
  <si>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</si>
  <si>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</si>
  <si>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</si>
  <si>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</si>
  <si>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</si>
  <si>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</si>
  <si>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</si>
  <si>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</si>
  <si>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</si>
  <si>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</si>
  <si>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</si>
  <si>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</si>
  <si>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</si>
  <si>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</si>
  <si>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</si>
  <si>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</si>
  <si>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</si>
  <si>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</si>
  <si>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</si>
  <si>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</si>
  <si>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</si>
  <si>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</si>
  <si>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</si>
  <si>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</si>
  <si>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</si>
  <si>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</si>
  <si>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</si>
  <si>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</si>
  <si>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</si>
  <si>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</si>
  <si>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</si>
  <si>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</si>
  <si>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</si>
  <si>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</si>
  <si>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</si>
  <si>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</si>
  <si>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</si>
  <si>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</si>
  <si>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</si>
  <si>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</si>
  <si>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</si>
  <si>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</si>
  <si>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</si>
  <si>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</si>
  <si>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</si>
  <si>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</si>
  <si>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</si>
  <si>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</si>
  <si>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</si>
  <si>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</si>
  <si>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</si>
  <si>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</si>
  <si>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</si>
  <si>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</si>
  <si>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</si>
  <si>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</si>
  <si>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</si>
  <si>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</si>
  <si>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</si>
  <si>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</si>
  <si>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</si>
  <si>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</si>
  <si>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</si>
  <si>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</si>
  <si>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</si>
  <si>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</si>
  <si>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</si>
  <si>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</si>
  <si>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</si>
  <si>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</si>
  <si>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</si>
  <si>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</si>
  <si>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</si>
  <si>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</si>
  <si>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</si>
  <si>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</si>
  <si>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</si>
  <si>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</si>
  <si>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</si>
  <si>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</si>
  <si>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</si>
  <si>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</si>
  <si>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</si>
  <si>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</si>
  <si>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</si>
  <si>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</si>
  <si>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</si>
  <si>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</si>
  <si>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</si>
  <si>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</si>
  <si>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</si>
  <si>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</si>
  <si>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</si>
  <si>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</si>
  <si>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</si>
  <si>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</si>
  <si>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</si>
  <si>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</si>
  <si>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</si>
  <si>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</si>
  <si>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</si>
  <si>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</si>
  <si>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</si>
  <si>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</si>
  <si>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</si>
  <si>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</si>
  <si>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</si>
  <si>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</si>
  <si>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</si>
  <si>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</si>
  <si>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</si>
  <si>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</si>
  <si>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</si>
  <si>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</si>
  <si>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</si>
  <si>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</si>
  <si>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</si>
  <si>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</si>
  <si>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</si>
  <si>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</si>
  <si>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</si>
  <si>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</si>
  <si>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</si>
  <si>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</si>
  <si>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</si>
  <si>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</si>
  <si>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</si>
  <si>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</si>
  <si>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</si>
  <si>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</si>
  <si>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</si>
  <si>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</si>
  <si>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</si>
  <si>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</si>
  <si>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</si>
  <si>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</si>
  <si>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</si>
  <si>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</si>
  <si>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</si>
  <si>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</si>
  <si>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</si>
  <si>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</si>
  <si>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</si>
  <si>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</si>
  <si>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</si>
  <si>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</si>
  <si>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</si>
  <si>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</si>
  <si>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</si>
  <si>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</si>
  <si>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</si>
  <si>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</si>
  <si>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</si>
  <si>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</si>
  <si>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</si>
  <si>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</si>
  <si>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</si>
  <si>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</si>
  <si>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</si>
  <si>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</si>
  <si>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</si>
  <si>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</si>
  <si>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</si>
  <si>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</si>
  <si>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</si>
  <si>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</si>
  <si>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</si>
  <si>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</si>
  <si>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</si>
  <si>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</si>
  <si>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</si>
  <si>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</si>
  <si>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</si>
  <si>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</si>
  <si>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</si>
  <si>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</si>
  <si>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</si>
  <si>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</si>
  <si>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</si>
  <si>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</si>
  <si>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</si>
  <si>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</si>
  <si>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</si>
  <si>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</si>
  <si>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</si>
  <si>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</si>
  <si>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</si>
  <si>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</si>
  <si>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</si>
  <si>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</si>
  <si>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</si>
  <si>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</si>
  <si>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</si>
  <si>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</si>
  <si>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</si>
  <si>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</si>
  <si>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</si>
  <si>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</si>
  <si>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</si>
  <si>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</si>
  <si>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</si>
  <si>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</si>
  <si>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</si>
  <si>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</si>
  <si>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</si>
  <si>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</si>
  <si>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</si>
  <si>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</si>
  <si>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</si>
  <si>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</si>
  <si>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</si>
  <si>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</si>
  <si>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</si>
  <si>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</si>
  <si>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</si>
  <si>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</si>
  <si>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</si>
  <si>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</si>
  <si>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</si>
  <si>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</si>
  <si>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</si>
  <si>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</si>
  <si>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</si>
  <si>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</si>
  <si>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</si>
  <si>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</si>
  <si>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</si>
  <si>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</si>
  <si>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</si>
  <si>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</si>
  <si>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</si>
  <si>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</si>
  <si>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</si>
  <si>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</si>
  <si>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</si>
  <si>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</si>
  <si>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</si>
  <si>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</si>
  <si>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</si>
  <si>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</si>
  <si>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</si>
  <si>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</si>
  <si>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</si>
  <si>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</si>
  <si>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</si>
  <si>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</si>
  <si>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</si>
  <si>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</si>
  <si>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</si>
  <si>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</si>
  <si>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</si>
  <si>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</si>
  <si>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</si>
  <si>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</si>
  <si>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</si>
  <si>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</si>
  <si>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</si>
  <si>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</si>
  <si>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</si>
  <si>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</si>
  <si>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</si>
  <si>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</si>
  <si>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</si>
  <si>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</si>
  <si>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</si>
  <si>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</si>
  <si>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</si>
  <si>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</si>
  <si>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</si>
  <si>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</si>
  <si>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</si>
  <si>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</si>
  <si>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</si>
  <si>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</si>
  <si>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</si>
  <si>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</si>
  <si>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</si>
  <si>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</si>
  <si>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</si>
  <si>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</si>
  <si>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</si>
  <si>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</si>
  <si>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</si>
  <si>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</si>
  <si>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</si>
  <si>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</si>
  <si>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</si>
  <si>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</si>
  <si>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</si>
  <si>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</si>
  <si>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</si>
  <si>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</si>
  <si>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</si>
  <si>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</si>
  <si>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</si>
  <si>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</si>
  <si>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</si>
  <si>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</si>
  <si>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</si>
  <si>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</si>
  <si>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</si>
  <si>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</si>
  <si>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</si>
  <si>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</si>
  <si>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</si>
  <si>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</si>
  <si>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</si>
  <si>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</si>
  <si>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</si>
  <si>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</si>
  <si>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</si>
  <si>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</si>
  <si>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</si>
  <si>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</si>
  <si>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</si>
  <si>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</si>
  <si>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</si>
  <si>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</si>
  <si>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</si>
  <si>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</si>
  <si>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</si>
  <si>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</si>
  <si>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</si>
  <si>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</si>
  <si>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</si>
  <si>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</si>
  <si>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</si>
  <si>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</si>
  <si>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</si>
  <si>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</si>
  <si>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</si>
  <si>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</si>
  <si>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</si>
  <si>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</si>
  <si>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</si>
  <si>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</si>
  <si>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</si>
  <si>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</si>
  <si>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</si>
  <si>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</si>
  <si>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</si>
  <si>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</si>
  <si>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</si>
  <si>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</si>
  <si>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</si>
  <si>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</si>
  <si>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</si>
  <si>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</si>
  <si>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</si>
  <si>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</si>
  <si>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</si>
  <si>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</si>
  <si>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</si>
  <si>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</si>
  <si>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</si>
  <si>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</si>
  <si>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</si>
  <si>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</si>
  <si>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</si>
  <si>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</si>
  <si>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</si>
  <si>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</si>
  <si>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</si>
  <si>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</si>
  <si>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</si>
  <si>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</si>
  <si>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</si>
  <si>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</si>
  <si>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</si>
  <si>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</si>
  <si>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</si>
  <si>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</si>
  <si>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</si>
  <si>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</si>
  <si>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</si>
  <si>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</si>
  <si>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</si>
  <si>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</si>
  <si>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</si>
  <si>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</si>
  <si>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</si>
  <si>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</si>
  <si>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</si>
  <si>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</si>
  <si>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</si>
  <si>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</si>
  <si>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</si>
  <si>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</si>
  <si>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</si>
  <si>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</si>
  <si>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</si>
  <si>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</si>
  <si>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</si>
  <si>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</si>
  <si>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</si>
  <si>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</si>
  <si>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</si>
  <si>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</si>
  <si>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</si>
  <si>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</si>
  <si>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</si>
  <si>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</si>
  <si>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</si>
  <si>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</si>
  <si>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</si>
  <si>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</si>
  <si>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</si>
  <si>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</si>
  <si>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</si>
  <si>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</si>
  <si>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</si>
  <si>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</si>
  <si>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</si>
  <si>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</si>
  <si>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</si>
  <si>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</si>
  <si>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</si>
  <si>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</si>
  <si>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</si>
  <si>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</si>
  <si>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</si>
  <si>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</si>
  <si>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</si>
  <si>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</si>
  <si>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</si>
  <si>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</si>
  <si>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</si>
  <si>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</si>
  <si>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</si>
  <si>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</si>
  <si>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</si>
  <si>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</si>
  <si>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</si>
  <si>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</si>
  <si>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</si>
  <si>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</si>
  <si>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</si>
  <si>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</si>
  <si>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</si>
  <si>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</si>
  <si>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</si>
  <si>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</si>
  <si>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</si>
  <si>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</si>
  <si>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</si>
  <si>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</si>
  <si>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</si>
  <si>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</si>
  <si>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</si>
  <si>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</si>
  <si>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</si>
  <si>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</si>
  <si>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</si>
  <si>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</si>
  <si>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</si>
  <si>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</si>
  <si>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</si>
  <si>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</si>
  <si>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</si>
  <si>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</si>
  <si>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</si>
  <si>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</si>
  <si>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</si>
  <si>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</si>
  <si>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</si>
  <si>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</si>
  <si>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</si>
  <si>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</si>
  <si>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</si>
  <si>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</si>
  <si>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</si>
  <si>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</si>
  <si>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</si>
  <si>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</si>
  <si>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</si>
  <si>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</si>
  <si>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</si>
  <si>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</si>
  <si>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</si>
  <si>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</si>
  <si>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</si>
  <si>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</si>
  <si>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</si>
  <si>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</si>
  <si>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</si>
  <si>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</si>
  <si>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</si>
  <si>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</si>
  <si>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</si>
  <si>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</si>
  <si>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</si>
  <si>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</si>
  <si>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</si>
  <si>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</si>
  <si>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</si>
  <si>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</si>
  <si>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</si>
  <si>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</si>
  <si>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</si>
  <si>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</si>
  <si>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</si>
  <si>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</si>
  <si>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</si>
  <si>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</si>
  <si>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</si>
  <si>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</si>
  <si>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</si>
  <si>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</si>
  <si>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</si>
  <si>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</si>
  <si>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</si>
  <si>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</si>
  <si>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</si>
  <si>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</si>
  <si>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</si>
  <si>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</si>
  <si>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</si>
  <si>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</si>
  <si>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</si>
  <si>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</si>
  <si>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</si>
  <si>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</si>
  <si>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</si>
  <si>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</si>
  <si>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</si>
  <si>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</si>
  <si>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</si>
  <si>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</si>
  <si>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</si>
  <si>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</si>
  <si>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</si>
  <si>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</si>
  <si>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</si>
  <si>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</si>
  <si>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</si>
  <si>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</si>
  <si>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</si>
  <si>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</si>
  <si>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</si>
  <si>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</si>
  <si>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</si>
  <si>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</si>
  <si>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</si>
  <si>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</si>
  <si>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</si>
  <si>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</si>
  <si>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</si>
  <si>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</si>
  <si>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</si>
  <si>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</si>
  <si>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</si>
  <si>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</si>
  <si>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</si>
  <si>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</si>
  <si>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</si>
  <si>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</si>
  <si>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</si>
  <si>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</si>
  <si>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</si>
  <si>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</si>
  <si>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</si>
  <si>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</si>
  <si>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</si>
  <si>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</si>
  <si>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</si>
  <si>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</si>
  <si>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</si>
  <si>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</si>
  <si>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</si>
  <si>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</si>
  <si>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</si>
  <si>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</si>
  <si>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</si>
  <si>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</si>
  <si>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</si>
  <si>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</si>
  <si>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</si>
  <si>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</si>
  <si>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</si>
  <si>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</si>
  <si>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</si>
  <si>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</si>
  <si>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</si>
  <si>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</si>
  <si>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</si>
  <si>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</si>
  <si>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</si>
  <si>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</si>
  <si>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</si>
  <si>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</si>
  <si>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</si>
  <si>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</si>
  <si>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</si>
  <si>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</si>
  <si>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</si>
  <si>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</si>
  <si>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</si>
  <si>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</si>
  <si>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</si>
  <si>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</si>
  <si>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</si>
  <si>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</si>
  <si>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</si>
  <si>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</si>
  <si>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</si>
  <si>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</si>
  <si>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</si>
  <si>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</si>
  <si>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</si>
  <si>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</si>
  <si>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</si>
  <si>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</si>
  <si>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</si>
  <si>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</si>
  <si>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</si>
  <si>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</si>
  <si>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</si>
  <si>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</si>
  <si>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</si>
  <si>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</si>
  <si>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</si>
  <si>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</si>
  <si>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</si>
  <si>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</si>
  <si>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</si>
  <si>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</si>
  <si>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</si>
  <si>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</si>
  <si>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</si>
  <si>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</si>
  <si>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</si>
  <si>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</si>
  <si>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</si>
  <si>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</si>
  <si>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</si>
  <si>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</si>
  <si>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</si>
  <si>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</si>
  <si>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</si>
  <si>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</si>
  <si>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</si>
  <si>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</si>
  <si>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</si>
  <si>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</si>
  <si>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</si>
  <si>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</si>
  <si>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</si>
  <si>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</si>
  <si>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</si>
  <si>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</si>
  <si>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</si>
  <si>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</si>
  <si>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</si>
  <si>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</si>
  <si>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</si>
  <si>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</si>
  <si>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</si>
  <si>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</si>
  <si>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</si>
  <si>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</si>
  <si>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</si>
  <si>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</si>
  <si>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</si>
  <si>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</si>
  <si>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</si>
  <si>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</si>
  <si>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</si>
  <si>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</si>
  <si>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</si>
  <si>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</si>
  <si>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</si>
  <si>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</si>
  <si>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</si>
  <si>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</si>
  <si>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</si>
  <si>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</si>
  <si>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</si>
  <si>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</si>
  <si>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</si>
  <si>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</si>
  <si>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</si>
  <si>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</si>
  <si>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</si>
  <si>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</si>
  <si>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</si>
  <si>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</si>
  <si>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</si>
  <si>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</si>
  <si>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</si>
  <si>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</si>
  <si>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</si>
  <si>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</si>
  <si>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</si>
  <si>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</si>
  <si>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</si>
  <si>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</si>
  <si>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</si>
  <si>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</si>
  <si>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</si>
  <si>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</si>
  <si>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</si>
  <si>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</si>
  <si>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</si>
  <si>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</si>
  <si>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</si>
  <si>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</si>
  <si>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</si>
  <si>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</si>
  <si>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</si>
  <si>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</si>
  <si>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</si>
  <si>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</si>
  <si>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</si>
  <si>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</si>
  <si>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</si>
  <si>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</si>
  <si>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</si>
  <si>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</si>
  <si>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</si>
  <si>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</si>
  <si>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</si>
  <si>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</si>
  <si>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</si>
  <si>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</si>
  <si>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</si>
  <si>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</si>
  <si>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</si>
  <si>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</si>
  <si>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</si>
  <si>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</si>
  <si>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</si>
  <si>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</si>
  <si>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</si>
  <si>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</si>
  <si>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</si>
  <si>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</si>
  <si>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</si>
  <si>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</si>
  <si>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</si>
  <si>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</si>
  <si>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</si>
  <si>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</si>
  <si>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</si>
  <si>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</si>
  <si>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</si>
  <si>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</si>
  <si>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</si>
  <si>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</si>
  <si>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</si>
  <si>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</si>
  <si>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</si>
  <si>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</si>
  <si>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</si>
  <si>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</si>
  <si>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</si>
  <si>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</si>
  <si>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</si>
  <si>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</si>
  <si>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</si>
  <si>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</si>
  <si>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</si>
  <si>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</si>
  <si>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</si>
  <si>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</si>
  <si>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</si>
  <si>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</si>
  <si>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</si>
  <si>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</si>
  <si>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</si>
  <si>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</si>
  <si>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</si>
  <si>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</si>
  <si>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</si>
  <si>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</si>
  <si>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</si>
  <si>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</si>
  <si>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</si>
  <si>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</si>
  <si>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</si>
  <si>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</si>
  <si>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</si>
  <si>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</si>
  <si>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</si>
  <si>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</si>
  <si>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</si>
  <si>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</si>
  <si>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</si>
  <si>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</si>
  <si>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</si>
  <si>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</si>
  <si>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</si>
  <si>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</si>
  <si>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</si>
  <si>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</si>
  <si>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</si>
  <si>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</si>
  <si>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</si>
  <si>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</si>
  <si>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</si>
  <si>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</si>
  <si>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</si>
  <si>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</si>
  <si>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</si>
  <si>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</si>
  <si>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</si>
  <si>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</si>
  <si>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</si>
  <si>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</si>
  <si>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</si>
  <si>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</si>
  <si>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</si>
  <si>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</si>
  <si>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</si>
  <si>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</si>
  <si>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</si>
  <si>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</si>
  <si>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</si>
  <si>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</si>
  <si>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</si>
  <si>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</si>
  <si>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</si>
  <si>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</si>
  <si>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</si>
  <si>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</si>
  <si>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</si>
  <si>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</si>
  <si>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</si>
  <si>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</si>
  <si>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</si>
  <si>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</si>
  <si>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</si>
  <si>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</si>
  <si>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</si>
  <si>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</si>
  <si>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</si>
  <si>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</si>
  <si>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</si>
  <si>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</si>
  <si>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</si>
  <si>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</si>
  <si>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</si>
  <si>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</si>
  <si>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</si>
  <si>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</si>
  <si>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</si>
  <si>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</si>
  <si>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</si>
  <si>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</si>
  <si>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</si>
  <si>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</si>
  <si>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</si>
  <si>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</si>
  <si>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</si>
  <si>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</si>
  <si>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</si>
  <si>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</si>
  <si>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</si>
  <si>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</si>
  <si>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</si>
  <si>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</si>
  <si>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</si>
  <si>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</si>
  <si>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</si>
  <si>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</si>
  <si>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</si>
  <si>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</si>
  <si>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</si>
  <si>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</si>
  <si>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</si>
  <si>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</si>
  <si>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</si>
  <si>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</si>
  <si>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</si>
  <si>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</si>
  <si>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</si>
  <si>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</si>
  <si>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</si>
  <si>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</si>
  <si>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</si>
  <si>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</si>
  <si>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</si>
  <si>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</si>
  <si>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</si>
  <si>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</si>
  <si>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</si>
  <si>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</si>
  <si>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</si>
  <si>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</si>
  <si>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</si>
  <si>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</si>
  <si>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</si>
  <si>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</si>
  <si>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</si>
  <si>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</si>
  <si>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</si>
  <si>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</si>
  <si>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</si>
  <si>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</si>
  <si>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</si>
  <si>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</si>
  <si>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</si>
  <si>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</si>
  <si>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</si>
  <si>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</si>
  <si>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</si>
  <si>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</si>
  <si>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</si>
  <si>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</si>
  <si>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</si>
  <si>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</si>
  <si>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</si>
  <si>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</si>
  <si>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</si>
  <si>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</si>
  <si>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</si>
  <si>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</si>
  <si>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</si>
  <si>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</si>
  <si>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</si>
  <si>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</si>
  <si>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</si>
  <si>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</si>
  <si>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</si>
  <si>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</si>
  <si>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</si>
  <si>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</si>
  <si>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</si>
  <si>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</si>
  <si>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</si>
  <si>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</si>
  <si>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</si>
  <si>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</si>
  <si>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</si>
  <si>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</si>
  <si>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</si>
  <si>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</si>
  <si>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</si>
  <si>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</si>
  <si>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</si>
  <si>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</si>
  <si>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</si>
  <si>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</si>
  <si>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</si>
  <si>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</si>
  <si>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</si>
  <si>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</si>
  <si>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</si>
  <si>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</si>
  <si>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</si>
  <si>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</si>
  <si>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</si>
  <si>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</si>
  <si>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</si>
  <si>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</si>
  <si>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</si>
  <si>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</si>
  <si>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</si>
  <si>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</si>
  <si>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</si>
  <si>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</si>
  <si>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</si>
  <si>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</si>
  <si>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</si>
  <si>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</si>
  <si>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</si>
  <si>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</si>
  <si>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</si>
  <si>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</si>
  <si>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</si>
  <si>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</si>
  <si>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</si>
  <si>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</si>
  <si>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</si>
  <si>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</si>
  <si>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</si>
  <si>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</si>
  <si>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</si>
  <si>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</si>
  <si>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</si>
  <si>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</si>
  <si>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</si>
  <si>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</si>
  <si>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</si>
  <si>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</si>
  <si>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</si>
  <si>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</si>
  <si>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</si>
  <si>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</si>
  <si>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</si>
  <si>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</si>
  <si>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</si>
  <si>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</si>
  <si>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</si>
  <si>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</si>
  <si>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</si>
  <si>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</si>
  <si>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</si>
  <si>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</si>
  <si>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</si>
  <si>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</si>
  <si>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</si>
  <si>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</si>
  <si>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</si>
  <si>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</si>
  <si>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</si>
  <si>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</si>
  <si>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</si>
  <si>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</si>
  <si>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</si>
  <si>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</si>
  <si>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</si>
  <si>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</si>
  <si>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</si>
  <si>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</si>
  <si>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</si>
  <si>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</si>
  <si>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</si>
  <si>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</si>
  <si>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</si>
  <si>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</si>
  <si>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</si>
  <si>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</si>
  <si>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</si>
  <si>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</si>
  <si>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</si>
  <si>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</si>
  <si>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</si>
  <si>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</si>
  <si>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</si>
  <si>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</si>
  <si>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</si>
  <si>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</si>
  <si>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</si>
  <si>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</si>
  <si>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</si>
  <si>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</si>
  <si>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</si>
  <si>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</si>
  <si>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</si>
  <si>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</si>
  <si>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</si>
  <si>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</si>
  <si>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</si>
  <si>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</si>
  <si>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</si>
  <si>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</si>
  <si>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</si>
  <si>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</si>
  <si>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</si>
  <si>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</si>
  <si>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</si>
  <si>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</si>
  <si>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</si>
  <si>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</si>
  <si>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</si>
  <si>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</si>
  <si>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</si>
  <si>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</si>
  <si>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</si>
  <si>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</si>
  <si>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</si>
  <si>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</si>
  <si>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</si>
  <si>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</si>
  <si>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</si>
  <si>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</si>
  <si>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</si>
  <si>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</si>
  <si>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</si>
  <si>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</si>
  <si>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</si>
  <si>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</si>
  <si>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</si>
  <si>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</si>
  <si>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</si>
  <si>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</si>
  <si>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</si>
  <si>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</si>
  <si>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</si>
  <si>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</si>
  <si>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</si>
  <si>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</si>
  <si>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</si>
  <si>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</si>
  <si>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</si>
  <si>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</si>
  <si>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</si>
  <si>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</si>
  <si>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</si>
  <si>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</si>
  <si>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</si>
  <si>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</si>
  <si>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</si>
  <si>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</si>
  <si>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</si>
  <si>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</si>
  <si>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</si>
  <si>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</si>
  <si>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</si>
  <si>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</si>
  <si>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</si>
  <si>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</si>
  <si>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</si>
  <si>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</si>
  <si>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</si>
  <si>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</si>
  <si>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</si>
  <si>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</si>
  <si>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</si>
  <si>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</si>
  <si>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</si>
  <si>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</si>
  <si>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</si>
  <si>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</si>
  <si>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</si>
  <si>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</si>
  <si>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</si>
  <si>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</si>
  <si>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</si>
  <si>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</si>
  <si>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</si>
  <si>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</si>
  <si>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</si>
  <si>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</si>
  <si>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</si>
  <si>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</si>
  <si>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</si>
  <si>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</si>
  <si>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</si>
  <si>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</si>
  <si>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</si>
  <si>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</si>
  <si>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</si>
  <si>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</si>
  <si>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</si>
  <si>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</si>
  <si>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</si>
  <si>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</si>
  <si>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</si>
  <si>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</si>
  <si>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</si>
  <si>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</si>
  <si>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</si>
  <si>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</si>
  <si>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</si>
  <si>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</si>
  <si>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</si>
  <si>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</si>
  <si>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</si>
  <si>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</si>
  <si>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</si>
  <si>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</si>
  <si>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</si>
  <si>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</si>
  <si>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</si>
  <si>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</si>
  <si>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</si>
  <si>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</si>
  <si>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</si>
  <si>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</si>
  <si>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</si>
  <si>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</si>
  <si>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</si>
  <si>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</si>
  <si>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</si>
  <si>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</si>
  <si>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</si>
  <si>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</si>
  <si>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</si>
  <si>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</si>
  <si>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</si>
  <si>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</si>
  <si>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</si>
  <si>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</si>
  <si>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</si>
  <si>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</si>
  <si>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</si>
  <si>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</si>
  <si>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</si>
  <si>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</si>
  <si>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</si>
  <si>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</si>
  <si>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</si>
  <si>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</si>
  <si>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</si>
  <si>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</si>
  <si>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</si>
  <si>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</si>
  <si>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</si>
  <si>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</si>
  <si>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</si>
  <si>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</si>
  <si>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</si>
  <si>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</si>
  <si>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</si>
  <si>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</si>
  <si>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</si>
  <si>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</si>
  <si>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</si>
  <si>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</si>
  <si>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</si>
  <si>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</si>
  <si>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</si>
  <si>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</si>
  <si>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</si>
  <si>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</si>
  <si>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</si>
  <si>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</si>
  <si>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</si>
  <si>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</si>
  <si>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</si>
  <si>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</si>
  <si>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</si>
  <si>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</si>
  <si>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</si>
  <si>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</si>
  <si>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</si>
  <si>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</si>
  <si>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</si>
  <si>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</si>
  <si>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</si>
  <si>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</si>
  <si>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</si>
  <si>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</si>
  <si>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</si>
  <si>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</si>
  <si>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</si>
  <si>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</si>
  <si>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</si>
  <si>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</si>
  <si>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</si>
  <si>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</si>
  <si>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</si>
  <si>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</si>
  <si>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</si>
  <si>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</si>
  <si>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</si>
  <si>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</si>
  <si>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</si>
  <si>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</si>
  <si>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</si>
  <si>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</si>
  <si>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</si>
  <si>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</si>
  <si>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</si>
  <si>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</si>
  <si>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</si>
  <si>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</si>
  <si>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</si>
  <si>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</si>
  <si>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</si>
  <si>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</si>
  <si>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</si>
  <si>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</si>
  <si>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</si>
  <si>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</si>
  <si>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</si>
  <si>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</si>
  <si>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</si>
  <si>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</si>
  <si>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</si>
  <si>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</si>
  <si>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</si>
  <si>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</si>
  <si>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</si>
  <si>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</si>
  <si>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</si>
  <si>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</si>
  <si>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</si>
  <si>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</si>
  <si>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</si>
  <si>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</si>
  <si>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</si>
  <si>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</si>
  <si>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</si>
  <si>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</si>
  <si>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</si>
  <si>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</si>
  <si>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</si>
  <si>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</si>
  <si>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</si>
  <si>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</si>
  <si>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</si>
  <si>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</si>
  <si>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</si>
  <si>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</si>
  <si>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</si>
  <si>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</si>
  <si>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</si>
  <si>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</si>
  <si>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</si>
  <si>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</si>
  <si>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</si>
  <si>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</si>
  <si>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</si>
  <si>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</si>
  <si>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</si>
  <si>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</si>
  <si>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</si>
  <si>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</si>
  <si>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</si>
  <si>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</si>
  <si>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</si>
  <si>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</si>
  <si>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</si>
  <si>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</si>
  <si>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</si>
  <si>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</si>
  <si>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</si>
  <si>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</si>
  <si>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</si>
  <si>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</si>
  <si>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</si>
  <si>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</si>
  <si>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</si>
  <si>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</si>
  <si>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</si>
  <si>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</si>
  <si>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</si>
  <si>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</si>
  <si>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</si>
  <si>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</si>
  <si>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</si>
  <si>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</si>
  <si>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</si>
  <si>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</si>
  <si>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</si>
  <si>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</si>
  <si>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</si>
  <si>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</si>
  <si>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</si>
  <si>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</si>
  <si>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</si>
  <si>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</si>
  <si>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</si>
  <si>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</si>
  <si>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</si>
  <si>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</si>
  <si>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</si>
  <si>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</si>
  <si>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</si>
  <si>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</si>
  <si>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</si>
  <si>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</si>
  <si>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</si>
  <si>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</si>
  <si>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</si>
  <si>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</si>
  <si>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</si>
  <si>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</si>
  <si>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</si>
  <si>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</si>
  <si>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</si>
  <si>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</si>
  <si>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</si>
  <si>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</si>
  <si>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</si>
  <si>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</si>
  <si>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</si>
  <si>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</si>
  <si>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</si>
  <si>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</si>
  <si>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</si>
  <si>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</si>
  <si>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</si>
  <si>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</si>
  <si>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</si>
  <si>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</si>
  <si>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</si>
  <si>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</si>
  <si>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</si>
  <si>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</si>
  <si>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</si>
  <si>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</si>
  <si>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</si>
  <si>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</si>
  <si>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</si>
  <si>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</si>
  <si>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</si>
  <si>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</si>
  <si>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</si>
  <si>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</si>
  <si>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</si>
  <si>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</si>
  <si>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</si>
  <si>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</si>
  <si>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</si>
  <si>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</si>
  <si>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</si>
  <si>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</si>
  <si>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</si>
  <si>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</si>
  <si>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</si>
  <si>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</si>
  <si>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</si>
  <si>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</si>
  <si>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</si>
  <si>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</si>
  <si>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</si>
  <si>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</si>
  <si>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</si>
  <si>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</si>
  <si>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</si>
  <si>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</si>
  <si>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</si>
  <si>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</si>
  <si>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</si>
  <si>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</si>
  <si>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</si>
  <si>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</si>
  <si>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</si>
  <si>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</si>
  <si>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</si>
  <si>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</si>
  <si>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</si>
  <si>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</si>
  <si>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</si>
  <si>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</si>
  <si>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</si>
  <si>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</si>
  <si>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</si>
  <si>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</si>
  <si>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</si>
  <si>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</si>
  <si>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</si>
  <si>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</si>
  <si>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</si>
  <si>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</si>
  <si>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</si>
  <si>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</si>
  <si>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</si>
  <si>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</si>
  <si>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</si>
  <si>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</si>
  <si>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</si>
  <si>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</si>
  <si>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</si>
  <si>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</si>
  <si>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</si>
  <si>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</si>
  <si>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</si>
  <si>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</si>
  <si>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</si>
  <si>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</si>
  <si>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</si>
  <si>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</si>
  <si>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</si>
  <si>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</si>
  <si>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</si>
  <si>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</si>
  <si>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</si>
  <si>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</si>
  <si>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</si>
  <si>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</si>
  <si>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</si>
  <si>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</si>
  <si>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</si>
  <si>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</si>
  <si>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</si>
  <si>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</si>
  <si>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</si>
  <si>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</si>
  <si>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</si>
  <si>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</si>
  <si>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</si>
  <si>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</si>
  <si>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</si>
  <si>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</si>
  <si>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</si>
  <si>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</si>
  <si>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</si>
  <si>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</si>
  <si>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</si>
  <si>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</si>
  <si>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</si>
  <si>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</si>
  <si>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</si>
  <si>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</si>
  <si>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</si>
  <si>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</si>
  <si>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</si>
  <si>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</si>
  <si>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</si>
  <si>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</si>
  <si>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</si>
  <si>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</si>
  <si>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</si>
  <si>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</si>
  <si>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</si>
  <si>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</si>
  <si>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</si>
  <si>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</si>
  <si>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</si>
  <si>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</si>
  <si>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</si>
  <si>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</si>
  <si>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</si>
  <si>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</si>
  <si>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</si>
  <si>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</si>
  <si>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</si>
  <si>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</si>
  <si>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</si>
  <si>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</si>
  <si>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</si>
  <si>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</si>
  <si>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</si>
  <si>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</si>
  <si>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</si>
  <si>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</si>
  <si>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</si>
  <si>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</si>
  <si>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</si>
  <si>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</si>
  <si>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</si>
  <si>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</si>
  <si>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</si>
  <si>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</si>
  <si>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</si>
  <si>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</si>
  <si>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</si>
  <si>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</si>
  <si>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</si>
  <si>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北京市</t>
  </si>
  <si>
    <t>企业</t>
  </si>
  <si>
    <t>出让</t>
  </si>
  <si>
    <t>Ⅵ-顺1</t>
  </si>
  <si>
    <t>地上</t>
  </si>
  <si>
    <t>住宅</t>
  </si>
  <si>
    <t>是</t>
  </si>
  <si>
    <r>
      <t>153</t>
    </r>
    <r>
      <rPr>
        <sz val="10"/>
        <color indexed="8"/>
        <rFont val="宋体"/>
        <family val="3"/>
        <charset val="134"/>
      </rPr>
      <t>号</t>
    </r>
    <phoneticPr fontId="3" type="noConversion"/>
  </si>
  <si>
    <t>别墅</t>
  </si>
  <si>
    <t>别墅</t>
    <phoneticPr fontId="7" type="noConversion"/>
  </si>
  <si>
    <t>成新度</t>
  </si>
  <si>
    <t>自定义容积率</t>
  </si>
  <si>
    <t>不临58条商业街</t>
  </si>
  <si>
    <t>与级别开发程度一致</t>
  </si>
  <si>
    <t>通路</t>
  </si>
  <si>
    <t>通电</t>
  </si>
  <si>
    <t>通讯</t>
  </si>
  <si>
    <t>通上水</t>
  </si>
  <si>
    <t>通下水</t>
  </si>
  <si>
    <t>通热</t>
  </si>
  <si>
    <t>燃气</t>
  </si>
  <si>
    <t>平整</t>
  </si>
  <si>
    <t>有</t>
  </si>
  <si>
    <t>无</t>
  </si>
  <si>
    <t>500-1000米</t>
  </si>
  <si>
    <t>地价指数</t>
  </si>
  <si>
    <t>容积率修正</t>
  </si>
  <si>
    <t>较好</t>
  </si>
  <si>
    <t>一般</t>
  </si>
  <si>
    <t>好</t>
  </si>
  <si>
    <t>较差</t>
  </si>
  <si>
    <t>已包含在土地取得成本中</t>
  </si>
  <si>
    <t>未包含在土地购买价格中</t>
  </si>
  <si>
    <t>全部缴纳</t>
  </si>
  <si>
    <t>正常</t>
  </si>
  <si>
    <t>砖混</t>
  </si>
  <si>
    <t>非生产用房</t>
  </si>
  <si>
    <t>否</t>
  </si>
  <si>
    <t>现房</t>
  </si>
  <si>
    <t>比较法-住宅</t>
  </si>
  <si>
    <t>成本法</t>
  </si>
  <si>
    <t>独栋别墅</t>
  </si>
  <si>
    <t>独栋别墅</t>
    <phoneticPr fontId="25" type="noConversion"/>
  </si>
  <si>
    <t>砖混</t>
    <phoneticPr fontId="25" type="noConversion"/>
  </si>
  <si>
    <t>莆田市建宏投资实业有限公司</t>
    <phoneticPr fontId="143" type="noConversion"/>
  </si>
  <si>
    <t>混合</t>
    <phoneticPr fontId="143" type="noConversion"/>
  </si>
  <si>
    <t>京（2017）顺不动产权第0033163号</t>
    <phoneticPr fontId="143" type="noConversion"/>
  </si>
  <si>
    <t>顺义区后沙峪地区榆阳路8号一、二期153、153-1号楼1-2层全部</t>
    <phoneticPr fontId="143" type="noConversion"/>
  </si>
  <si>
    <t>1-2层</t>
    <phoneticPr fontId="143" type="noConversion"/>
  </si>
  <si>
    <t>京（2017）顺不动产权第0033178号</t>
    <phoneticPr fontId="143" type="noConversion"/>
  </si>
  <si>
    <t>顺义区后沙峪地区榆阳路8号一、二期156、156-1号楼1-2层全部</t>
    <phoneticPr fontId="143" type="noConversion"/>
  </si>
  <si>
    <t>京（2017）顺不动产权第0033181号</t>
    <phoneticPr fontId="143" type="noConversion"/>
  </si>
  <si>
    <t>顺义区后沙峪地区榆阳路8号一、二期155、155-1号楼1-2层全部</t>
    <phoneticPr fontId="143" type="noConversion"/>
  </si>
  <si>
    <t>京（2017）顺不动产权第0033682号</t>
    <phoneticPr fontId="143" type="noConversion"/>
  </si>
  <si>
    <t>顺义区后沙峪地区榆阳路8号一、二期157、157-1号楼1-2层全部</t>
    <phoneticPr fontId="143" type="noConversion"/>
  </si>
  <si>
    <t>居住用地（指一类居住用地）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</si>
</sst>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05" fillId="11" borderId="1"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0" xfId="0" applyFont="1" applyAlignment="1">
      <alignment horizontal="left" vertical="center"/>
    </xf>
    <xf numFmtId="0" fontId="255" fillId="0" borderId="0" xfId="0" applyNumberFormat="1" applyFont="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6</xdr:row>
      <xdr:rowOff>123825</xdr:rowOff>
    </xdr:from>
    <xdr:to>
      <xdr:col>14</xdr:col>
      <xdr:colOff>55971</xdr:colOff>
      <xdr:row>16</xdr:row>
      <xdr:rowOff>152182</xdr:rowOff>
    </xdr:to>
    <xdr:pic>
      <xdr:nvPicPr>
        <xdr:cNvPr id="3" name="图片 2"/>
        <xdr:cNvPicPr>
          <a:picLocks noChangeAspect="1"/>
        </xdr:cNvPicPr>
      </xdr:nvPicPr>
      <xdr:blipFill>
        <a:blip xmlns:r="http://schemas.openxmlformats.org/officeDocument/2006/relationships" r:embed="rId1"/>
        <a:stretch>
          <a:fillRect/>
        </a:stretch>
      </xdr:blipFill>
      <xdr:spPr>
        <a:xfrm>
          <a:off x="219075" y="1152525"/>
          <a:ext cx="9438096" cy="1742857"/>
        </a:xfrm>
        <a:prstGeom prst="rect">
          <a:avLst/>
        </a:prstGeom>
      </xdr:spPr>
    </xdr:pic>
    <xdr:clientData/>
  </xdr:twoCellAnchor>
  <xdr:twoCellAnchor editAs="oneCell">
    <xdr:from>
      <xdr:col>0</xdr:col>
      <xdr:colOff>152400</xdr:colOff>
      <xdr:row>29</xdr:row>
      <xdr:rowOff>76200</xdr:rowOff>
    </xdr:from>
    <xdr:to>
      <xdr:col>13</xdr:col>
      <xdr:colOff>684620</xdr:colOff>
      <xdr:row>39</xdr:row>
      <xdr:rowOff>28367</xdr:rowOff>
    </xdr:to>
    <xdr:pic>
      <xdr:nvPicPr>
        <xdr:cNvPr id="4" name="图片 3"/>
        <xdr:cNvPicPr>
          <a:picLocks noChangeAspect="1"/>
        </xdr:cNvPicPr>
      </xdr:nvPicPr>
      <xdr:blipFill>
        <a:blip xmlns:r="http://schemas.openxmlformats.org/officeDocument/2006/relationships" r:embed="rId2"/>
        <a:stretch>
          <a:fillRect/>
        </a:stretch>
      </xdr:blipFill>
      <xdr:spPr>
        <a:xfrm>
          <a:off x="152400" y="5048250"/>
          <a:ext cx="9447620" cy="1666667"/>
        </a:xfrm>
        <a:prstGeom prst="rect">
          <a:avLst/>
        </a:prstGeom>
      </xdr:spPr>
    </xdr:pic>
    <xdr:clientData/>
  </xdr:twoCellAnchor>
  <xdr:twoCellAnchor editAs="oneCell">
    <xdr:from>
      <xdr:col>0</xdr:col>
      <xdr:colOff>95250</xdr:colOff>
      <xdr:row>40</xdr:row>
      <xdr:rowOff>133350</xdr:rowOff>
    </xdr:from>
    <xdr:to>
      <xdr:col>13</xdr:col>
      <xdr:colOff>579851</xdr:colOff>
      <xdr:row>70</xdr:row>
      <xdr:rowOff>161279</xdr:rowOff>
    </xdr:to>
    <xdr:pic>
      <xdr:nvPicPr>
        <xdr:cNvPr id="5" name="图片 4"/>
        <xdr:cNvPicPr>
          <a:picLocks noChangeAspect="1"/>
        </xdr:cNvPicPr>
      </xdr:nvPicPr>
      <xdr:blipFill>
        <a:blip xmlns:r="http://schemas.openxmlformats.org/officeDocument/2006/relationships" r:embed="rId3"/>
        <a:stretch>
          <a:fillRect/>
        </a:stretch>
      </xdr:blipFill>
      <xdr:spPr>
        <a:xfrm>
          <a:off x="95250" y="6991350"/>
          <a:ext cx="9400001" cy="5171429"/>
        </a:xfrm>
        <a:prstGeom prst="rect">
          <a:avLst/>
        </a:prstGeom>
      </xdr:spPr>
    </xdr:pic>
    <xdr:clientData/>
  </xdr:twoCellAnchor>
  <xdr:twoCellAnchor editAs="oneCell">
    <xdr:from>
      <xdr:col>0</xdr:col>
      <xdr:colOff>152400</xdr:colOff>
      <xdr:row>17</xdr:row>
      <xdr:rowOff>114300</xdr:rowOff>
    </xdr:from>
    <xdr:to>
      <xdr:col>14</xdr:col>
      <xdr:colOff>132153</xdr:colOff>
      <xdr:row>28</xdr:row>
      <xdr:rowOff>28350</xdr:rowOff>
    </xdr:to>
    <xdr:pic>
      <xdr:nvPicPr>
        <xdr:cNvPr id="6" name="图片 5"/>
        <xdr:cNvPicPr>
          <a:picLocks noChangeAspect="1"/>
        </xdr:cNvPicPr>
      </xdr:nvPicPr>
      <xdr:blipFill>
        <a:blip xmlns:r="http://schemas.openxmlformats.org/officeDocument/2006/relationships" r:embed="rId4"/>
        <a:stretch>
          <a:fillRect/>
        </a:stretch>
      </xdr:blipFill>
      <xdr:spPr>
        <a:xfrm>
          <a:off x="152400" y="3028950"/>
          <a:ext cx="9580953" cy="1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受贵公司委托，我公司对北京市房地产抵押价值进行了预评估。</v>
      </c>
    </row>
    <row r="7" spans="1:2" s="1593" customFormat="1">
      <c r="A7" s="1591" t="s">
        <v>1259</v>
      </c>
      <c r="B7" s="1592" t="str">
        <f>'预评函-1'!A7</f>
        <v>估价对象为北京市房地产，为所有。根据《国有土地使用证》[]，估价对象（分摊）出让国有建设用地使用权面积为377.51平方米，建筑面积为232.53平方米。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估价对象为北京市房地产,属开发建设的，该项目尚在开发建设中。根据《国有土地使用证》[]，估价对象（分摊）出让国有建设用地使用权面积为377.51平方米，规划建筑面积为232.53平方米。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2020年7月20日</v>
      </c>
    </row>
    <row r="13" spans="1:2" s="1593" customFormat="1">
      <c r="A13" s="1591" t="s">
        <v>1222</v>
      </c>
      <c r="B13" s="1592" t="str">
        <f>'预评函-1'!A18</f>
        <v>本次估价的“房地产价值”是指在正常市场情况下，在价值时点2020年7月20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本次评估采用的主估价方法为比较法和成本法。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2330</v>
      </c>
    </row>
    <row r="21" spans="1:2" s="1593" customFormat="1">
      <c r="A21" s="1591" t="s">
        <v>1230</v>
      </c>
      <c r="B21" s="1592">
        <f ca="1">'预评函-2'!D7</f>
        <v>100202</v>
      </c>
    </row>
    <row r="22" spans="1:2" s="1593" customFormat="1">
      <c r="A22" s="1591" t="s">
        <v>1231</v>
      </c>
      <c r="B22" s="1592" t="str">
        <f ca="1">'预评函-2'!D6</f>
        <v>贰仟叁佰叁拾万元整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2330</v>
      </c>
    </row>
    <row r="31" spans="1:2" s="1593" customFormat="1">
      <c r="A31" s="1591" t="s">
        <v>1269</v>
      </c>
      <c r="B31" s="1592">
        <f ca="1">'预评函-2'!D15</f>
        <v>100202</v>
      </c>
    </row>
    <row r="32" spans="1:2" s="1593" customFormat="1">
      <c r="A32" s="1591" t="s">
        <v>1236</v>
      </c>
      <c r="B32" s="1592" t="str">
        <f ca="1">'预评函-2'!D14</f>
        <v>贰仟叁佰叁拾万元整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232.53</v>
      </c>
    </row>
    <row r="44" spans="1:2" s="1593" customFormat="1">
      <c r="A44" s="1591" t="s">
        <v>1268</v>
      </c>
      <c r="B44" s="1592" t="str">
        <f>'预评函-3'!C2</f>
        <v>(分摊)土地面积</v>
      </c>
    </row>
    <row r="45" spans="1:2" s="1593" customFormat="1">
      <c r="A45" s="1591" t="s">
        <v>1240</v>
      </c>
      <c r="B45" s="1592">
        <f>'预评函-3'!C4</f>
        <v>377.51</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08"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13" t="s">
        <v>860</v>
      </c>
      <c r="C54" s="2010" t="s">
        <v>1276</v>
      </c>
    </row>
    <row r="55" spans="1:4">
      <c r="A55" s="3008"/>
      <c r="B55" s="2013" t="s">
        <v>861</v>
      </c>
      <c r="C55" s="2010" t="s">
        <v>1277</v>
      </c>
    </row>
    <row r="56" spans="1:4">
      <c r="A56" s="3008"/>
      <c r="B56" s="2013" t="s">
        <v>862</v>
      </c>
      <c r="C56" s="2010" t="s">
        <v>1281</v>
      </c>
    </row>
    <row r="57" spans="1:4">
      <c r="A57" s="3008"/>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7" sqref="H37"/>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1770</v>
      </c>
      <c r="B1" s="3017" t="str">
        <f>IF(B10="北京市","北京市",C10)&amp;F10&amp;IF(结果表!G1="在建","出让国有建设用地使用权及在建建筑物",IF(结果表!G1="土地","出让国有建设用地使用权",))&amp;B9&amp;"预评估"</f>
        <v>北京市房地产抵押价值预评估</v>
      </c>
      <c r="C1" s="3018"/>
      <c r="D1" s="3018"/>
      <c r="E1" s="3018"/>
      <c r="F1" s="3018"/>
      <c r="G1" s="3018"/>
      <c r="H1" s="3018"/>
      <c r="I1" s="3019"/>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北京市房地产</v>
      </c>
    </row>
    <row r="3" spans="1:19" ht="18" customHeight="1">
      <c r="A3" s="2026" t="s">
        <v>1772</v>
      </c>
      <c r="B3" s="2027"/>
      <c r="C3" s="2028" t="s">
        <v>1773</v>
      </c>
      <c r="D3" s="2027">
        <v>44032</v>
      </c>
      <c r="E3" s="2017"/>
      <c r="F3" s="2017"/>
      <c r="G3" s="2017"/>
      <c r="H3" s="2017"/>
      <c r="I3" s="2017"/>
      <c r="J3" s="2017"/>
      <c r="K3" s="2018"/>
      <c r="L3" s="2019"/>
      <c r="M3" s="2019"/>
      <c r="N3" s="2020"/>
      <c r="O3" s="2021"/>
      <c r="P3" s="2020"/>
      <c r="Q3" s="2020"/>
      <c r="R3" s="2020"/>
      <c r="S3" s="2022"/>
    </row>
    <row r="4" spans="1:19" ht="18" customHeight="1" thickBot="1">
      <c r="A4" s="2029" t="s">
        <v>1774</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2044"/>
      <c r="C7" s="2041"/>
      <c r="D7" s="2042"/>
      <c r="E7" s="2025"/>
      <c r="F7" s="2033"/>
      <c r="G7" s="2033"/>
      <c r="H7" s="2033"/>
      <c r="I7" s="2033"/>
      <c r="J7" s="2033"/>
      <c r="K7" s="2045"/>
      <c r="L7" s="2019"/>
      <c r="M7" s="2019"/>
      <c r="N7" s="2020"/>
      <c r="O7" s="2021"/>
      <c r="P7" s="2020"/>
      <c r="Q7" s="2020"/>
      <c r="R7" s="2020"/>
    </row>
    <row r="8" spans="1:19" ht="18" customHeight="1">
      <c r="A8" s="2039" t="s">
        <v>1778</v>
      </c>
      <c r="B8" s="2046" t="s">
        <v>3060</v>
      </c>
      <c r="C8" s="2047"/>
      <c r="D8" s="3020" t="s">
        <v>1779</v>
      </c>
      <c r="E8" s="2048" t="s">
        <v>3061</v>
      </c>
      <c r="F8" s="2049"/>
      <c r="G8" s="2017"/>
      <c r="H8" s="2017"/>
      <c r="I8" s="2017"/>
      <c r="J8" s="2033"/>
      <c r="K8" s="2034"/>
      <c r="L8" s="2019"/>
      <c r="M8" s="2019"/>
      <c r="N8" s="2020"/>
      <c r="O8" s="2021"/>
      <c r="P8" s="2020"/>
      <c r="Q8" s="2020"/>
      <c r="R8" s="2020"/>
    </row>
    <row r="9" spans="1:19" ht="18" customHeight="1" thickBot="1">
      <c r="A9" s="2031" t="s">
        <v>1780</v>
      </c>
      <c r="B9" s="2050" t="s">
        <v>3061</v>
      </c>
      <c r="C9" s="2051"/>
      <c r="D9" s="3021"/>
      <c r="E9" s="2050"/>
      <c r="F9" s="2052"/>
      <c r="G9" s="2053"/>
      <c r="H9" s="2053"/>
      <c r="I9" s="2053"/>
      <c r="J9" s="2033"/>
      <c r="K9" s="2045"/>
      <c r="L9" s="2019"/>
      <c r="M9" s="2019"/>
      <c r="N9" s="2020"/>
      <c r="O9" s="2021"/>
      <c r="P9" s="2020"/>
      <c r="Q9" s="2020"/>
      <c r="R9" s="2020"/>
    </row>
    <row r="10" spans="1:19" ht="18" customHeight="1" thickTop="1">
      <c r="A10" s="2054" t="s">
        <v>1781</v>
      </c>
      <c r="B10" s="2055" t="s">
        <v>3062</v>
      </c>
      <c r="C10" s="2056"/>
      <c r="D10" s="2038"/>
      <c r="E10" s="2057" t="s">
        <v>1782</v>
      </c>
      <c r="F10" s="2058"/>
      <c r="G10" s="2059"/>
      <c r="H10" s="2060"/>
      <c r="I10" s="2038"/>
      <c r="J10" s="2033"/>
      <c r="K10" s="2045"/>
      <c r="L10" s="2019"/>
      <c r="M10" s="2019"/>
      <c r="N10" s="2020"/>
      <c r="O10" s="2021"/>
      <c r="P10" s="2020"/>
      <c r="Q10" s="2020"/>
      <c r="R10" s="2020"/>
    </row>
    <row r="11" spans="1:19" ht="18" customHeight="1">
      <c r="A11" s="2061" t="s">
        <v>1783</v>
      </c>
      <c r="B11" s="2062" t="s">
        <v>3063</v>
      </c>
      <c r="C11" s="2063"/>
      <c r="D11" s="2064"/>
      <c r="E11" s="2033"/>
      <c r="F11" s="2033"/>
      <c r="G11" s="2033"/>
      <c r="H11" s="2033"/>
      <c r="I11" s="2033"/>
      <c r="J11" s="2033"/>
      <c r="K11" s="2045"/>
      <c r="L11" s="2019"/>
      <c r="M11" s="2019"/>
      <c r="N11" s="2020"/>
      <c r="O11" s="2021"/>
      <c r="P11" s="2020"/>
      <c r="Q11" s="2020"/>
      <c r="R11" s="2020"/>
    </row>
    <row r="12" spans="1:19" ht="18" customHeight="1">
      <c r="A12" s="2065" t="s">
        <v>1784</v>
      </c>
      <c r="B12" s="2062" t="s">
        <v>3064</v>
      </c>
      <c r="C12" s="2066" t="s">
        <v>1785</v>
      </c>
      <c r="D12" s="2067" t="s">
        <v>1786</v>
      </c>
      <c r="E12" s="2067" t="s">
        <v>1787</v>
      </c>
      <c r="F12" s="2067" t="s">
        <v>1788</v>
      </c>
      <c r="G12" s="2067" t="s">
        <v>1789</v>
      </c>
      <c r="H12" s="2067" t="s">
        <v>1790</v>
      </c>
      <c r="I12" s="2067" t="s">
        <v>1791</v>
      </c>
      <c r="J12" s="2033"/>
      <c r="K12" s="2045"/>
      <c r="L12" s="2019"/>
      <c r="M12" s="2019"/>
      <c r="N12" s="2020"/>
      <c r="O12" s="2021"/>
      <c r="P12" s="2020"/>
      <c r="Q12" s="2020"/>
      <c r="R12" s="2020"/>
    </row>
    <row r="13" spans="1:19" ht="18" customHeight="1">
      <c r="A13" s="2068"/>
      <c r="B13" s="2069"/>
      <c r="C13" s="2070" t="s">
        <v>1792</v>
      </c>
      <c r="D13" s="2071">
        <v>60897</v>
      </c>
      <c r="E13" s="2071"/>
      <c r="F13" s="2071"/>
      <c r="G13" s="2071"/>
      <c r="H13" s="2071"/>
      <c r="I13" s="1047"/>
      <c r="J13" s="2033"/>
      <c r="K13" s="2045"/>
      <c r="L13" s="2019"/>
      <c r="M13" s="2019"/>
      <c r="N13" s="2020"/>
      <c r="O13" s="2021"/>
      <c r="P13" s="2020"/>
      <c r="Q13" s="2020"/>
      <c r="R13" s="2020"/>
    </row>
    <row r="14" spans="1:19" ht="18" customHeight="1">
      <c r="A14" s="2068"/>
      <c r="B14" s="2069"/>
      <c r="C14" s="2070" t="s">
        <v>1793</v>
      </c>
      <c r="D14" s="1050">
        <v>70</v>
      </c>
      <c r="E14" s="1050"/>
      <c r="F14" s="1050"/>
      <c r="G14" s="1050"/>
      <c r="H14" s="1050"/>
      <c r="I14" s="1050"/>
      <c r="J14" s="2033"/>
      <c r="K14" s="2072"/>
      <c r="L14" s="2019"/>
      <c r="M14" s="2019"/>
      <c r="N14" s="2020"/>
      <c r="O14" s="2021"/>
      <c r="P14" s="2020"/>
      <c r="Q14" s="2020"/>
      <c r="R14" s="2020"/>
    </row>
    <row r="15" spans="1:19" ht="18" customHeight="1">
      <c r="A15" s="2054"/>
      <c r="B15" s="2073"/>
      <c r="C15" s="2070" t="s">
        <v>1794</v>
      </c>
      <c r="D15" s="1049">
        <f>IF(B12="出让",IF(D13="","",ROUNDDOWN(MIN((D13-$D$3)/365,D14),2)),D14)</f>
        <v>46.2</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4"/>
      <c r="L15" s="2075"/>
      <c r="M15" s="2075"/>
      <c r="N15" s="2076"/>
      <c r="O15" s="2075"/>
      <c r="P15" s="2076"/>
      <c r="Q15" s="2020"/>
      <c r="R15" s="2020"/>
    </row>
    <row r="16" spans="1:19" ht="30.75" customHeight="1">
      <c r="A16" s="2057" t="s">
        <v>1795</v>
      </c>
      <c r="B16" s="3027"/>
      <c r="C16" s="3028"/>
      <c r="D16" s="3029"/>
      <c r="E16" s="2077" t="s">
        <v>1796</v>
      </c>
      <c r="F16" s="3030"/>
      <c r="G16" s="3031"/>
      <c r="H16" s="3031"/>
      <c r="I16" s="3032"/>
      <c r="J16" s="2020"/>
      <c r="K16" s="2074"/>
      <c r="L16" s="2075"/>
      <c r="M16" s="2075"/>
      <c r="N16" s="2076"/>
      <c r="O16" s="2075"/>
      <c r="P16" s="2076"/>
      <c r="Q16" s="2020"/>
      <c r="R16" s="2020"/>
    </row>
    <row r="17" spans="1:22" ht="18" customHeight="1">
      <c r="A17" s="2078" t="s">
        <v>1797</v>
      </c>
      <c r="B17" s="2026" t="s">
        <v>1798</v>
      </c>
      <c r="C17" s="1054">
        <f>'数据-汇总表'!E3</f>
        <v>232.53</v>
      </c>
      <c r="D17" s="2079" t="s">
        <v>1799</v>
      </c>
      <c r="E17" s="3033" t="s">
        <v>1800</v>
      </c>
      <c r="F17" s="3034"/>
      <c r="G17" s="3034"/>
      <c r="H17" s="3034"/>
      <c r="I17" s="3035"/>
      <c r="J17" s="2020"/>
      <c r="K17" s="2080"/>
      <c r="L17" s="2075"/>
      <c r="M17" s="2075"/>
      <c r="N17" s="2076"/>
      <c r="O17" s="2075"/>
      <c r="P17" s="2076"/>
      <c r="Q17" s="2020"/>
      <c r="R17" s="2020"/>
      <c r="S17" s="2020"/>
      <c r="T17" s="2020"/>
      <c r="U17" s="2020"/>
      <c r="V17" s="2020"/>
    </row>
    <row r="18" spans="1:22" ht="36" customHeight="1" thickBot="1">
      <c r="A18" s="2081" t="s">
        <v>1801</v>
      </c>
      <c r="B18" s="2029" t="s">
        <v>1802</v>
      </c>
      <c r="C18" s="1444">
        <f>'数据-汇总表'!D3</f>
        <v>377.51</v>
      </c>
      <c r="D18" s="2082" t="s">
        <v>1799</v>
      </c>
      <c r="E18" s="3036" t="s">
        <v>1803</v>
      </c>
      <c r="F18" s="3037"/>
      <c r="G18" s="3037"/>
      <c r="H18" s="3037"/>
      <c r="I18" s="3038"/>
      <c r="J18" s="2020"/>
      <c r="K18" s="2080"/>
      <c r="L18" s="2075"/>
      <c r="M18" s="2075"/>
      <c r="N18" s="2076"/>
      <c r="O18" s="2075"/>
      <c r="P18" s="2076"/>
      <c r="Q18" s="2020"/>
      <c r="R18" s="2020"/>
      <c r="S18" s="2020"/>
      <c r="T18" s="2020"/>
      <c r="U18" s="2020"/>
      <c r="V18" s="2020"/>
    </row>
    <row r="19" spans="1:22" ht="37.5" customHeight="1" thickTop="1" thickBot="1">
      <c r="A19" s="373" t="s">
        <v>1804</v>
      </c>
      <c r="B19" s="352" t="s">
        <v>1805</v>
      </c>
      <c r="C19" s="2083"/>
      <c r="D19" s="2084" t="s">
        <v>1806</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1807</v>
      </c>
      <c r="B20" s="3023" t="s">
        <v>1808</v>
      </c>
      <c r="C20" s="3024"/>
      <c r="D20" s="3025" t="s">
        <v>1809</v>
      </c>
      <c r="E20" s="3026"/>
      <c r="F20" s="2089" t="s">
        <v>1810</v>
      </c>
      <c r="G20" s="2033"/>
      <c r="H20" s="2033"/>
      <c r="I20" s="2033"/>
      <c r="J20" s="2033"/>
      <c r="K20" s="302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1812</v>
      </c>
      <c r="C21" s="2091" t="s">
        <v>1813</v>
      </c>
      <c r="D21" s="2092" t="s">
        <v>1814</v>
      </c>
      <c r="E21" s="2093" t="s">
        <v>1813</v>
      </c>
      <c r="F21" s="2094"/>
      <c r="G21" s="2033"/>
      <c r="H21" s="2033"/>
      <c r="I21" s="2033"/>
      <c r="J21" s="2033"/>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1815</v>
      </c>
      <c r="C22" s="2091" t="s">
        <v>1816</v>
      </c>
      <c r="D22" s="2017"/>
      <c r="E22" s="2017"/>
      <c r="F22" s="2096"/>
      <c r="G22" s="2033"/>
      <c r="H22" s="2033"/>
      <c r="I22" s="2033"/>
      <c r="J22" s="2033"/>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1817</v>
      </c>
      <c r="B23" s="183" t="s">
        <v>1818</v>
      </c>
      <c r="C23" s="2098"/>
      <c r="D23" s="2099" t="s">
        <v>1818</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1819</v>
      </c>
      <c r="C24" s="2103"/>
      <c r="D24" s="2097" t="s">
        <v>1819</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1820</v>
      </c>
      <c r="C25" s="2103"/>
      <c r="D25" s="2097" t="s">
        <v>1820</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1821</v>
      </c>
      <c r="C26" s="2107"/>
      <c r="D26" s="2108" t="s">
        <v>1822</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010" t="s">
        <v>1823</v>
      </c>
      <c r="B27" s="2054" t="s">
        <v>1824</v>
      </c>
      <c r="C27" s="2111"/>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010"/>
      <c r="B28" s="2026" t="s">
        <v>1825</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010"/>
      <c r="B29" s="2026" t="s">
        <v>1826</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011"/>
      <c r="B30" s="2026" t="s">
        <v>1827</v>
      </c>
      <c r="C30" s="3012"/>
      <c r="D30" s="3013"/>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014" t="s">
        <v>1828</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015"/>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015"/>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1829</v>
      </c>
      <c r="B34" s="2125"/>
      <c r="C34" s="2125"/>
      <c r="D34" s="2125"/>
      <c r="E34" s="2125"/>
      <c r="F34" s="2125"/>
      <c r="G34" s="2125"/>
      <c r="H34" s="2125"/>
      <c r="I34" s="2033"/>
      <c r="J34" s="2033"/>
      <c r="K34" s="1787">
        <f>COUNTIF(B34:H34,"——")</f>
        <v>0</v>
      </c>
      <c r="L34" s="2066" t="s">
        <v>1830</v>
      </c>
      <c r="M34" s="2066" t="s">
        <v>1831</v>
      </c>
      <c r="N34" s="2066" t="s">
        <v>1832</v>
      </c>
      <c r="O34" s="2066" t="s">
        <v>1833</v>
      </c>
      <c r="P34" s="2066" t="s">
        <v>1834</v>
      </c>
      <c r="Q34" s="2066" t="s">
        <v>1835</v>
      </c>
      <c r="R34" s="2066" t="s">
        <v>1836</v>
      </c>
      <c r="S34" s="3009" t="s">
        <v>1837</v>
      </c>
      <c r="T34" s="2126" t="str">
        <f>NUMBERSTRING(7-K34,1)&amp;"通"</f>
        <v>七通</v>
      </c>
      <c r="U34" s="2020"/>
      <c r="V34" s="2020"/>
    </row>
    <row r="35" spans="1:22" ht="18" customHeight="1">
      <c r="A35" s="2127"/>
      <c r="B35" s="3016" t="s">
        <v>1838</v>
      </c>
      <c r="C35" s="3016"/>
      <c r="D35" s="3016"/>
      <c r="E35" s="3016"/>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9"/>
      <c r="T35" s="48" t="str">
        <f>IF(T34="一通",L35,IF(T34="二通",M35,IF(T34="三通",N35,IF(T34="四通",O35,IF(T34="五通",P35,IF(T34="六通",Q35,R35))))))</f>
        <v>、、、、、、</v>
      </c>
      <c r="U35" s="2020"/>
      <c r="V35" s="2020"/>
    </row>
    <row r="36" spans="1:22" ht="18" customHeight="1">
      <c r="A36" s="2129"/>
      <c r="B36" s="2128" t="s">
        <v>1839</v>
      </c>
      <c r="C36" s="2128" t="s">
        <v>1840</v>
      </c>
      <c r="D36" s="2128" t="s">
        <v>1841</v>
      </c>
      <c r="E36" s="2128" t="s">
        <v>1842</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1843</v>
      </c>
      <c r="B37" s="2132"/>
      <c r="C37" s="2132"/>
      <c r="D37" s="2132" t="s">
        <v>56</v>
      </c>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1844</v>
      </c>
      <c r="B38" s="2134"/>
      <c r="C38" s="2134"/>
      <c r="D38" s="2134" t="s">
        <v>3065</v>
      </c>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1845</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1846</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1847</v>
      </c>
      <c r="B42" s="1787" t="s">
        <v>1848</v>
      </c>
      <c r="C42" s="1787" t="s">
        <v>1849</v>
      </c>
      <c r="D42" s="1787" t="s">
        <v>1850</v>
      </c>
      <c r="E42" s="1787" t="s">
        <v>1851</v>
      </c>
      <c r="F42" s="1787" t="s">
        <v>1852</v>
      </c>
      <c r="G42" s="1787" t="s">
        <v>1853</v>
      </c>
      <c r="H42" s="1787" t="s">
        <v>1854</v>
      </c>
      <c r="I42" s="1787" t="s">
        <v>1855</v>
      </c>
      <c r="J42" s="2144" t="s">
        <v>1856</v>
      </c>
      <c r="K42" s="2067" t="s">
        <v>1857</v>
      </c>
      <c r="L42" s="2067" t="s">
        <v>1858</v>
      </c>
      <c r="M42" s="2067" t="s">
        <v>1859</v>
      </c>
      <c r="N42" s="1787" t="s">
        <v>1860</v>
      </c>
      <c r="O42" s="1787" t="s">
        <v>1861</v>
      </c>
      <c r="P42" s="1787" t="s">
        <v>1862</v>
      </c>
      <c r="Q42" s="2066" t="s">
        <v>1863</v>
      </c>
      <c r="R42" s="2066" t="s">
        <v>1864</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1867</v>
      </c>
      <c r="B2" s="11" t="s">
        <v>1868</v>
      </c>
      <c r="C2" s="11" t="s">
        <v>1869</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1870</v>
      </c>
      <c r="AZ2" s="1270" t="s">
        <v>1871</v>
      </c>
      <c r="BA2" s="11" t="s">
        <v>1872</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377.51</v>
      </c>
      <c r="B3" s="14">
        <f>IF(C3="否",G5-AT5,G5)</f>
        <v>232.53</v>
      </c>
      <c r="C3" s="2160" t="s">
        <v>1873</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1874</v>
      </c>
      <c r="B5" s="1795"/>
      <c r="C5" s="1795"/>
      <c r="D5" s="1798"/>
      <c r="E5" s="16" t="s">
        <v>1</v>
      </c>
      <c r="F5" s="16">
        <f>SUM(F13:F587)</f>
        <v>0</v>
      </c>
      <c r="G5" s="16">
        <f>SUM(G13:G587)</f>
        <v>232.53</v>
      </c>
      <c r="H5" s="16">
        <f t="shared" ref="H5:AT5" si="0">SUM(H13:H656)</f>
        <v>232.53</v>
      </c>
      <c r="I5" s="16">
        <f t="shared" si="0"/>
        <v>232.53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232.53</v>
      </c>
      <c r="BA5" s="18">
        <f t="shared" si="1"/>
        <v>232.53</v>
      </c>
      <c r="BB5" s="18">
        <f t="shared" si="1"/>
        <v>232.53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1875</v>
      </c>
      <c r="B6" s="2166"/>
      <c r="C6" s="2166"/>
      <c r="D6" s="2167"/>
      <c r="E6" s="16">
        <f>H6+AC6+AT6</f>
        <v>377.51</v>
      </c>
      <c r="F6" s="16" t="s">
        <v>1</v>
      </c>
      <c r="G6" s="16" t="s">
        <v>2</v>
      </c>
      <c r="H6" s="20">
        <f>SUMIF(I$12:AB$12,"总值",I6:AB6)</f>
        <v>377.51</v>
      </c>
      <c r="I6" s="16">
        <f t="shared" ref="I6:AB6" si="2">ROUND($A$3*I5/$B$3,2)</f>
        <v>377.51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377.51</v>
      </c>
      <c r="AZ6" s="16" t="s">
        <v>3</v>
      </c>
      <c r="BA6" s="16">
        <f>ROUND($AY$6*BA5/$AZ$5,2)</f>
        <v>377.51</v>
      </c>
      <c r="BB6" s="16">
        <f>ROUND($AY$6*BB5/$AZ$5,2)</f>
        <v>377.51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1883</v>
      </c>
      <c r="AV7" s="23" t="s">
        <v>1884</v>
      </c>
      <c r="AW7" s="2158" t="s">
        <v>1885</v>
      </c>
      <c r="AX7" s="23" t="s">
        <v>1878</v>
      </c>
      <c r="AY7" s="1795"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0"/>
      <c r="K8" s="1810"/>
      <c r="L8" s="1810"/>
      <c r="M8" s="1810"/>
      <c r="N8" s="1810"/>
      <c r="O8" s="1810"/>
      <c r="P8" s="1810"/>
      <c r="Q8" s="1810"/>
      <c r="R8" s="1810"/>
      <c r="S8" s="1810"/>
      <c r="T8" s="1810"/>
      <c r="U8" s="1810"/>
      <c r="V8" s="2178"/>
      <c r="W8" s="1810"/>
      <c r="X8" s="1810"/>
      <c r="Y8" s="1810"/>
      <c r="Z8" s="1810"/>
      <c r="AA8" s="2178"/>
      <c r="AB8" s="2179"/>
      <c r="AC8" s="981" t="s">
        <v>1889</v>
      </c>
      <c r="AD8" s="2180"/>
      <c r="AE8" s="2172"/>
      <c r="AF8" s="1810"/>
      <c r="AG8" s="1810"/>
      <c r="AH8" s="1810"/>
      <c r="AI8" s="1810"/>
      <c r="AJ8" s="1810"/>
      <c r="AK8" s="1810"/>
      <c r="AL8" s="1810"/>
      <c r="AM8" s="1810"/>
      <c r="AN8" s="1810"/>
      <c r="AO8" s="1810"/>
      <c r="AP8" s="1810"/>
      <c r="AQ8" s="1810"/>
      <c r="AR8" s="1810"/>
      <c r="AS8" s="1810"/>
      <c r="AT8" s="1292" t="s">
        <v>1890</v>
      </c>
      <c r="AU8" s="2174" t="s">
        <v>1891</v>
      </c>
      <c r="AV8" s="1292"/>
      <c r="AW8" s="2157"/>
      <c r="AX8" s="1292"/>
      <c r="AY8" s="2158"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1894</v>
      </c>
      <c r="I9" s="2183" t="s">
        <v>3066</v>
      </c>
      <c r="J9" s="981"/>
      <c r="K9" s="2183"/>
      <c r="L9" s="981"/>
      <c r="M9" s="2183"/>
      <c r="N9" s="981"/>
      <c r="O9" s="2183"/>
      <c r="P9" s="981"/>
      <c r="Q9" s="2183"/>
      <c r="R9" s="981"/>
      <c r="S9" s="2183"/>
      <c r="T9" s="981"/>
      <c r="U9" s="2183"/>
      <c r="V9" s="981"/>
      <c r="W9" s="2183"/>
      <c r="X9" s="2184"/>
      <c r="Y9" s="2183"/>
      <c r="Z9" s="981"/>
      <c r="AA9" s="2183"/>
      <c r="AB9" s="981"/>
      <c r="AC9" s="2175"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5"/>
      <c r="AT9" s="2174"/>
      <c r="AU9" s="2174" t="s">
        <v>1897</v>
      </c>
      <c r="AV9" s="1292"/>
      <c r="AW9" s="2157"/>
      <c r="AX9" s="1292"/>
      <c r="AY9" s="28"/>
      <c r="AZ9" s="28" t="s">
        <v>1887</v>
      </c>
      <c r="BA9" s="2186" t="s">
        <v>1898</v>
      </c>
      <c r="BB9" s="2187"/>
      <c r="BC9" s="1338"/>
      <c r="BD9" s="1338"/>
      <c r="BE9" s="1338"/>
      <c r="BF9" s="1338"/>
      <c r="BG9" s="1338"/>
      <c r="BH9" s="1338"/>
      <c r="BI9" s="1338"/>
      <c r="BJ9" s="1338"/>
      <c r="BK9" s="2188"/>
      <c r="BL9" s="15" t="s">
        <v>1899</v>
      </c>
      <c r="BM9" s="1810"/>
      <c r="BN9" s="2177"/>
      <c r="BO9" s="1810"/>
      <c r="BP9" s="1810"/>
      <c r="BQ9" s="1810"/>
      <c r="BR9" s="1810"/>
      <c r="BS9" s="1810"/>
      <c r="BT9" s="26"/>
    </row>
    <row r="10" spans="1:72" s="2181" customFormat="1" ht="12.75">
      <c r="A10" s="2174"/>
      <c r="B10" s="2174"/>
      <c r="C10" s="2174"/>
      <c r="D10" s="2174"/>
      <c r="E10" s="2174"/>
      <c r="F10" s="2174"/>
      <c r="G10" s="1292"/>
      <c r="H10" s="28"/>
      <c r="I10" s="2183" t="s">
        <v>3067</v>
      </c>
      <c r="J10" s="981"/>
      <c r="K10" s="2189"/>
      <c r="L10" s="981"/>
      <c r="M10" s="2189"/>
      <c r="N10" s="981"/>
      <c r="O10" s="2189"/>
      <c r="P10" s="981"/>
      <c r="Q10" s="2189"/>
      <c r="R10" s="981"/>
      <c r="S10" s="2189"/>
      <c r="T10" s="981"/>
      <c r="U10" s="2189"/>
      <c r="V10" s="981"/>
      <c r="W10" s="2189"/>
      <c r="X10" s="981"/>
      <c r="Y10" s="2189"/>
      <c r="Z10" s="981"/>
      <c r="AA10" s="2189"/>
      <c r="AB10" s="981"/>
      <c r="AC10" s="1292"/>
      <c r="AD10" s="15" t="s">
        <v>1900</v>
      </c>
      <c r="AE10" s="2190"/>
      <c r="AF10" s="15" t="s">
        <v>1900</v>
      </c>
      <c r="AG10" s="2190"/>
      <c r="AH10" s="15" t="s">
        <v>1901</v>
      </c>
      <c r="AI10" s="2190"/>
      <c r="AJ10" s="15" t="s">
        <v>1901</v>
      </c>
      <c r="AK10" s="2190"/>
      <c r="AL10" s="15" t="s">
        <v>1902</v>
      </c>
      <c r="AM10" s="1298"/>
      <c r="AN10" s="15" t="s">
        <v>1902</v>
      </c>
      <c r="AO10" s="1298"/>
      <c r="AP10" s="15" t="s">
        <v>1903</v>
      </c>
      <c r="AQ10" s="1298"/>
      <c r="AR10" s="15" t="s">
        <v>1903</v>
      </c>
      <c r="AS10" s="1298"/>
      <c r="AT10" s="2174"/>
      <c r="AU10" s="2174"/>
      <c r="AV10" s="1292"/>
      <c r="AW10" s="2157"/>
      <c r="AX10" s="1292"/>
      <c r="AY10" s="28"/>
      <c r="AZ10" s="28"/>
      <c r="BA10" s="2191" t="s">
        <v>1894</v>
      </c>
      <c r="BB10" s="2192"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1904</v>
      </c>
      <c r="AE11" s="1811"/>
      <c r="AF11" s="2196" t="s">
        <v>1904</v>
      </c>
      <c r="AG11" s="1811"/>
      <c r="AH11" s="2196" t="s">
        <v>1905</v>
      </c>
      <c r="AI11" s="2197"/>
      <c r="AJ11" s="2196" t="s">
        <v>1905</v>
      </c>
      <c r="AK11" s="1811"/>
      <c r="AL11" s="1809"/>
      <c r="AM11" s="1811"/>
      <c r="AN11" s="1809"/>
      <c r="AO11" s="1811"/>
      <c r="AP11" s="1809"/>
      <c r="AQ11" s="1811"/>
      <c r="AR11" s="1809"/>
      <c r="AS11" s="1811"/>
      <c r="AT11" s="2157"/>
      <c r="AU11" s="2174"/>
      <c r="AV11" s="1292"/>
      <c r="AW11" s="2157"/>
      <c r="AX11" s="1292"/>
      <c r="AY11" s="28"/>
      <c r="AZ11" s="28"/>
      <c r="BA11" s="28"/>
      <c r="BB11" s="2179" t="str">
        <f>I10</f>
        <v>住宅</v>
      </c>
      <c r="BC11" s="2179">
        <f>K10</f>
        <v>0</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1"/>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f>I11</f>
        <v>0</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t="s">
        <v>3069</v>
      </c>
      <c r="D13" s="2205" t="s">
        <v>3068</v>
      </c>
      <c r="E13" s="16">
        <f>IF($C$3="是",ROUND($A$3*G13/$B$3,2),ROUND($A$3*(G13-AT13)/$B$3,2))</f>
        <v>377.51</v>
      </c>
      <c r="F13" s="32"/>
      <c r="G13" s="33">
        <f>H13+AC13+AT13</f>
        <v>232.53</v>
      </c>
      <c r="H13" s="20">
        <f>SUMIF(I$12:AB$12,"总值",I13:AB13)</f>
        <v>232.53</v>
      </c>
      <c r="I13" s="2206">
        <v>232.53</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153号</v>
      </c>
      <c r="AY13" s="1798">
        <f>ROUND($AY$6*AZ13/$AZ$5,2)</f>
        <v>377.51</v>
      </c>
      <c r="AZ13" s="16">
        <f>BA13+BL13</f>
        <v>232.53</v>
      </c>
      <c r="BA13" s="16">
        <f>SUM(BB13:BK13)</f>
        <v>232.53</v>
      </c>
      <c r="BB13" s="16">
        <f>IF($D13="是",I13-J13,0)</f>
        <v>232.53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72"/>
      <c r="B14" s="1272"/>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I8" sqref="I8"/>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1933</v>
      </c>
      <c r="B1" s="1392"/>
      <c r="C1" s="1392"/>
      <c r="D1" s="1392"/>
      <c r="E1" s="1392"/>
      <c r="F1" s="1392"/>
      <c r="G1" s="1392"/>
      <c r="H1" s="1392"/>
      <c r="I1" s="1392"/>
      <c r="J1" s="1392"/>
      <c r="K1" s="1392"/>
      <c r="L1" s="1392"/>
      <c r="M1" s="1392"/>
      <c r="N1" s="1392"/>
      <c r="O1" s="1392"/>
      <c r="P1" s="1392"/>
    </row>
    <row r="2" spans="1:16" ht="15">
      <c r="A2" s="3050" t="s">
        <v>1934</v>
      </c>
      <c r="B2" s="3050"/>
      <c r="C2" s="3050"/>
      <c r="D2" s="967" t="s">
        <v>1910</v>
      </c>
      <c r="E2" s="2219" t="s">
        <v>1911</v>
      </c>
      <c r="F2" s="1392"/>
      <c r="G2" s="2220"/>
      <c r="H2" s="2221"/>
      <c r="I2" s="2222" t="s">
        <v>1935</v>
      </c>
      <c r="J2" s="1392"/>
      <c r="K2" s="1392"/>
      <c r="L2" s="1392"/>
      <c r="M2" s="1392"/>
      <c r="N2" s="1427"/>
      <c r="O2" s="1392"/>
      <c r="P2" s="1392"/>
    </row>
    <row r="3" spans="1:16" ht="15.75" thickBot="1">
      <c r="A3" s="3051" t="s">
        <v>1908</v>
      </c>
      <c r="B3" s="3051"/>
      <c r="C3" s="3051"/>
      <c r="D3" s="46">
        <f>'数据-基础表'!AY6</f>
        <v>377.51</v>
      </c>
      <c r="E3" s="46">
        <f>'数据-基础表'!AZ5</f>
        <v>232.53</v>
      </c>
      <c r="F3" s="1392"/>
      <c r="G3" s="1399"/>
      <c r="H3" s="1247" t="s">
        <v>1909</v>
      </c>
      <c r="I3" s="55">
        <f>ROUND('数据-基础表'!B3/'数据-基础表'!A3,2)</f>
        <v>0.62</v>
      </c>
      <c r="J3" s="1392"/>
      <c r="K3" s="1392"/>
      <c r="L3" s="1392"/>
      <c r="M3" s="1392"/>
      <c r="N3" s="1427"/>
      <c r="O3" s="1392"/>
      <c r="P3" s="1392"/>
    </row>
    <row r="4" spans="1:16" ht="15">
      <c r="A4" s="3052"/>
      <c r="B4" s="3053"/>
      <c r="C4" s="3054"/>
      <c r="D4" s="2223" t="s">
        <v>1910</v>
      </c>
      <c r="E4" s="2224" t="s">
        <v>1911</v>
      </c>
      <c r="F4" s="1392"/>
      <c r="G4" s="2225" t="s">
        <v>1936</v>
      </c>
      <c r="H4" s="1247" t="s">
        <v>1916</v>
      </c>
      <c r="I4" s="55">
        <f>ROUND(SUMIF('数据-基础表'!I9:AS9,"地上",'数据-基础表'!I5:AS5)/'数据-基础表'!A3,2)</f>
        <v>0.62</v>
      </c>
      <c r="J4" s="1392"/>
      <c r="K4" s="1392"/>
      <c r="L4" s="1392"/>
      <c r="M4" s="1392"/>
      <c r="N4" s="1427"/>
      <c r="O4" s="1392"/>
      <c r="P4" s="1392"/>
    </row>
    <row r="5" spans="1:16">
      <c r="A5" s="47" t="s">
        <v>1912</v>
      </c>
      <c r="B5" s="3055" t="s">
        <v>1913</v>
      </c>
      <c r="C5" s="3055"/>
      <c r="D5" s="48">
        <f>ROUND($D$3*E5/$E$3,2)</f>
        <v>377.51</v>
      </c>
      <c r="E5" s="49">
        <f>SUMIF('数据-基础表'!$11:$11,"住宅",'数据-基础表'!$5:$5)</f>
        <v>232.53</v>
      </c>
      <c r="F5" s="1392"/>
      <c r="G5" s="1399"/>
      <c r="H5" s="1247" t="s">
        <v>1909</v>
      </c>
      <c r="I5" s="55">
        <f>ROUND(E31/D31,2)</f>
        <v>0.62</v>
      </c>
      <c r="J5" s="1392"/>
      <c r="K5" s="1392"/>
      <c r="L5" s="1392"/>
      <c r="M5" s="1392"/>
      <c r="N5" s="1392"/>
      <c r="O5" s="1392"/>
      <c r="P5" s="1392"/>
    </row>
    <row r="6" spans="1:16" ht="15" thickBot="1">
      <c r="A6" s="2226"/>
      <c r="B6" s="3055" t="s">
        <v>1914</v>
      </c>
      <c r="C6" s="3055"/>
      <c r="D6" s="48">
        <f>ROUND($D$3*E6/$E$3,2)</f>
        <v>0</v>
      </c>
      <c r="E6" s="49">
        <f>E3-E5</f>
        <v>0</v>
      </c>
      <c r="F6" s="1392"/>
      <c r="G6" s="2227" t="s">
        <v>1915</v>
      </c>
      <c r="H6" s="1399" t="s">
        <v>1916</v>
      </c>
      <c r="I6" s="939">
        <f>ROUND(F31/D31,2)</f>
        <v>0.62</v>
      </c>
      <c r="J6" s="1392"/>
      <c r="K6" s="1392"/>
      <c r="L6" s="1392"/>
      <c r="M6" s="1392"/>
      <c r="N6" s="1392"/>
      <c r="O6" s="1392"/>
      <c r="P6" s="1392"/>
    </row>
    <row r="7" spans="1:16" ht="15">
      <c r="A7" s="3047"/>
      <c r="B7" s="3048"/>
      <c r="C7" s="3049"/>
      <c r="D7" s="2223" t="s">
        <v>1910</v>
      </c>
      <c r="E7" s="2228" t="s">
        <v>1917</v>
      </c>
      <c r="F7" s="1392"/>
      <c r="G7" s="2220" t="s">
        <v>1918</v>
      </c>
      <c r="H7" s="64"/>
      <c r="I7" s="420">
        <v>0.4</v>
      </c>
      <c r="J7" s="1392"/>
      <c r="K7" s="1392"/>
      <c r="L7" s="1392"/>
      <c r="M7" s="1392"/>
      <c r="N7" s="1392"/>
      <c r="O7" s="1392"/>
      <c r="P7" s="1392"/>
    </row>
    <row r="8" spans="1:16">
      <c r="A8" s="47" t="s">
        <v>1919</v>
      </c>
      <c r="B8" s="50" t="s">
        <v>1920</v>
      </c>
      <c r="C8" s="48" t="s">
        <v>1921</v>
      </c>
      <c r="D8" s="48">
        <f t="shared" ref="D8:D15" si="0">ROUND($D$3*E8/$E$3,2)</f>
        <v>377.51</v>
      </c>
      <c r="E8" s="51">
        <f>SUMIF('数据-基础表'!BB10:BK10,"地上",'数据-基础表'!BB5:BK5)</f>
        <v>232.53</v>
      </c>
      <c r="F8" s="1392"/>
      <c r="G8" s="2229"/>
      <c r="H8" s="2229"/>
      <c r="I8" s="1392"/>
      <c r="J8" s="1392"/>
      <c r="K8" s="1392"/>
      <c r="L8" s="1392"/>
      <c r="M8" s="1392"/>
      <c r="N8" s="1392"/>
      <c r="O8" s="1392"/>
      <c r="P8" s="1392"/>
    </row>
    <row r="9" spans="1:16">
      <c r="A9" s="2230"/>
      <c r="B9" s="2231"/>
      <c r="C9" s="48" t="s">
        <v>1922</v>
      </c>
      <c r="D9" s="48">
        <f t="shared" si="0"/>
        <v>0</v>
      </c>
      <c r="E9" s="52">
        <v>0</v>
      </c>
      <c r="F9" s="1392"/>
      <c r="G9" s="2229"/>
      <c r="H9" s="2229"/>
      <c r="I9" s="1392"/>
      <c r="J9" s="1392"/>
      <c r="K9" s="1392"/>
      <c r="L9" s="1392"/>
      <c r="M9" s="1392"/>
      <c r="N9" s="1392"/>
      <c r="O9" s="1392"/>
      <c r="P9" s="1392"/>
    </row>
    <row r="10" spans="1:16">
      <c r="A10" s="2230"/>
      <c r="B10" s="2231"/>
      <c r="C10" s="48" t="s">
        <v>1931</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1923</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1924</v>
      </c>
      <c r="D12" s="48">
        <f t="shared" si="0"/>
        <v>0</v>
      </c>
      <c r="E12" s="51">
        <f>SUMPRODUCT(('数据-基础表'!BB10:BK10="地下")*('数据-基础表'!BB11:BK11="仓储")*('数据-基础表'!BB5:BK5))</f>
        <v>0</v>
      </c>
      <c r="F12" s="1392"/>
      <c r="G12" s="2229"/>
      <c r="H12" s="2229"/>
      <c r="I12" s="1392"/>
      <c r="J12" s="1392"/>
      <c r="K12" s="1392"/>
      <c r="L12" s="1392"/>
      <c r="M12" s="1392"/>
      <c r="N12" s="1392"/>
      <c r="O12" s="1392"/>
      <c r="P12" s="1392"/>
    </row>
    <row r="13" spans="1:16">
      <c r="A13" s="2230"/>
      <c r="B13" s="2231"/>
      <c r="C13" s="48" t="s">
        <v>1925</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1937</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1932</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1926</v>
      </c>
      <c r="D16" s="50">
        <f>SUM(D8:D15)</f>
        <v>377.51</v>
      </c>
      <c r="E16" s="53">
        <f>SUM(E8:E15)</f>
        <v>232.53</v>
      </c>
      <c r="F16" s="1392"/>
      <c r="G16" s="2229"/>
      <c r="H16" s="2232" t="s">
        <v>1938</v>
      </c>
      <c r="I16" s="2233"/>
      <c r="J16" s="1392"/>
      <c r="K16" s="3044" t="s">
        <v>1938</v>
      </c>
      <c r="L16" s="3045"/>
      <c r="M16" s="3045"/>
      <c r="N16" s="3045"/>
      <c r="O16" s="3045"/>
      <c r="P16" s="3046"/>
    </row>
    <row r="17" spans="1:19" ht="15">
      <c r="A17" s="2234" t="s">
        <v>1939</v>
      </c>
      <c r="B17" s="2235" t="s">
        <v>1940</v>
      </c>
      <c r="C17" s="2236" t="s">
        <v>1941</v>
      </c>
      <c r="D17" s="2237" t="s">
        <v>1929</v>
      </c>
      <c r="E17" s="2238" t="s">
        <v>1930</v>
      </c>
      <c r="F17" s="2239"/>
      <c r="G17" s="2240"/>
      <c r="H17" s="2241" t="s">
        <v>1942</v>
      </c>
      <c r="I17" s="2242" t="s">
        <v>1927</v>
      </c>
      <c r="J17" s="1392"/>
      <c r="K17" s="3041" t="s">
        <v>1943</v>
      </c>
      <c r="L17" s="3042"/>
      <c r="M17" s="3043"/>
      <c r="N17" s="3041" t="s">
        <v>1944</v>
      </c>
      <c r="O17" s="3042"/>
      <c r="P17" s="3043"/>
      <c r="R17" s="2220" t="s">
        <v>1945</v>
      </c>
      <c r="S17" s="64"/>
    </row>
    <row r="18" spans="1:19" ht="15">
      <c r="A18" s="2230"/>
      <c r="B18" s="2243"/>
      <c r="C18" s="2244"/>
      <c r="D18" s="2245"/>
      <c r="E18" s="2246" t="s">
        <v>1946</v>
      </c>
      <c r="F18" s="2247" t="s">
        <v>1947</v>
      </c>
      <c r="G18" s="2248" t="s">
        <v>1948</v>
      </c>
      <c r="H18" s="1262" t="s">
        <v>1949</v>
      </c>
      <c r="I18" s="2249" t="s">
        <v>1950</v>
      </c>
      <c r="J18" s="1392"/>
      <c r="K18" s="1262" t="s">
        <v>1951</v>
      </c>
      <c r="L18" s="2250" t="s">
        <v>1952</v>
      </c>
      <c r="M18" s="1046" t="s">
        <v>1953</v>
      </c>
      <c r="N18" s="1262" t="s">
        <v>1951</v>
      </c>
      <c r="O18" s="2250" t="s">
        <v>1952</v>
      </c>
      <c r="P18" s="1046" t="s">
        <v>1953</v>
      </c>
      <c r="R18" s="1247" t="s">
        <v>1954</v>
      </c>
      <c r="S18" s="1247" t="s">
        <v>1955</v>
      </c>
    </row>
    <row r="19" spans="1:19">
      <c r="A19" s="2251"/>
      <c r="B19" s="50" t="s">
        <v>1928</v>
      </c>
      <c r="C19" s="2959" t="s">
        <v>3071</v>
      </c>
      <c r="D19" s="48">
        <f>ROUND($D$3*E19/$E$3,2)</f>
        <v>377.51</v>
      </c>
      <c r="E19" s="56">
        <f t="shared" ref="E19:E26" si="1">SUM(F19:G19)</f>
        <v>232.53</v>
      </c>
      <c r="F19" s="57">
        <f>'数据-基础表'!I13</f>
        <v>232.53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3"/>
      <c r="O19" s="2254"/>
      <c r="P19" s="1403">
        <f>N19+O19</f>
        <v>0</v>
      </c>
      <c r="R19" s="1247">
        <f t="shared" ref="R19:S26" si="5">D19+H19</f>
        <v>377.51</v>
      </c>
      <c r="S19" s="1248">
        <f t="shared" si="5"/>
        <v>232.53</v>
      </c>
    </row>
    <row r="20" spans="1:19">
      <c r="A20" s="2255"/>
      <c r="B20" s="50" t="s">
        <v>1956</v>
      </c>
      <c r="C20" s="225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3"/>
      <c r="O20" s="2254"/>
      <c r="P20" s="1403">
        <f t="shared" ref="P20:P26" si="9">N20+O20</f>
        <v>0</v>
      </c>
      <c r="R20" s="1247">
        <f t="shared" si="5"/>
        <v>0</v>
      </c>
      <c r="S20" s="1248">
        <f t="shared" si="5"/>
        <v>0</v>
      </c>
    </row>
    <row r="21" spans="1:19">
      <c r="A21" s="2255"/>
      <c r="B21" s="50" t="s">
        <v>1956</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1957</v>
      </c>
      <c r="D27" s="1393">
        <f>SUM(D19:D26)</f>
        <v>377.51</v>
      </c>
      <c r="E27" s="1394">
        <f>IF(SUM(E19:E26)='数据-基础表'!BA5,SUM(E19:E26),IF(F27="地上面积有误","面积有误","地下面积有误"))</f>
        <v>232.53</v>
      </c>
      <c r="F27" s="1393">
        <f>IF(SUM(F19:F26)=E8,SUM(F19:F26),"地上面积有误")</f>
        <v>232.53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377.51</v>
      </c>
      <c r="S27" s="1247">
        <f>IF(SUM(S19:S26)=$E$3,SUM(S19:S26),SUM(S19:S26)&amp;"误差"&amp;ROUND(SUM(S19:S26)-E3,2))</f>
        <v>232.53</v>
      </c>
    </row>
    <row r="28" spans="1:19">
      <c r="A28" s="2255"/>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5"/>
      <c r="B29" s="50" t="s">
        <v>1958</v>
      </c>
      <c r="C29" s="2259"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1"/>
      <c r="B31" s="2262"/>
      <c r="C31" s="1007" t="s">
        <v>1961</v>
      </c>
      <c r="D31" s="729">
        <f>D27+D30</f>
        <v>377.51</v>
      </c>
      <c r="E31" s="729">
        <f>E27+E30</f>
        <v>232.53</v>
      </c>
      <c r="F31" s="730">
        <f>F27+F30</f>
        <v>232.53</v>
      </c>
      <c r="G31" s="731">
        <f>G27+G30</f>
        <v>0</v>
      </c>
      <c r="H31" s="1392"/>
      <c r="I31" s="1392"/>
      <c r="J31" s="1392"/>
      <c r="K31" s="1392"/>
      <c r="L31" s="1392"/>
      <c r="M31" s="1392"/>
      <c r="N31" s="1392"/>
      <c r="O31" s="1392"/>
      <c r="P31" s="1392"/>
    </row>
    <row r="32" spans="1:19">
      <c r="A32" s="2225"/>
      <c r="B32" s="2225" t="s">
        <v>1962</v>
      </c>
      <c r="C32" s="2225"/>
      <c r="D32" s="2225"/>
      <c r="E32" s="1274">
        <f>SUMIF(C19:C26,"*住宅*",E19:E26)</f>
        <v>0</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Q28" sqref="Q28"/>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1963</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1964</v>
      </c>
      <c r="B2" s="1266">
        <f>项目基本情况!D3</f>
        <v>44032</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1965</v>
      </c>
      <c r="B4" s="2273"/>
      <c r="C4" s="2274"/>
      <c r="D4" s="2275"/>
      <c r="E4" s="2274" t="s">
        <v>1966</v>
      </c>
      <c r="F4" s="2274"/>
      <c r="G4" s="2274"/>
      <c r="H4" s="2274"/>
      <c r="I4" s="2274"/>
      <c r="J4" s="2276"/>
      <c r="K4" s="2277"/>
      <c r="L4" s="2278"/>
      <c r="M4" s="2274"/>
      <c r="N4" s="2274" t="s">
        <v>1967</v>
      </c>
      <c r="O4" s="2274"/>
      <c r="P4" s="2274"/>
      <c r="Q4" s="2274"/>
      <c r="R4" s="2274"/>
      <c r="S4" s="2276"/>
      <c r="T4" s="2279" t="str">
        <f>'数据-汇总表'!I17</f>
        <v>按面积比例</v>
      </c>
      <c r="U4" s="2273" t="s">
        <v>1968</v>
      </c>
      <c r="V4" s="2274"/>
      <c r="W4" s="2274"/>
      <c r="X4" s="2274"/>
      <c r="Y4" s="2276"/>
      <c r="Z4" s="2236" t="s">
        <v>1969</v>
      </c>
      <c r="AA4" s="2236"/>
      <c r="AB4" s="2236"/>
      <c r="AC4" s="2236"/>
      <c r="AD4" s="2236"/>
      <c r="AE4" s="2234" t="s">
        <v>1970</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1971</v>
      </c>
      <c r="B5" s="2282" t="s">
        <v>1972</v>
      </c>
      <c r="C5" s="2283" t="s">
        <v>1973</v>
      </c>
      <c r="D5" s="2284" t="s">
        <v>1974</v>
      </c>
      <c r="E5" s="1268" t="s">
        <v>1975</v>
      </c>
      <c r="F5" s="2285" t="s">
        <v>1976</v>
      </c>
      <c r="G5" s="1268" t="s">
        <v>1977</v>
      </c>
      <c r="H5" s="1268" t="s">
        <v>1978</v>
      </c>
      <c r="I5" s="1268" t="s">
        <v>1979</v>
      </c>
      <c r="J5" s="2286" t="s">
        <v>1980</v>
      </c>
      <c r="K5" s="2287" t="s">
        <v>1981</v>
      </c>
      <c r="L5" s="2288" t="s">
        <v>1982</v>
      </c>
      <c r="M5" s="2289" t="s">
        <v>1983</v>
      </c>
      <c r="N5" s="2290" t="s">
        <v>3072</v>
      </c>
      <c r="O5" s="2288" t="s">
        <v>1984</v>
      </c>
      <c r="P5" s="2291" t="s">
        <v>1985</v>
      </c>
      <c r="Q5" s="69" t="s">
        <v>1986</v>
      </c>
      <c r="R5" s="2292" t="s">
        <v>1987</v>
      </c>
      <c r="S5" s="2293" t="s">
        <v>1988</v>
      </c>
      <c r="T5" s="2294" t="s">
        <v>1989</v>
      </c>
      <c r="U5" s="1267" t="s">
        <v>1990</v>
      </c>
      <c r="V5" s="1268" t="s">
        <v>1991</v>
      </c>
      <c r="W5" s="1268" t="s">
        <v>1992</v>
      </c>
      <c r="X5" s="71"/>
      <c r="Y5" s="70" t="s">
        <v>1993</v>
      </c>
      <c r="Z5" s="2295" t="s">
        <v>1990</v>
      </c>
      <c r="AA5" s="1268" t="s">
        <v>1991</v>
      </c>
      <c r="AB5" s="1268" t="s">
        <v>1992</v>
      </c>
      <c r="AC5" s="71"/>
      <c r="AD5" s="71" t="s">
        <v>1993</v>
      </c>
      <c r="AE5" s="1267" t="s">
        <v>1994</v>
      </c>
      <c r="AF5" s="1268" t="s">
        <v>1995</v>
      </c>
      <c r="AG5" s="70" t="s">
        <v>1996</v>
      </c>
      <c r="AH5" s="1267" t="s">
        <v>1997</v>
      </c>
      <c r="AI5" s="2295" t="s">
        <v>1998</v>
      </c>
      <c r="AJ5" s="2295" t="s">
        <v>1999</v>
      </c>
      <c r="AK5" s="1268" t="s">
        <v>2000</v>
      </c>
      <c r="AL5" s="1268" t="s">
        <v>2001</v>
      </c>
      <c r="AM5" s="70" t="s">
        <v>2002</v>
      </c>
      <c r="AN5" s="2296" t="s">
        <v>2003</v>
      </c>
      <c r="AO5" s="2066" t="s">
        <v>2004</v>
      </c>
      <c r="AP5" s="1249" t="s">
        <v>2005</v>
      </c>
      <c r="AQ5" s="2297" t="s">
        <v>2006</v>
      </c>
      <c r="AR5" s="2297"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别墅</v>
      </c>
      <c r="B6" s="2299" t="str">
        <f>IF(A6=0,"","经营性")</f>
        <v>经营性</v>
      </c>
      <c r="C6" s="2300" t="s">
        <v>3067</v>
      </c>
      <c r="D6" s="1051">
        <f>SUMIF(项目基本情况!D$12:I$12,C6,项目基本情况!D$14:I$14)</f>
        <v>70</v>
      </c>
      <c r="E6" s="1048">
        <f>IF(B6="","",SUMIF(项目基本情况!D$12:I$12,C6,项目基本情况!D$13:I$13))</f>
        <v>60897</v>
      </c>
      <c r="F6" s="72">
        <f>SUMIF(项目基本情况!D$12:I$12,C6,项目基本情况!D$15:I$15)</f>
        <v>46.2</v>
      </c>
      <c r="G6" s="73">
        <f>IF(ISERROR(ROUND(POWER(1+H6,D6-F6)*(POWER(1+H6,F6)-1)/(POWER(1+H6,D6)-1),3)),0,ROUND(POWER(1+H6,D6-F6)*(POWER(1+H6,F6)-1)/(POWER(1+H6,D6)-1),3))</f>
        <v>0.91100000000000003</v>
      </c>
      <c r="H6" s="802">
        <v>4.4999999999999998E-2</v>
      </c>
      <c r="I6" s="802">
        <v>0.05</v>
      </c>
      <c r="J6" s="74">
        <v>0.08</v>
      </c>
      <c r="K6" s="1251">
        <f>SUMIF('数据-汇总表'!C$19:C$33,A6,'数据-汇总表'!E$19:E$33)</f>
        <v>232.53</v>
      </c>
      <c r="L6" s="803">
        <v>3500</v>
      </c>
      <c r="M6" s="75">
        <f t="shared" ref="M6:M14" si="0">ROUND(K6*L6/10000,0)</f>
        <v>81</v>
      </c>
      <c r="N6" s="801">
        <f>N21</f>
        <v>0.74</v>
      </c>
      <c r="O6" s="75" t="str">
        <f>IF($N$5="成新度","——",ROUND(M6*N6,0))</f>
        <v>——</v>
      </c>
      <c r="P6" s="76" t="str">
        <f>IF($N$5="成新度","——",M6-O6)</f>
        <v>——</v>
      </c>
      <c r="Q6" s="804">
        <v>0.15</v>
      </c>
      <c r="R6" s="77">
        <f ca="1">SUMIF('数据-汇总表'!C$19:C$33,A6,'数据-汇总表'!R$19:R$27)</f>
        <v>377.51</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796"/>
      <c r="AG6" s="147">
        <f>IF(AF6="",0,AE6-AF6)</f>
        <v>0</v>
      </c>
      <c r="AH6" s="83"/>
      <c r="AI6" s="85"/>
      <c r="AJ6" s="86"/>
      <c r="AK6" s="87">
        <v>1.4999999999999999E-2</v>
      </c>
      <c r="AL6" s="88">
        <v>1.5E-3</v>
      </c>
      <c r="AM6" s="89">
        <v>1.4999999999999999E-2</v>
      </c>
      <c r="AN6" s="2301"/>
      <c r="AO6" s="55" t="e">
        <f ca="1">SUMIF(INDIRECT("'"&amp;AN6&amp;"'"&amp;"!A:A"),"总价",INDIRECT("'"&amp;AN6&amp;"'"&amp;"!B:B"))</f>
        <v>#REF!</v>
      </c>
      <c r="AP6" s="2302">
        <f>IF(C6="住宅",K6*L6,0)</f>
        <v>813855</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f>'数据-汇总表'!C20</f>
        <v>0</v>
      </c>
      <c r="B7" s="2299" t="str">
        <f t="shared" ref="B7:B13" si="1">IF(A7=0,"","经营性")</f>
        <v/>
      </c>
      <c r="C7" s="2300"/>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2008</v>
      </c>
      <c r="B14" s="2299" t="s">
        <v>2009</v>
      </c>
      <c r="C14" s="2304"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2010</v>
      </c>
      <c r="B15" s="2299" t="s">
        <v>2009</v>
      </c>
      <c r="C15" s="2304"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2012</v>
      </c>
      <c r="B16" s="97"/>
      <c r="C16" s="1005"/>
      <c r="D16" s="2306"/>
      <c r="E16" s="97"/>
      <c r="F16" s="97"/>
      <c r="G16" s="98">
        <f>ROUND(SUMPRODUCT(G6:G13,K6:K13)/SUMPRODUCT((G6:G13&gt;0)*(K6:K13)),3)</f>
        <v>0.91100000000000003</v>
      </c>
      <c r="H16" s="99">
        <f>ROUND(SUMPRODUCT(H6:H13,K6:K13)/SUMPRODUCT((H6:H13&gt;0)*(K6:K13)),3)</f>
        <v>4.4999999999999998E-2</v>
      </c>
      <c r="I16" s="100"/>
      <c r="J16" s="100"/>
      <c r="K16" s="101">
        <f>SUM(K6:K15)</f>
        <v>232.53</v>
      </c>
      <c r="L16" s="102">
        <f>ROUND(M16*10000/SUM(K6:K14),0)</f>
        <v>3483</v>
      </c>
      <c r="M16" s="102">
        <f>SUM(M6:M14)</f>
        <v>81</v>
      </c>
      <c r="N16" s="103">
        <f>ROUND(SUMPRODUCT(M6:M14,N6:N14)/M16,3)</f>
        <v>0.74</v>
      </c>
      <c r="O16" s="102">
        <f>SUM(O6:O14)</f>
        <v>0</v>
      </c>
      <c r="P16" s="102">
        <f>SUM(P6:P14)</f>
        <v>0</v>
      </c>
      <c r="Q16" s="104">
        <f>ROUND(SUMPRODUCT(Q6:Q13,K6:K13)/SUMPRODUCT((Q6:Q13&gt;0)*(K6:K13)),2)</f>
        <v>0.15</v>
      </c>
      <c r="R16" s="1255">
        <f ca="1">SUM(R6:R13)</f>
        <v>377.51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2"/>
      <c r="C18" s="2269"/>
      <c r="D18" s="2270"/>
      <c r="E18" s="2269"/>
      <c r="F18" s="2269"/>
      <c r="G18" s="2269"/>
      <c r="H18" s="2269"/>
      <c r="I18" s="2269"/>
      <c r="J18" s="2269"/>
      <c r="K18" s="168"/>
      <c r="L18" s="168"/>
      <c r="M18" s="1581"/>
      <c r="N18" s="1581">
        <v>1999</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2014</v>
      </c>
      <c r="B19" s="112">
        <v>0</v>
      </c>
      <c r="C19" s="2269" t="s">
        <v>2015</v>
      </c>
      <c r="D19" s="2270"/>
      <c r="E19" s="2269"/>
      <c r="F19" s="2269"/>
      <c r="G19" s="2269"/>
      <c r="H19" s="2269"/>
      <c r="I19" s="2269"/>
      <c r="J19" s="2269"/>
      <c r="K19" s="168"/>
      <c r="L19" s="168"/>
      <c r="M19" s="1581"/>
      <c r="N19" s="1581">
        <f>ROUND(1-(2020-N18)/50,2)</f>
        <v>0.57999999999999996</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2016</v>
      </c>
      <c r="B20" s="113">
        <v>2</v>
      </c>
      <c r="C20" s="2269" t="s">
        <v>2017</v>
      </c>
      <c r="D20" s="2270"/>
      <c r="E20" s="2269"/>
      <c r="F20" s="2269"/>
      <c r="G20" s="2269"/>
      <c r="H20" s="2269"/>
      <c r="I20" s="2269"/>
      <c r="J20" s="2269"/>
      <c r="K20" s="168"/>
      <c r="L20" s="168"/>
      <c r="M20" s="1581"/>
      <c r="N20" s="1581">
        <v>0.9</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0" t="s">
        <v>2018</v>
      </c>
      <c r="B21" s="113">
        <v>2</v>
      </c>
      <c r="C21" s="2269"/>
      <c r="D21" s="2270"/>
      <c r="E21" s="2269"/>
      <c r="F21" s="2269"/>
      <c r="G21" s="2269"/>
      <c r="H21" s="2269"/>
      <c r="I21" s="2269"/>
      <c r="J21" s="2269"/>
      <c r="K21" s="168"/>
      <c r="L21" s="168"/>
      <c r="M21" s="1581"/>
      <c r="N21" s="1581">
        <f>(N20+N19)/2</f>
        <v>0.74</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2019</v>
      </c>
      <c r="B22" s="114">
        <f>B19+B20</f>
        <v>2</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2020</v>
      </c>
      <c r="B23" s="114">
        <f>B19+B21</f>
        <v>2</v>
      </c>
      <c r="C23" s="2269"/>
      <c r="D23" s="2270"/>
      <c r="E23" s="2269"/>
      <c r="F23" s="2269"/>
      <c r="G23" s="2269"/>
      <c r="H23" s="2269"/>
      <c r="I23" s="2269"/>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2021</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2022</v>
      </c>
      <c r="B26" s="2312" t="s">
        <v>2023</v>
      </c>
      <c r="C26" s="2313" t="s">
        <v>2024</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6" customFormat="1" ht="27.75">
      <c r="A27" s="2314" t="s">
        <v>2025</v>
      </c>
      <c r="B27" s="116">
        <v>160</v>
      </c>
      <c r="C27" s="1756" t="s">
        <v>2026</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2027</v>
      </c>
      <c r="B28" s="119">
        <v>200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2028</v>
      </c>
      <c r="B29" s="121"/>
      <c r="C29" s="1756" t="s">
        <v>2029</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2030</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2031</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2032</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2033</v>
      </c>
      <c r="B33" s="726">
        <v>0.03</v>
      </c>
      <c r="C33" s="1755" t="s">
        <v>2034</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2035</v>
      </c>
      <c r="B34" s="122">
        <v>0.05</v>
      </c>
      <c r="C34" s="1755" t="s">
        <v>2036</v>
      </c>
      <c r="D34" s="2270" t="s">
        <v>2037</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2038</v>
      </c>
      <c r="B35" s="119">
        <v>200</v>
      </c>
      <c r="C35" s="1755" t="s">
        <v>2039</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2040</v>
      </c>
      <c r="B36" s="123">
        <v>1.4999999999999999E-2</v>
      </c>
      <c r="C36" s="1755" t="s">
        <v>2041</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2042</v>
      </c>
      <c r="B37" s="124">
        <v>0.02</v>
      </c>
      <c r="C37" s="1755" t="s">
        <v>2043</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2044</v>
      </c>
      <c r="B38" s="122">
        <v>0.02</v>
      </c>
      <c r="C38" s="1755" t="s">
        <v>2043</v>
      </c>
      <c r="D38" s="2270"/>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2045</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2046</v>
      </c>
      <c r="B40" s="1300">
        <f ca="1">存贷款利率!G1</f>
        <v>4.7500000000000001E-2</v>
      </c>
      <c r="C40" s="1755" t="s">
        <v>2047</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2048</v>
      </c>
      <c r="B41" s="125">
        <f>B42+B43</f>
        <v>5.5000000000000007E-2</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2049</v>
      </c>
      <c r="B42" s="126">
        <v>0.05</v>
      </c>
      <c r="C42" s="2323">
        <f>IF(B2&lt;DATE(2016,5,1),0,B42)</f>
        <v>0.05</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2050</v>
      </c>
      <c r="B43" s="127">
        <f>B42*(B44+B45+B46)+B47</f>
        <v>5.000000000000001E-3</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2051</v>
      </c>
      <c r="B44" s="128">
        <v>0.05</v>
      </c>
      <c r="C44" s="1755" t="s">
        <v>2052</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2053</v>
      </c>
      <c r="B45" s="126">
        <v>0.03</v>
      </c>
      <c r="C45" s="1756" t="s">
        <v>2054</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2055</v>
      </c>
      <c r="B46" s="126">
        <v>0.02</v>
      </c>
      <c r="C46" s="1756" t="s">
        <v>2056</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2057</v>
      </c>
      <c r="B47" s="129"/>
      <c r="C47" s="1756" t="s">
        <v>2058</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2059</v>
      </c>
      <c r="B48" s="130">
        <v>0.03</v>
      </c>
      <c r="C48" s="1763" t="s">
        <v>2060</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2061</v>
      </c>
      <c r="B49" s="126">
        <v>5.0000000000000001E-4</v>
      </c>
      <c r="C49" s="1763" t="s">
        <v>2062</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2063</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2064</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2065</v>
      </c>
      <c r="B52" s="133">
        <f>SUMIF(A54:A63,B53,B54:B63)</f>
        <v>1.5</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2066</v>
      </c>
      <c r="B53" s="2328" t="s">
        <v>56</v>
      </c>
      <c r="C53" s="1427" t="s">
        <v>2067</v>
      </c>
      <c r="D53" s="2329" t="s">
        <v>2068</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2069</v>
      </c>
      <c r="B54" s="84"/>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2070</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2071</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2072</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2073</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2074</v>
      </c>
      <c r="B59" s="84">
        <v>1.5</v>
      </c>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2075</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2076</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2077</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2078</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56" t="s">
        <v>2079</v>
      </c>
      <c r="B1" s="3057"/>
      <c r="C1" s="3057"/>
      <c r="D1" s="3057"/>
      <c r="E1" s="3057"/>
      <c r="F1" s="3057"/>
      <c r="G1" s="3057"/>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2080</v>
      </c>
      <c r="D2" s="2357"/>
      <c r="E2" s="2358"/>
      <c r="F2" s="2278"/>
      <c r="G2" s="2356" t="s">
        <v>2081</v>
      </c>
      <c r="H2" s="2359"/>
      <c r="I2" s="2359"/>
      <c r="J2" s="2359"/>
      <c r="K2" s="2359"/>
      <c r="L2" s="2359"/>
      <c r="M2" s="2359"/>
      <c r="N2" s="2359"/>
      <c r="O2" s="2359"/>
      <c r="P2" s="2359"/>
      <c r="Q2" s="2359"/>
      <c r="R2" s="2359"/>
    </row>
    <row r="3" spans="1:29" ht="54">
      <c r="A3" s="415" t="s">
        <v>2082</v>
      </c>
      <c r="B3" s="1268" t="s">
        <v>2083</v>
      </c>
      <c r="C3" s="2361" t="s">
        <v>2084</v>
      </c>
      <c r="D3" s="2362"/>
      <c r="E3" s="431" t="s">
        <v>2082</v>
      </c>
      <c r="F3" s="2363" t="s">
        <v>2085</v>
      </c>
      <c r="G3" s="2364" t="s">
        <v>2086</v>
      </c>
      <c r="H3" s="2359"/>
      <c r="I3" s="2359"/>
      <c r="J3" s="2359"/>
      <c r="K3" s="2359"/>
      <c r="L3" s="2359"/>
      <c r="M3" s="2359"/>
      <c r="N3" s="2359"/>
      <c r="O3" s="2359"/>
      <c r="P3" s="2359"/>
      <c r="Q3" s="2359"/>
      <c r="R3" s="2359"/>
    </row>
    <row r="4" spans="1:29" ht="41.25">
      <c r="A4" s="431"/>
      <c r="B4" s="1787" t="s">
        <v>2087</v>
      </c>
      <c r="C4" s="2365" t="s">
        <v>2088</v>
      </c>
      <c r="D4" s="2362"/>
      <c r="E4" s="2366"/>
      <c r="F4" s="42" t="s">
        <v>2089</v>
      </c>
      <c r="G4" s="2367" t="s">
        <v>2090</v>
      </c>
      <c r="H4" s="2359"/>
      <c r="I4" s="2359"/>
      <c r="J4" s="2359"/>
      <c r="K4" s="2359"/>
      <c r="L4" s="2359"/>
      <c r="M4" s="2359"/>
      <c r="N4" s="2359"/>
      <c r="O4" s="2359"/>
      <c r="P4" s="2359"/>
      <c r="Q4" s="2359"/>
      <c r="R4" s="2359"/>
    </row>
    <row r="5" spans="1:29" ht="41.25">
      <c r="A5" s="431"/>
      <c r="B5" s="1787" t="s">
        <v>2091</v>
      </c>
      <c r="C5" s="2365" t="s">
        <v>2092</v>
      </c>
      <c r="D5" s="2362"/>
      <c r="E5" s="2366"/>
      <c r="F5" s="1787" t="s">
        <v>2093</v>
      </c>
      <c r="G5" s="2367" t="s">
        <v>2094</v>
      </c>
      <c r="H5" s="2359"/>
      <c r="I5" s="2359"/>
      <c r="J5" s="2359"/>
      <c r="K5" s="2359"/>
      <c r="L5" s="2359"/>
      <c r="M5" s="2359"/>
      <c r="N5" s="2359"/>
      <c r="O5" s="2359"/>
      <c r="P5" s="2359"/>
      <c r="Q5" s="2359"/>
      <c r="R5" s="2359"/>
    </row>
    <row r="6" spans="1:29" ht="54">
      <c r="A6" s="431"/>
      <c r="B6" s="1787" t="s">
        <v>2095</v>
      </c>
      <c r="C6" s="2367" t="s">
        <v>2090</v>
      </c>
      <c r="D6" s="2362"/>
      <c r="E6" s="2366"/>
      <c r="F6" s="1787" t="s">
        <v>2096</v>
      </c>
      <c r="G6" s="2367" t="s">
        <v>2097</v>
      </c>
      <c r="H6" s="2359"/>
      <c r="I6" s="2359"/>
      <c r="J6" s="2359"/>
      <c r="K6" s="2359"/>
      <c r="L6" s="2359"/>
      <c r="M6" s="2359"/>
      <c r="N6" s="2359"/>
      <c r="O6" s="2359"/>
      <c r="P6" s="2359"/>
      <c r="Q6" s="2359"/>
      <c r="R6" s="2359"/>
    </row>
    <row r="7" spans="1:29" ht="41.25" thickBot="1">
      <c r="A7" s="431"/>
      <c r="B7" s="1787" t="s">
        <v>2093</v>
      </c>
      <c r="C7" s="2367" t="s">
        <v>2094</v>
      </c>
      <c r="D7" s="2368"/>
      <c r="E7" s="2369"/>
      <c r="F7" s="2370" t="s">
        <v>2098</v>
      </c>
      <c r="G7" s="2371" t="s">
        <v>2099</v>
      </c>
      <c r="H7" s="2359"/>
      <c r="I7" s="2359"/>
      <c r="J7" s="2359"/>
      <c r="K7" s="2359"/>
      <c r="L7" s="2359"/>
      <c r="M7" s="2359"/>
      <c r="N7" s="2359"/>
      <c r="O7" s="2359"/>
      <c r="P7" s="2359"/>
      <c r="Q7" s="2359"/>
      <c r="R7" s="2359"/>
    </row>
    <row r="8" spans="1:29" ht="27">
      <c r="A8" s="431"/>
      <c r="B8" s="1787" t="s">
        <v>2096</v>
      </c>
      <c r="C8" s="2367" t="s">
        <v>2097</v>
      </c>
      <c r="D8" s="2368"/>
      <c r="E8" s="2368"/>
      <c r="F8" s="1133"/>
      <c r="G8" s="1133"/>
      <c r="H8" s="2359"/>
      <c r="I8" s="2359"/>
      <c r="J8" s="2359"/>
      <c r="K8" s="2359"/>
      <c r="L8" s="2359"/>
      <c r="M8" s="2359"/>
      <c r="N8" s="2359"/>
      <c r="O8" s="2359"/>
      <c r="P8" s="2359"/>
      <c r="Q8" s="2359"/>
      <c r="R8" s="2359"/>
    </row>
    <row r="9" spans="1:29" ht="27">
      <c r="A9" s="431"/>
      <c r="B9" s="1787" t="s">
        <v>2100</v>
      </c>
      <c r="C9" s="2365" t="s">
        <v>2101</v>
      </c>
      <c r="D9" s="2362"/>
      <c r="E9" s="2368"/>
      <c r="F9" s="1133"/>
      <c r="G9" s="1133"/>
      <c r="H9" s="2359"/>
      <c r="I9" s="2359"/>
      <c r="J9" s="2359"/>
      <c r="K9" s="2359"/>
      <c r="L9" s="2359"/>
      <c r="M9" s="2359"/>
      <c r="N9" s="2359"/>
      <c r="O9" s="2359"/>
      <c r="P9" s="2359"/>
      <c r="Q9" s="2359"/>
      <c r="R9" s="2359"/>
    </row>
    <row r="10" spans="1:29" s="117" customFormat="1" ht="15.75" thickBot="1">
      <c r="A10" s="2372"/>
      <c r="B10" s="2373" t="s">
        <v>2102</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2103</v>
      </c>
      <c r="B13" s="2379"/>
      <c r="C13" s="2379"/>
      <c r="D13" s="2386"/>
      <c r="E13" s="2379"/>
      <c r="F13" s="2379"/>
      <c r="G13" s="2379"/>
    </row>
    <row r="14" spans="1:29" ht="15.75" thickBot="1">
      <c r="A14" s="2390"/>
      <c r="B14" s="2391"/>
      <c r="C14" s="2392" t="s">
        <v>2104</v>
      </c>
      <c r="D14" s="2362"/>
      <c r="E14" s="2393"/>
      <c r="F14" s="2393"/>
      <c r="G14" s="2356" t="s">
        <v>2105</v>
      </c>
    </row>
    <row r="15" spans="1:29" ht="57">
      <c r="A15" s="68" t="s">
        <v>2106</v>
      </c>
      <c r="B15" s="1267" t="s">
        <v>2083</v>
      </c>
      <c r="C15" s="2394" t="str">
        <f>C3</f>
        <v>估价对象周边居住用地比例、居住小区规模和社区发展完善程度，综合评价居住社区成熟度一般</v>
      </c>
      <c r="D15" s="2362"/>
      <c r="E15" s="2395" t="s">
        <v>2107</v>
      </c>
      <c r="F15" s="1267" t="s">
        <v>2108</v>
      </c>
      <c r="G15" s="135" t="str">
        <f>G3</f>
        <v>估价对象位于XX开发区，园区建设成熟度XX，产业集聚程度XX</v>
      </c>
    </row>
    <row r="16" spans="1:29" ht="42.75">
      <c r="A16" s="645"/>
      <c r="B16" s="2396" t="s">
        <v>2087</v>
      </c>
      <c r="C16" s="2397" t="str">
        <f>C4</f>
        <v>估价对象位于XX商圈，周边商业氛围成熟，人流量大，商业繁华度好</v>
      </c>
      <c r="D16" s="2362"/>
      <c r="E16" s="2398"/>
      <c r="F16" s="2399" t="s">
        <v>2089</v>
      </c>
      <c r="G16" s="136" t="str">
        <f>G4</f>
        <v>估价对象周边道路状况、公共交通通达情况、停车便捷程度，综合评价交通便捷度较好</v>
      </c>
    </row>
    <row r="17" spans="1:18" ht="42.75">
      <c r="A17" s="645"/>
      <c r="B17" s="2396" t="s">
        <v>2091</v>
      </c>
      <c r="C17" s="2397" t="str">
        <f>C5</f>
        <v>估价对象位于XX商圈，周边办公楼项目较多，入驻率高，办公集聚程度较好</v>
      </c>
      <c r="D17" s="2368"/>
      <c r="E17" s="2398"/>
      <c r="F17" s="2399" t="s">
        <v>2109</v>
      </c>
      <c r="G17" s="1569"/>
    </row>
    <row r="18" spans="1:18" ht="57">
      <c r="A18" s="645"/>
      <c r="B18" s="2399" t="s">
        <v>2095</v>
      </c>
      <c r="C18" s="136" t="str">
        <f>C6</f>
        <v>估价对象周边道路状况、公共交通通达情况、停车便捷程度，综合评价交通便捷度较好</v>
      </c>
      <c r="D18" s="2368"/>
      <c r="E18" s="2398"/>
      <c r="F18" s="2399" t="s">
        <v>2098</v>
      </c>
      <c r="G18" s="136" t="str">
        <f>G7</f>
        <v>该园区内是否有污染型企业，绿化情况，卫生条件，整体环境状况判断</v>
      </c>
    </row>
    <row r="19" spans="1:18" ht="28.5">
      <c r="A19" s="645"/>
      <c r="B19" s="2399" t="s">
        <v>2110</v>
      </c>
      <c r="C19" s="1569"/>
      <c r="D19" s="2362"/>
      <c r="E19" s="2398"/>
      <c r="F19" s="1787" t="s">
        <v>2093</v>
      </c>
      <c r="G19" s="136" t="str">
        <f>G5</f>
        <v>估价对象所在区域公共配套设施齐备情况</v>
      </c>
    </row>
    <row r="20" spans="1:18" ht="28.5">
      <c r="A20" s="645"/>
      <c r="B20" s="2399" t="s">
        <v>2111</v>
      </c>
      <c r="C20" s="2397" t="str">
        <f>C9</f>
        <v>区域自然环境：；人文环境；综合评价环境状况一般</v>
      </c>
      <c r="D20" s="2368"/>
      <c r="E20" s="2398"/>
      <c r="F20" s="1787" t="s">
        <v>2112</v>
      </c>
      <c r="G20" s="136" t="str">
        <f>G6</f>
        <v>估价对象所在区域基础设施水平</v>
      </c>
    </row>
    <row r="21" spans="1:18" ht="28.5">
      <c r="A21" s="645"/>
      <c r="B21" s="1787" t="s">
        <v>2093</v>
      </c>
      <c r="C21" s="136" t="str">
        <f>C7</f>
        <v>估价对象所在区域公共配套设施齐备情况</v>
      </c>
      <c r="D21" s="2362"/>
      <c r="E21" s="2398"/>
      <c r="F21" s="2399" t="s">
        <v>2113</v>
      </c>
      <c r="G21" s="2400"/>
    </row>
    <row r="22" spans="1:18" ht="13.5" customHeight="1">
      <c r="A22" s="645"/>
      <c r="B22" s="1787" t="s">
        <v>2096</v>
      </c>
      <c r="C22" s="136" t="str">
        <f>C8</f>
        <v>估价对象所在区域基础设施水平</v>
      </c>
      <c r="D22" s="2362"/>
      <c r="E22" s="2398"/>
      <c r="F22" s="2399" t="s">
        <v>2102</v>
      </c>
      <c r="G22" s="1569"/>
    </row>
    <row r="23" spans="1:18" s="2359" customFormat="1" ht="15.75" thickBot="1">
      <c r="A23" s="645"/>
      <c r="B23" s="2399" t="s">
        <v>2113</v>
      </c>
      <c r="C23" s="2400"/>
      <c r="D23" s="2387"/>
      <c r="E23" s="2401"/>
      <c r="F23" s="2402" t="s">
        <v>2114</v>
      </c>
      <c r="G23" s="2403"/>
      <c r="H23" s="2387"/>
      <c r="I23" s="2388"/>
      <c r="J23" s="2387"/>
      <c r="K23" s="2387"/>
      <c r="L23" s="2388"/>
      <c r="M23" s="2387"/>
      <c r="N23" s="2387"/>
      <c r="O23" s="2388"/>
      <c r="P23" s="2387"/>
      <c r="Q23" s="2387"/>
      <c r="R23" s="2389"/>
    </row>
    <row r="24" spans="1:18" s="2359" customFormat="1" ht="15.75" thickBot="1">
      <c r="A24" s="2404"/>
      <c r="B24" s="2402" t="s">
        <v>2115</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50" customWidth="1"/>
    <col min="2" max="9" width="15.75" style="2950" customWidth="1"/>
    <col min="10" max="16384" width="9" style="2950"/>
  </cols>
  <sheetData>
    <row r="1" spans="1:10" ht="16.5">
      <c r="A1" s="2951" t="s">
        <v>1360</v>
      </c>
      <c r="B1" s="2951">
        <f>SUM(B14:B23)</f>
        <v>232.53</v>
      </c>
      <c r="C1" s="2948"/>
      <c r="D1" s="2948"/>
      <c r="E1" s="2948"/>
      <c r="F1" s="2948"/>
      <c r="G1" s="2949"/>
    </row>
    <row r="2" spans="1:10" ht="16.5">
      <c r="A2" s="2951" t="s">
        <v>1348</v>
      </c>
      <c r="B2" s="2951">
        <f>SUM(C14:C23)</f>
        <v>377.51</v>
      </c>
      <c r="C2" s="2948"/>
      <c r="D2" s="2948"/>
      <c r="E2" s="2948"/>
      <c r="F2" s="2948"/>
      <c r="G2" s="2949"/>
    </row>
    <row r="3" spans="1:10" ht="16.5">
      <c r="A3" s="2951" t="s">
        <v>1357</v>
      </c>
      <c r="B3" s="2952">
        <f>项目基本情况!D3</f>
        <v>44032</v>
      </c>
      <c r="C3" s="2948"/>
      <c r="D3" s="2948"/>
      <c r="E3" s="2948"/>
      <c r="F3" s="2948"/>
      <c r="G3" s="2949"/>
    </row>
    <row r="4" spans="1:10" ht="33">
      <c r="A4" s="2951" t="s">
        <v>1356</v>
      </c>
      <c r="B4" s="2951" t="s">
        <v>1355</v>
      </c>
      <c r="C4" s="2951" t="s">
        <v>1354</v>
      </c>
      <c r="D4" s="2951" t="s">
        <v>1353</v>
      </c>
      <c r="E4" s="2948"/>
      <c r="F4" s="2949"/>
      <c r="G4" s="2949"/>
    </row>
    <row r="5" spans="1:10" ht="16.5">
      <c r="A5" s="2951" t="s">
        <v>1352</v>
      </c>
      <c r="B5" s="2951">
        <f ca="1">SUM(D14:D23)</f>
        <v>2330</v>
      </c>
      <c r="C5" s="2951">
        <f ca="1">ROUND(B5*10000/$B$1,0)</f>
        <v>100202</v>
      </c>
      <c r="D5" s="2951">
        <f ca="1">ROUND(B5*10000/$B$2,0)</f>
        <v>61720</v>
      </c>
      <c r="E5" s="2948"/>
      <c r="F5" s="2949"/>
      <c r="G5" s="2949"/>
    </row>
    <row r="6" spans="1:10" ht="16.5">
      <c r="A6" s="2951" t="s">
        <v>1351</v>
      </c>
      <c r="B6" s="2951">
        <f ca="1">SUM(G14:G23)</f>
        <v>2330</v>
      </c>
      <c r="C6" s="2951">
        <f ca="1">ROUND(B6*10000/$B$1,0)</f>
        <v>100202</v>
      </c>
      <c r="D6" s="2951">
        <f ca="1">ROUND(B6*10000/$B$2,0)</f>
        <v>61720</v>
      </c>
      <c r="E6" s="2948"/>
      <c r="F6" s="2949"/>
      <c r="G6" s="2949"/>
    </row>
    <row r="7" spans="1:10" ht="16.5">
      <c r="A7" s="2951" t="s">
        <v>1359</v>
      </c>
      <c r="B7" s="2951">
        <f>SUM(H14:H23)</f>
        <v>0</v>
      </c>
      <c r="C7" s="2951">
        <f>ROUND(B7*10000/$B$1,0)</f>
        <v>0</v>
      </c>
      <c r="D7" s="2951">
        <f>ROUND(B7*10000/$B$2,0)</f>
        <v>0</v>
      </c>
      <c r="E7" s="2948"/>
      <c r="F7" s="2949"/>
      <c r="G7" s="2949"/>
    </row>
    <row r="8" spans="1:10" ht="16.5">
      <c r="A8" s="2951" t="s">
        <v>1280</v>
      </c>
      <c r="B8" s="2951">
        <f>SUM(I14:I23)</f>
        <v>0</v>
      </c>
      <c r="C8" s="2951">
        <f>ROUND(B8*10000/$B$1,0)</f>
        <v>0</v>
      </c>
      <c r="D8" s="2951">
        <f>ROUND(B8*10000/$B$2,0)</f>
        <v>0</v>
      </c>
      <c r="E8" s="2948"/>
      <c r="F8" s="2949"/>
      <c r="G8" s="2949"/>
    </row>
    <row r="9" spans="1:10" ht="16.5">
      <c r="A9" s="2951" t="s">
        <v>1350</v>
      </c>
      <c r="B9" s="1738"/>
      <c r="C9" s="2948"/>
      <c r="D9" s="2948"/>
      <c r="E9" s="2948"/>
      <c r="F9" s="2949"/>
      <c r="G9" s="2949"/>
    </row>
    <row r="10" spans="1:10" ht="16.5">
      <c r="A10" s="2951" t="s">
        <v>1349</v>
      </c>
      <c r="B10" s="1738"/>
      <c r="C10" s="2948"/>
      <c r="D10" s="2948"/>
      <c r="E10" s="2948"/>
      <c r="F10" s="2949"/>
      <c r="G10" s="2949"/>
    </row>
    <row r="11" spans="1:10" ht="16.5">
      <c r="A11" s="2951" t="s">
        <v>1365</v>
      </c>
      <c r="B11" s="1738"/>
      <c r="C11" s="2948"/>
      <c r="D11" s="2948"/>
      <c r="E11" s="2948"/>
      <c r="F11" s="2949"/>
      <c r="G11" s="2949"/>
    </row>
    <row r="12" spans="1:10" ht="16.5">
      <c r="A12" s="2948"/>
      <c r="B12" s="2948"/>
      <c r="C12" s="2948"/>
      <c r="D12" s="2948"/>
      <c r="E12" s="2948"/>
      <c r="F12" s="2949"/>
      <c r="G12" s="2949"/>
    </row>
    <row r="13" spans="1:10" ht="33">
      <c r="A13" s="2953" t="s">
        <v>1364</v>
      </c>
      <c r="B13" s="2954" t="s">
        <v>1361</v>
      </c>
      <c r="C13" s="2954" t="s">
        <v>1363</v>
      </c>
      <c r="D13" s="2954" t="s">
        <v>1362</v>
      </c>
      <c r="E13" s="2951" t="s">
        <v>1354</v>
      </c>
      <c r="F13" s="2951" t="s">
        <v>1353</v>
      </c>
      <c r="G13" s="2954" t="s">
        <v>1347</v>
      </c>
      <c r="H13" s="2954" t="s">
        <v>1358</v>
      </c>
      <c r="I13" s="2954" t="s">
        <v>1346</v>
      </c>
      <c r="J13" s="2949"/>
    </row>
    <row r="14" spans="1:10" ht="16.5">
      <c r="A14" s="2955" t="s">
        <v>1345</v>
      </c>
      <c r="B14" s="2956">
        <f>结果表!B118</f>
        <v>232.53</v>
      </c>
      <c r="C14" s="2956">
        <f>结果表!C118</f>
        <v>377.51</v>
      </c>
      <c r="D14" s="2956">
        <f ca="1">结果表!H118</f>
        <v>2330</v>
      </c>
      <c r="E14" s="2954">
        <f ca="1">ROUND(D14*10000/B14,0)</f>
        <v>100202</v>
      </c>
      <c r="F14" s="2954">
        <f ca="1">ROUND(D14*10000/C14,0)</f>
        <v>61720</v>
      </c>
      <c r="G14" s="2956">
        <f ca="1">结果表!D122</f>
        <v>2330</v>
      </c>
      <c r="H14" s="2956" t="str">
        <f>结果表!D124</f>
        <v>——</v>
      </c>
      <c r="I14" s="2956" t="str">
        <f>结果表!D126</f>
        <v>——</v>
      </c>
      <c r="J14" s="2949"/>
    </row>
    <row r="15" spans="1:10" ht="16.5">
      <c r="A15" s="2955" t="s">
        <v>1344</v>
      </c>
      <c r="B15" s="1739"/>
      <c r="C15" s="1739"/>
      <c r="D15" s="1739"/>
      <c r="E15" s="2954" t="e">
        <f t="shared" ref="E15:E23" si="0">ROUND(D15*10000/B15,0)</f>
        <v>#DIV/0!</v>
      </c>
      <c r="F15" s="2954" t="e">
        <f t="shared" ref="F15:F23" si="1">ROUND(D15*10000/C15,0)</f>
        <v>#DIV/0!</v>
      </c>
      <c r="G15" s="1740"/>
      <c r="H15" s="1740"/>
      <c r="I15" s="1739"/>
      <c r="J15" s="2949"/>
    </row>
    <row r="16" spans="1:10" ht="16.5">
      <c r="A16" s="2955" t="s">
        <v>1343</v>
      </c>
      <c r="B16" s="1739"/>
      <c r="C16" s="1739"/>
      <c r="D16" s="1739"/>
      <c r="E16" s="2954" t="e">
        <f t="shared" si="0"/>
        <v>#DIV/0!</v>
      </c>
      <c r="F16" s="2954" t="e">
        <f t="shared" si="1"/>
        <v>#DIV/0!</v>
      </c>
      <c r="G16" s="1740"/>
      <c r="H16" s="1740"/>
      <c r="I16" s="1739"/>
    </row>
    <row r="17" spans="1:9" ht="16.5">
      <c r="A17" s="2955" t="s">
        <v>1342</v>
      </c>
      <c r="B17" s="1739"/>
      <c r="C17" s="1739"/>
      <c r="D17" s="1739"/>
      <c r="E17" s="2954" t="e">
        <f t="shared" si="0"/>
        <v>#DIV/0!</v>
      </c>
      <c r="F17" s="2954" t="e">
        <f t="shared" si="1"/>
        <v>#DIV/0!</v>
      </c>
      <c r="G17" s="1740"/>
      <c r="H17" s="1740"/>
      <c r="I17" s="1739"/>
    </row>
    <row r="18" spans="1:9" ht="16.5">
      <c r="A18" s="2955" t="s">
        <v>1341</v>
      </c>
      <c r="B18" s="1739"/>
      <c r="C18" s="1739"/>
      <c r="D18" s="1739"/>
      <c r="E18" s="2954" t="e">
        <f t="shared" si="0"/>
        <v>#DIV/0!</v>
      </c>
      <c r="F18" s="2954" t="e">
        <f t="shared" si="1"/>
        <v>#DIV/0!</v>
      </c>
      <c r="G18" s="1739"/>
      <c r="H18" s="1739"/>
      <c r="I18" s="1739"/>
    </row>
    <row r="19" spans="1:9" ht="16.5">
      <c r="A19" s="2955" t="s">
        <v>1340</v>
      </c>
      <c r="B19" s="1739"/>
      <c r="C19" s="1739"/>
      <c r="D19" s="1739"/>
      <c r="E19" s="2954" t="e">
        <f t="shared" si="0"/>
        <v>#DIV/0!</v>
      </c>
      <c r="F19" s="2954" t="e">
        <f t="shared" si="1"/>
        <v>#DIV/0!</v>
      </c>
      <c r="G19" s="1739"/>
      <c r="H19" s="1739"/>
      <c r="I19" s="1739"/>
    </row>
    <row r="20" spans="1:9" ht="16.5">
      <c r="A20" s="2955" t="s">
        <v>1339</v>
      </c>
      <c r="B20" s="1739"/>
      <c r="C20" s="1739"/>
      <c r="D20" s="1739"/>
      <c r="E20" s="2954" t="e">
        <f t="shared" si="0"/>
        <v>#DIV/0!</v>
      </c>
      <c r="F20" s="2954" t="e">
        <f t="shared" si="1"/>
        <v>#DIV/0!</v>
      </c>
      <c r="G20" s="1739"/>
      <c r="H20" s="1739"/>
      <c r="I20" s="1739"/>
    </row>
    <row r="21" spans="1:9" ht="16.5">
      <c r="A21" s="2955" t="s">
        <v>1338</v>
      </c>
      <c r="B21" s="1739"/>
      <c r="C21" s="1739"/>
      <c r="D21" s="1739"/>
      <c r="E21" s="2954" t="e">
        <f t="shared" si="0"/>
        <v>#DIV/0!</v>
      </c>
      <c r="F21" s="2954" t="e">
        <f t="shared" si="1"/>
        <v>#DIV/0!</v>
      </c>
      <c r="G21" s="1739"/>
      <c r="H21" s="1739"/>
      <c r="I21" s="1739"/>
    </row>
    <row r="22" spans="1:9" ht="16.5">
      <c r="A22" s="2955" t="s">
        <v>1337</v>
      </c>
      <c r="B22" s="1739"/>
      <c r="C22" s="1739"/>
      <c r="D22" s="1739"/>
      <c r="E22" s="2954" t="e">
        <f t="shared" si="0"/>
        <v>#DIV/0!</v>
      </c>
      <c r="F22" s="2954" t="e">
        <f t="shared" si="1"/>
        <v>#DIV/0!</v>
      </c>
      <c r="G22" s="1739"/>
      <c r="H22" s="1739"/>
      <c r="I22" s="1739"/>
    </row>
    <row r="23" spans="1:9" ht="16.5">
      <c r="A23" s="2955" t="s">
        <v>1336</v>
      </c>
      <c r="B23" s="1739"/>
      <c r="C23" s="1739"/>
      <c r="D23" s="1739"/>
      <c r="E23" s="2951" t="e">
        <f t="shared" si="0"/>
        <v>#DIV/0!</v>
      </c>
      <c r="F23" s="2951"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2116</v>
      </c>
      <c r="B1" s="2410"/>
      <c r="C1" s="2411"/>
      <c r="D1" s="2410"/>
      <c r="E1" s="2410"/>
      <c r="F1" s="2412" t="s">
        <v>2117</v>
      </c>
      <c r="G1" s="2062" t="s">
        <v>3100</v>
      </c>
      <c r="H1" s="2413" t="str">
        <f>IF(G1="现房","——","估价对象范围")</f>
        <v>——</v>
      </c>
      <c r="I1" s="2414"/>
    </row>
    <row r="2" spans="1:12" ht="21.75" customHeight="1" thickBot="1">
      <c r="A2" s="3091" t="str">
        <f>项目基本情况!S2</f>
        <v>北京市房地产</v>
      </c>
      <c r="B2" s="3092"/>
      <c r="C2" s="3092"/>
      <c r="D2" s="3092"/>
      <c r="E2" s="3092"/>
      <c r="F2" s="3092"/>
      <c r="G2" s="3092"/>
      <c r="H2" s="3092"/>
      <c r="I2" s="3093"/>
    </row>
    <row r="3" spans="1:12" ht="12.75">
      <c r="A3" s="3095" t="s">
        <v>2118</v>
      </c>
      <c r="B3" s="3096"/>
      <c r="C3" s="3096"/>
      <c r="D3" s="3096"/>
      <c r="E3" s="3096"/>
      <c r="F3" s="3096"/>
      <c r="G3" s="3096"/>
      <c r="H3" s="3096"/>
      <c r="I3" s="3096"/>
    </row>
    <row r="4" spans="1:12" ht="14.25">
      <c r="A4" s="2417" t="s">
        <v>2119</v>
      </c>
      <c r="B4" s="2418" t="s">
        <v>2120</v>
      </c>
      <c r="C4" s="2419" t="s">
        <v>3101</v>
      </c>
      <c r="D4" s="2419" t="s">
        <v>3102</v>
      </c>
      <c r="E4" s="3088" t="s">
        <v>2121</v>
      </c>
      <c r="F4" s="3089"/>
      <c r="G4" s="3089"/>
      <c r="H4" s="3089"/>
      <c r="I4" s="3097"/>
      <c r="K4" s="2420" t="str">
        <f>IF(ISNUMBER(FIND("比较法",结果表!C4)),"比较法",IF(ISNUMBER(FIND("成本法",结果表!C4)),"成本法",IF(ISNUMBER(FIND("假设开发法",结果表!C4)),"假设开发法",IF(ISNUMBER(FIND("收益法",结果表!C4)),"收益法","基准地价系数修正法"))))</f>
        <v>比较法</v>
      </c>
      <c r="L4" s="2420" t="str">
        <f>IF(ISNUMBER(FIND("比较法",结果表!D4)),"比较法",IF(ISNUMBER(FIND("成本法",结果表!D4)),"成本法",IF(ISNUMBER(FIND("假设开发法",结果表!D4)),"假设开发法",IF(ISNUMBER(FIND("收益法",结果表!D4)),"收益法","基准地价系数修正法"))))</f>
        <v>成本法</v>
      </c>
    </row>
    <row r="5" spans="1:12" ht="12.75">
      <c r="A5" s="3071" t="s">
        <v>2122</v>
      </c>
      <c r="B5" s="3009">
        <v>25</v>
      </c>
      <c r="C5" s="3074"/>
      <c r="D5" s="3094"/>
      <c r="E5" s="140" t="s">
        <v>2123</v>
      </c>
      <c r="F5" s="2421"/>
      <c r="G5" s="2421"/>
      <c r="H5" s="2421"/>
      <c r="I5" s="1823"/>
    </row>
    <row r="6" spans="1:12" ht="12.75">
      <c r="A6" s="3071"/>
      <c r="B6" s="3009"/>
      <c r="C6" s="3075"/>
      <c r="D6" s="3094"/>
      <c r="E6" s="140" t="s">
        <v>2124</v>
      </c>
      <c r="F6" s="2421"/>
      <c r="G6" s="2421"/>
      <c r="H6" s="2421"/>
      <c r="I6" s="1823"/>
    </row>
    <row r="7" spans="1:12" ht="12.75">
      <c r="A7" s="3071"/>
      <c r="B7" s="3009"/>
      <c r="C7" s="3076"/>
      <c r="D7" s="3094"/>
      <c r="E7" s="140" t="s">
        <v>2125</v>
      </c>
      <c r="F7" s="2421"/>
      <c r="G7" s="2421"/>
      <c r="H7" s="2421"/>
      <c r="I7" s="1823"/>
    </row>
    <row r="8" spans="1:12" ht="12.75">
      <c r="A8" s="3071" t="s">
        <v>2126</v>
      </c>
      <c r="B8" s="3009">
        <v>15</v>
      </c>
      <c r="C8" s="3074"/>
      <c r="D8" s="3094"/>
      <c r="E8" s="140" t="s">
        <v>2127</v>
      </c>
      <c r="F8" s="2421"/>
      <c r="G8" s="2421"/>
      <c r="H8" s="2421"/>
      <c r="I8" s="1823"/>
    </row>
    <row r="9" spans="1:12" ht="12.75">
      <c r="A9" s="3071"/>
      <c r="B9" s="3009"/>
      <c r="C9" s="3076"/>
      <c r="D9" s="3094"/>
      <c r="E9" s="140" t="s">
        <v>2128</v>
      </c>
      <c r="F9" s="2421"/>
      <c r="G9" s="2421"/>
      <c r="H9" s="2421"/>
      <c r="I9" s="1823"/>
    </row>
    <row r="10" spans="1:12" ht="12.75">
      <c r="A10" s="3071" t="s">
        <v>2129</v>
      </c>
      <c r="B10" s="3009">
        <v>15</v>
      </c>
      <c r="C10" s="3074"/>
      <c r="D10" s="3094"/>
      <c r="E10" s="140" t="s">
        <v>2130</v>
      </c>
      <c r="F10" s="2421"/>
      <c r="G10" s="2421"/>
      <c r="H10" s="2421"/>
      <c r="I10" s="1823"/>
    </row>
    <row r="11" spans="1:12" ht="12.75">
      <c r="A11" s="3071"/>
      <c r="B11" s="3009"/>
      <c r="C11" s="3076"/>
      <c r="D11" s="3094"/>
      <c r="E11" s="140" t="s">
        <v>2131</v>
      </c>
      <c r="F11" s="2421"/>
      <c r="G11" s="2421"/>
      <c r="H11" s="2421"/>
      <c r="I11" s="1823"/>
    </row>
    <row r="12" spans="1:12" ht="12.75">
      <c r="A12" s="3071" t="s">
        <v>2132</v>
      </c>
      <c r="B12" s="3009">
        <v>15</v>
      </c>
      <c r="C12" s="3074"/>
      <c r="D12" s="3094"/>
      <c r="E12" s="140" t="s">
        <v>2133</v>
      </c>
      <c r="F12" s="2421"/>
      <c r="G12" s="2421"/>
      <c r="H12" s="2421"/>
      <c r="I12" s="1823"/>
    </row>
    <row r="13" spans="1:12" ht="12.75">
      <c r="A13" s="3071"/>
      <c r="B13" s="3009"/>
      <c r="C13" s="3076"/>
      <c r="D13" s="3094"/>
      <c r="E13" s="140" t="s">
        <v>2134</v>
      </c>
      <c r="F13" s="2421"/>
      <c r="G13" s="2421"/>
      <c r="H13" s="2421"/>
      <c r="I13" s="1823"/>
    </row>
    <row r="14" spans="1:12" ht="12.75">
      <c r="A14" s="3071" t="s">
        <v>2135</v>
      </c>
      <c r="B14" s="3009">
        <v>30</v>
      </c>
      <c r="C14" s="3074">
        <v>8</v>
      </c>
      <c r="D14" s="3094">
        <v>2</v>
      </c>
      <c r="E14" s="140" t="s">
        <v>2136</v>
      </c>
      <c r="F14" s="2421"/>
      <c r="G14" s="2421"/>
      <c r="H14" s="2421"/>
      <c r="I14" s="1823"/>
    </row>
    <row r="15" spans="1:12" ht="12.75">
      <c r="A15" s="3071"/>
      <c r="B15" s="3009"/>
      <c r="C15" s="3075"/>
      <c r="D15" s="3094"/>
      <c r="E15" s="140" t="s">
        <v>2137</v>
      </c>
      <c r="F15" s="2421"/>
      <c r="G15" s="2421"/>
      <c r="H15" s="2421"/>
      <c r="I15" s="1823"/>
    </row>
    <row r="16" spans="1:12" ht="12.75">
      <c r="A16" s="3071"/>
      <c r="B16" s="3009"/>
      <c r="C16" s="3076"/>
      <c r="D16" s="3094"/>
      <c r="E16" s="140" t="s">
        <v>2138</v>
      </c>
      <c r="F16" s="2421"/>
      <c r="G16" s="2421"/>
      <c r="H16" s="2421"/>
      <c r="I16" s="1823"/>
    </row>
    <row r="17" spans="1:35" ht="15">
      <c r="A17" s="2422" t="s">
        <v>2139</v>
      </c>
      <c r="B17" s="64"/>
      <c r="C17" s="141">
        <f>SUM(C5:C16)</f>
        <v>8</v>
      </c>
      <c r="D17" s="141">
        <f>SUM(D5:D16)</f>
        <v>2</v>
      </c>
      <c r="E17" s="138"/>
      <c r="F17" s="138"/>
      <c r="G17" s="138"/>
      <c r="H17" s="138"/>
      <c r="I17" s="138"/>
      <c r="K17" s="2420"/>
      <c r="L17" s="2423" t="s">
        <v>2140</v>
      </c>
      <c r="M17" s="2423" t="s">
        <v>2141</v>
      </c>
    </row>
    <row r="18" spans="1:35" ht="15.75" thickBot="1">
      <c r="A18" s="2424" t="s">
        <v>2142</v>
      </c>
      <c r="B18" s="2425"/>
      <c r="C18" s="142">
        <f>ROUND(C17/SUM(C17:D17),2)</f>
        <v>0.8</v>
      </c>
      <c r="D18" s="142">
        <f>1-C18</f>
        <v>0.19999999999999996</v>
      </c>
      <c r="E18" s="138"/>
      <c r="F18" s="138"/>
      <c r="G18" s="138"/>
      <c r="H18" s="138"/>
      <c r="I18" s="138"/>
      <c r="K18" s="2420" t="s">
        <v>2143</v>
      </c>
      <c r="L18" s="2420">
        <f>IF(C1="",'数据-汇总表'!E3,SUMIF(项目类型,C1,'数据-汇总表'!E17:E26)+SUMIF(项目类型,C1,'数据-汇总表'!I17:I26))</f>
        <v>232.53</v>
      </c>
      <c r="M18" s="2420">
        <f>IF(C1="",'数据-汇总表'!E3,SUMIF(项目类型,C1,'数据-汇总表'!E17:E26))</f>
        <v>232.53</v>
      </c>
    </row>
    <row r="19" spans="1:35" ht="15">
      <c r="A19" s="2426" t="s">
        <v>2144</v>
      </c>
      <c r="B19" s="2427" t="s">
        <v>2145</v>
      </c>
      <c r="C19" s="143">
        <f ca="1">SUMIF(INDIRECT("'"&amp;C4&amp;"'"&amp;"!A:A"),结果表!B19,INDIRECT("'"&amp;C4&amp;"'"&amp;"!B:B"))</f>
        <v>2175</v>
      </c>
      <c r="D19" s="144">
        <f ca="1">SUMIF(INDIRECT("'"&amp;D4&amp;"'"&amp;"!A:A"),结果表!B19,INDIRECT("'"&amp;D4&amp;"'"&amp;"!B:B"))</f>
        <v>2952</v>
      </c>
      <c r="E19" s="2426" t="s">
        <v>2146</v>
      </c>
      <c r="F19" s="2427" t="s">
        <v>2145</v>
      </c>
      <c r="G19" s="145">
        <f ca="1">ROUND(C19*$C$18+D19*$D$18,0)</f>
        <v>2330</v>
      </c>
      <c r="H19" s="2428" t="s">
        <v>2147</v>
      </c>
      <c r="I19" s="138"/>
      <c r="K19" s="2420" t="s">
        <v>2148</v>
      </c>
      <c r="L19" s="2420">
        <f>IF(C1="",'数据-汇总表'!D3,SUMIF(项目类型,C1,'数据-汇总表'!D17:D26)+SUMIF(项目类型,C1,'数据-汇总表'!H17:H27))</f>
        <v>377.51</v>
      </c>
      <c r="M19" s="2420">
        <f>IF(C1="",'数据-汇总表'!D3,SUMIF(项目类型,C1,'数据-汇总表'!D17:D26))</f>
        <v>377.51</v>
      </c>
    </row>
    <row r="20" spans="1:35" ht="15">
      <c r="A20" s="2429"/>
      <c r="B20" s="1247" t="s">
        <v>2149</v>
      </c>
      <c r="C20" s="146">
        <f ca="1">SUMIF(INDIRECT("'"&amp;C4&amp;"'"&amp;"!A:A"),结果表!B20,INDIRECT("'"&amp;C4&amp;"'"&amp;"!B:B"))</f>
        <v>93519</v>
      </c>
      <c r="D20" s="147">
        <f ca="1">SUMIF(INDIRECT("'"&amp;D4&amp;"'"&amp;"!A:A"),结果表!B20,INDIRECT("'"&amp;D4&amp;"'"&amp;"!B:B"))</f>
        <v>126951</v>
      </c>
      <c r="E20" s="2429"/>
      <c r="F20" s="1247" t="s">
        <v>2149</v>
      </c>
      <c r="G20" s="148">
        <f ca="1">ROUND(C20*$C$18+D20*$D$18,0)</f>
        <v>100205</v>
      </c>
      <c r="H20" s="980" t="s">
        <v>2150</v>
      </c>
      <c r="I20" s="138"/>
    </row>
    <row r="21" spans="1:35" ht="15" customHeight="1" thickBot="1">
      <c r="A21" s="1000"/>
      <c r="B21" s="2430" t="s">
        <v>2151</v>
      </c>
      <c r="C21" s="789">
        <f ca="1">ROUND(C19*10000/L19,0)</f>
        <v>57614</v>
      </c>
      <c r="D21" s="790">
        <f ca="1">ROUND(D19*10000/L19,0)</f>
        <v>78197</v>
      </c>
      <c r="E21" s="1000"/>
      <c r="F21" s="2430" t="s">
        <v>2151</v>
      </c>
      <c r="G21" s="149">
        <f ca="1">ROUND(G19*10000/L19,0)</f>
        <v>61720</v>
      </c>
      <c r="H21" s="2431" t="s">
        <v>2150</v>
      </c>
      <c r="I21" s="138"/>
    </row>
    <row r="22" spans="1:35" ht="15" thickBot="1">
      <c r="A22" s="2273" t="s">
        <v>2152</v>
      </c>
      <c r="B22" s="2432"/>
      <c r="C22" s="2433"/>
      <c r="D22" s="791">
        <f ca="1">IF(C19&lt;D19,D19/C19-1,C19/D19-1)</f>
        <v>0.35724137931034483</v>
      </c>
      <c r="E22" s="138"/>
      <c r="F22" s="138"/>
      <c r="G22" s="138"/>
      <c r="H22" s="138"/>
      <c r="I22" s="138"/>
    </row>
    <row r="23" spans="1:35" ht="13.5" thickBot="1">
      <c r="A23" s="2410"/>
      <c r="B23" s="2410"/>
      <c r="C23" s="2410"/>
      <c r="D23" s="2410"/>
      <c r="E23" s="138"/>
      <c r="F23" s="138"/>
      <c r="G23" s="138"/>
      <c r="H23" s="138"/>
      <c r="I23" s="138"/>
    </row>
    <row r="24" spans="1:35" ht="14.25">
      <c r="A24" s="3065" t="s">
        <v>2153</v>
      </c>
      <c r="B24" s="2427" t="s">
        <v>2145</v>
      </c>
      <c r="C24" s="145">
        <f>IF(B30=0,0,D30)</f>
        <v>0</v>
      </c>
      <c r="D24" s="2434"/>
      <c r="E24" s="138"/>
      <c r="F24" s="138"/>
      <c r="G24" s="138"/>
      <c r="H24" s="138"/>
      <c r="I24" s="138"/>
    </row>
    <row r="25" spans="1:35" ht="14.25">
      <c r="A25" s="3066"/>
      <c r="B25" s="1247" t="s">
        <v>2149</v>
      </c>
      <c r="C25" s="150">
        <f>IF(B30=0,0,C30)</f>
        <v>0</v>
      </c>
      <c r="D25" s="2435"/>
      <c r="E25" s="138"/>
      <c r="F25" s="138"/>
      <c r="G25" s="138"/>
      <c r="H25" s="138"/>
      <c r="I25" s="138"/>
    </row>
    <row r="26" spans="1:35" ht="13.5" customHeight="1">
      <c r="A26" s="2436" t="s">
        <v>2154</v>
      </c>
      <c r="B26" s="151" t="s">
        <v>2155</v>
      </c>
      <c r="C26" s="151" t="s">
        <v>2156</v>
      </c>
      <c r="D26" s="152" t="s">
        <v>2157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2158</v>
      </c>
      <c r="B30" s="151"/>
      <c r="C30" s="151"/>
      <c r="D30" s="151"/>
      <c r="E30" s="2907" t="s">
        <v>3033</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2159</v>
      </c>
      <c r="B32" s="2440"/>
      <c r="C32" s="153">
        <f ca="1">IF(D32="总价",G19-C24,G20-C25)</f>
        <v>2330</v>
      </c>
      <c r="D32" s="2441" t="s">
        <v>2160</v>
      </c>
      <c r="E32" s="138"/>
      <c r="F32" s="138"/>
      <c r="G32" s="138"/>
      <c r="H32" s="138"/>
      <c r="I32" s="138"/>
    </row>
    <row r="33" spans="1:15" ht="15">
      <c r="A33" s="957" t="s">
        <v>2161</v>
      </c>
      <c r="B33" s="2442"/>
      <c r="C33" s="2443"/>
      <c r="D33" s="2444"/>
      <c r="E33" s="2445" t="s">
        <v>2162</v>
      </c>
      <c r="F33" s="2446" t="str">
        <f>IF(D32="楼面单价","取值（单价）","取值（总价）")</f>
        <v>取值（总价）</v>
      </c>
      <c r="G33" s="138"/>
      <c r="H33" s="138"/>
      <c r="I33" s="138"/>
    </row>
    <row r="34" spans="1:15" ht="15">
      <c r="A34" s="2447"/>
      <c r="B34" s="2448"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49" t="s">
        <v>2164</v>
      </c>
      <c r="F34" s="1736"/>
      <c r="G34" s="138"/>
      <c r="H34" s="138"/>
      <c r="I34" s="138"/>
    </row>
    <row r="35" spans="1:15" ht="15.75" thickBot="1">
      <c r="A35" s="2450"/>
      <c r="B35" s="2451"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2" t="s">
        <v>2166</v>
      </c>
      <c r="F35" s="163"/>
      <c r="G35" s="138"/>
      <c r="H35" s="138"/>
      <c r="I35" s="138"/>
    </row>
    <row r="36" spans="1:15" ht="15.75" thickBot="1">
      <c r="A36" s="3083" t="s">
        <v>2167</v>
      </c>
      <c r="B36" s="2453" t="s">
        <v>2168</v>
      </c>
      <c r="C36" s="154"/>
      <c r="D36" s="2454"/>
      <c r="E36" s="2455"/>
      <c r="F36" s="2456"/>
      <c r="G36" s="138"/>
      <c r="H36" s="138"/>
      <c r="I36" s="138"/>
    </row>
    <row r="37" spans="1:15" ht="15.75" thickBot="1">
      <c r="A37" s="3084"/>
      <c r="B37" s="2259" t="s">
        <v>2169</v>
      </c>
      <c r="C37" s="156"/>
      <c r="D37" s="1392"/>
      <c r="E37" s="1392"/>
      <c r="F37" s="2456"/>
      <c r="G37" s="138"/>
      <c r="H37" s="138"/>
      <c r="I37" s="138"/>
    </row>
    <row r="38" spans="1:15" ht="15.75" thickBot="1">
      <c r="A38" s="3085"/>
      <c r="B38" s="2457" t="s">
        <v>2170</v>
      </c>
      <c r="C38" s="727"/>
      <c r="D38" s="2458" t="s">
        <v>2171</v>
      </c>
      <c r="E38" s="1392"/>
      <c r="F38" s="2456"/>
      <c r="G38" s="138"/>
      <c r="H38" s="138"/>
      <c r="I38" s="138"/>
    </row>
    <row r="39" spans="1:15" ht="15">
      <c r="A39" s="2429" t="s">
        <v>2172</v>
      </c>
      <c r="B39" s="2459" t="s">
        <v>2173</v>
      </c>
      <c r="C39" s="2460" t="s">
        <v>2174</v>
      </c>
      <c r="D39" s="2460" t="s">
        <v>2175</v>
      </c>
      <c r="E39" s="2461" t="s">
        <v>2176</v>
      </c>
      <c r="F39" s="2456"/>
      <c r="G39" s="138"/>
      <c r="H39" s="138"/>
      <c r="I39" s="138"/>
    </row>
    <row r="40" spans="1:15" ht="14.25">
      <c r="A40" s="2462" t="s">
        <v>2177</v>
      </c>
      <c r="B40" s="158"/>
      <c r="C40" s="159"/>
      <c r="D40" s="159"/>
      <c r="E40" s="160"/>
      <c r="F40" s="2456"/>
      <c r="G40" s="138"/>
      <c r="H40" s="138"/>
      <c r="I40" s="138"/>
    </row>
    <row r="41" spans="1:15" ht="14.25">
      <c r="A41" s="2462" t="s">
        <v>2178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2179</v>
      </c>
      <c r="B44" s="2467"/>
      <c r="C44" s="2467"/>
      <c r="D44" s="2468"/>
      <c r="E44" s="2468"/>
      <c r="F44" s="2469"/>
      <c r="G44" s="2469"/>
      <c r="H44" s="2469"/>
      <c r="I44" s="2469"/>
      <c r="J44" s="2470" t="s">
        <v>2180</v>
      </c>
      <c r="K44" s="2471"/>
      <c r="L44" s="2471"/>
      <c r="M44" s="2471"/>
      <c r="N44" s="2471"/>
      <c r="O44" s="2471"/>
    </row>
    <row r="45" spans="1:15" ht="14.25" customHeight="1" thickBot="1">
      <c r="A45" s="3062" t="s">
        <v>2181</v>
      </c>
      <c r="B45" s="3063"/>
      <c r="C45" s="3064"/>
      <c r="D45" s="164">
        <f ca="1">ROUND(H101*F45,0)</f>
        <v>2330</v>
      </c>
      <c r="E45" s="165" t="s">
        <v>2182</v>
      </c>
      <c r="F45" s="166">
        <v>1</v>
      </c>
      <c r="G45" s="167" t="s">
        <v>2183</v>
      </c>
      <c r="H45" s="138"/>
      <c r="I45" s="138"/>
      <c r="J45" s="3122" t="s">
        <v>2184</v>
      </c>
      <c r="K45" s="3122"/>
      <c r="L45" s="3122"/>
      <c r="M45" s="3122"/>
      <c r="N45" s="3122"/>
      <c r="O45" s="3122"/>
    </row>
    <row r="46" spans="1:15" ht="14.25" customHeight="1">
      <c r="A46" s="3059" t="s">
        <v>2185</v>
      </c>
      <c r="B46" s="3060"/>
      <c r="C46" s="3060"/>
      <c r="D46" s="3060"/>
      <c r="E46" s="3060"/>
      <c r="F46" s="3060"/>
      <c r="G46" s="3061"/>
      <c r="H46" s="2472"/>
      <c r="I46" s="168"/>
      <c r="J46" s="1801">
        <v>1</v>
      </c>
      <c r="K46" s="3122" t="s">
        <v>2186</v>
      </c>
      <c r="L46" s="3122"/>
      <c r="M46" s="3142"/>
      <c r="N46" s="3142"/>
      <c r="O46" s="3142"/>
    </row>
    <row r="47" spans="1:15" ht="12" customHeight="1">
      <c r="A47" s="169" t="s">
        <v>2187</v>
      </c>
      <c r="B47" s="170"/>
      <c r="C47" s="171"/>
      <c r="D47" s="172" t="s">
        <v>2188</v>
      </c>
      <c r="E47" s="24" t="s">
        <v>2189</v>
      </c>
      <c r="F47" s="173" t="s">
        <v>2190</v>
      </c>
      <c r="G47" s="174" t="s">
        <v>2191</v>
      </c>
      <c r="H47" s="2472"/>
      <c r="I47" s="168"/>
      <c r="J47" s="1801">
        <v>2</v>
      </c>
      <c r="K47" s="3122" t="s">
        <v>2192</v>
      </c>
      <c r="L47" s="3122"/>
      <c r="M47" s="3143">
        <f>'数据-取费表'!B2</f>
        <v>44032</v>
      </c>
      <c r="N47" s="3143"/>
      <c r="O47" s="3143"/>
    </row>
    <row r="48" spans="1:15" ht="25.5">
      <c r="A48" s="3090" t="s">
        <v>2193</v>
      </c>
      <c r="B48" s="3073"/>
      <c r="C48" s="3073"/>
      <c r="D48" s="140">
        <f>IF(H48="情况1",0,IF(H48="情况2",D52,IF(H48="情况3",D53,IF(H48="情况4",D54))))</f>
        <v>0</v>
      </c>
      <c r="E48" s="1790" t="str">
        <f>IF(H48="情况4","(销售额-原购置价)×税（费）率","销售额×税（费）率")</f>
        <v>销售额×税（费）率</v>
      </c>
      <c r="F48" s="175" t="str">
        <f>IF(H48="情况1","免征",'数据-取费表'!B41)</f>
        <v>免征</v>
      </c>
      <c r="G48" s="2473" t="s">
        <v>2194</v>
      </c>
      <c r="H48" s="2474" t="s">
        <v>2195</v>
      </c>
      <c r="I48" s="2472"/>
      <c r="J48" s="1801">
        <v>3</v>
      </c>
      <c r="K48" s="3122" t="s">
        <v>2196</v>
      </c>
      <c r="L48" s="3122"/>
      <c r="M48" s="3144">
        <f ca="1">H101</f>
        <v>2330</v>
      </c>
      <c r="N48" s="3144"/>
      <c r="O48" s="3144"/>
    </row>
    <row r="49" spans="1:35" ht="25.5" customHeight="1">
      <c r="A49" s="176" t="s">
        <v>2197</v>
      </c>
      <c r="B49" s="3058" t="s">
        <v>2198</v>
      </c>
      <c r="C49" s="3058"/>
      <c r="D49" s="177">
        <v>0</v>
      </c>
      <c r="E49" s="23" t="s">
        <v>2199</v>
      </c>
      <c r="F49" s="28" t="s">
        <v>34</v>
      </c>
      <c r="G49" s="3128"/>
      <c r="H49" s="138"/>
      <c r="I49" s="2475"/>
      <c r="J49" s="1801">
        <v>4</v>
      </c>
      <c r="K49" s="3122" t="str">
        <f>IF(项目基本情况!E8="房地产抵押价值","房地产抵押价值","抵押担保权已注销时的房地产抵押价值")</f>
        <v>房地产抵押价值</v>
      </c>
      <c r="L49" s="3122"/>
      <c r="M49" s="3144">
        <f ca="1">IF(项目基本情况!E8="房地产抵押价值",H107,H109)</f>
        <v>2330</v>
      </c>
      <c r="N49" s="3144"/>
      <c r="O49" s="3144"/>
    </row>
    <row r="50" spans="1:35" ht="25.5" customHeight="1">
      <c r="A50" s="178"/>
      <c r="B50" s="3058" t="s">
        <v>2200</v>
      </c>
      <c r="C50" s="3058"/>
      <c r="D50" s="179"/>
      <c r="E50" s="31"/>
      <c r="F50" s="180"/>
      <c r="G50" s="3129"/>
      <c r="H50" s="138"/>
      <c r="I50" s="2475"/>
      <c r="J50" s="3122" t="s">
        <v>2201</v>
      </c>
      <c r="K50" s="3122"/>
      <c r="L50" s="3122"/>
      <c r="M50" s="3122"/>
      <c r="N50" s="3122"/>
      <c r="O50" s="3122"/>
    </row>
    <row r="51" spans="1:35" ht="12" customHeight="1">
      <c r="A51" s="181"/>
      <c r="B51" s="3058" t="s">
        <v>2202</v>
      </c>
      <c r="C51" s="3058"/>
      <c r="D51" s="182"/>
      <c r="E51" s="30"/>
      <c r="F51" s="180"/>
      <c r="G51" s="3130"/>
      <c r="H51" s="138"/>
      <c r="I51" s="2475"/>
      <c r="J51" s="2476" t="s">
        <v>2203</v>
      </c>
      <c r="K51" s="3122" t="s">
        <v>2204</v>
      </c>
      <c r="L51" s="3122"/>
      <c r="M51" s="2476" t="s">
        <v>2205</v>
      </c>
      <c r="N51" s="2476" t="s">
        <v>2206</v>
      </c>
      <c r="O51" s="2476" t="s">
        <v>2207</v>
      </c>
    </row>
    <row r="52" spans="1:35" ht="24" customHeight="1">
      <c r="A52" s="183" t="s">
        <v>2208</v>
      </c>
      <c r="B52" s="3058" t="s">
        <v>2209</v>
      </c>
      <c r="C52" s="3058"/>
      <c r="D52" s="182">
        <f ca="1">ROUND(D45*'数据-取费表'!B41/(1+'数据-取费表'!C42),0)</f>
        <v>122</v>
      </c>
      <c r="E52" s="11" t="s">
        <v>2210</v>
      </c>
      <c r="F52" s="184">
        <f>'数据-取费表'!B41</f>
        <v>5.5000000000000007E-2</v>
      </c>
      <c r="G52" s="2477"/>
      <c r="H52" s="138"/>
      <c r="I52" s="2475"/>
      <c r="J52" s="1801">
        <v>1</v>
      </c>
      <c r="K52" s="3123" t="s">
        <v>2211</v>
      </c>
      <c r="L52" s="3123"/>
      <c r="M52" s="1743">
        <f>D48</f>
        <v>0</v>
      </c>
      <c r="N52" s="1801" t="str">
        <f>E48</f>
        <v>销售额×税（费）率</v>
      </c>
      <c r="O52" s="1744" t="str">
        <f>F48</f>
        <v>免征</v>
      </c>
    </row>
    <row r="53" spans="1:35" ht="12" customHeight="1">
      <c r="A53" s="183" t="s">
        <v>2212</v>
      </c>
      <c r="B53" s="3081" t="s">
        <v>2213</v>
      </c>
      <c r="C53" s="3082"/>
      <c r="D53" s="182">
        <f ca="1">ROUND(D45*'数据-取费表'!B41/(1+'数据-取费表'!C42),0)</f>
        <v>122</v>
      </c>
      <c r="E53" s="11" t="s">
        <v>2210</v>
      </c>
      <c r="F53" s="184">
        <f>'数据-取费表'!B41</f>
        <v>5.5000000000000007E-2</v>
      </c>
      <c r="G53" s="2477"/>
      <c r="H53" s="138"/>
      <c r="I53" s="2475"/>
      <c r="J53" s="1801">
        <v>2</v>
      </c>
      <c r="K53" s="3123" t="s">
        <v>2214</v>
      </c>
      <c r="L53" s="3123"/>
      <c r="M53" s="1743">
        <f t="shared" ref="M53:O54" ca="1" si="0">D55</f>
        <v>1</v>
      </c>
      <c r="N53" s="1801" t="str">
        <f t="shared" si="0"/>
        <v>销售额×税（费）率</v>
      </c>
      <c r="O53" s="1744">
        <f t="shared" si="0"/>
        <v>5.0000000000000001E-4</v>
      </c>
    </row>
    <row r="54" spans="1:35" ht="12" customHeight="1">
      <c r="A54" s="183" t="s">
        <v>2215</v>
      </c>
      <c r="B54" s="3081" t="s">
        <v>2216</v>
      </c>
      <c r="C54" s="3082"/>
      <c r="D54" s="182">
        <f ca="1">C68</f>
        <v>122</v>
      </c>
      <c r="E54" s="30" t="s">
        <v>2217</v>
      </c>
      <c r="F54" s="184">
        <f>'数据-取费表'!B41</f>
        <v>5.5000000000000007E-2</v>
      </c>
      <c r="G54" s="2477"/>
      <c r="H54" s="2478"/>
      <c r="I54" s="2475"/>
      <c r="J54" s="1801">
        <v>3</v>
      </c>
      <c r="K54" s="3123" t="s">
        <v>2218</v>
      </c>
      <c r="L54" s="3123"/>
      <c r="M54" s="1743">
        <f t="shared" ca="1" si="0"/>
        <v>1321</v>
      </c>
      <c r="N54" s="1801" t="str">
        <f t="shared" si="0"/>
        <v>增值额×税（费）率</v>
      </c>
      <c r="O54" s="1745" t="str">
        <f t="shared" si="0"/>
        <v>——</v>
      </c>
    </row>
    <row r="55" spans="1:35" ht="24" customHeight="1">
      <c r="A55" s="3072" t="s">
        <v>2219</v>
      </c>
      <c r="B55" s="3073"/>
      <c r="C55" s="3073"/>
      <c r="D55" s="185">
        <f ca="1">IF(H55="个人住宅",0,ROUND(D45*I55,0))</f>
        <v>1</v>
      </c>
      <c r="E55" s="11" t="s">
        <v>2220</v>
      </c>
      <c r="F55" s="184">
        <f>IF(H55="正常",I55,"免征")</f>
        <v>5.0000000000000001E-4</v>
      </c>
      <c r="G55" s="2477"/>
      <c r="H55" s="2474" t="s">
        <v>2221</v>
      </c>
      <c r="I55" s="186">
        <f>'数据-取费表'!B49</f>
        <v>5.0000000000000001E-4</v>
      </c>
      <c r="J55" s="1801" t="str">
        <f>IF(H59="非个人房产","",4)</f>
        <v/>
      </c>
      <c r="K55" s="3123" t="str">
        <f>IF(H59="非个人房产","——","个人所得税")</f>
        <v>——</v>
      </c>
      <c r="L55" s="3123"/>
      <c r="M55" s="1746" t="str">
        <f>D59</f>
        <v>——</v>
      </c>
      <c r="N55" s="1799" t="str">
        <f>E59</f>
        <v>——</v>
      </c>
      <c r="O55" s="1747" t="str">
        <f>F59</f>
        <v>——</v>
      </c>
    </row>
    <row r="56" spans="1:35" ht="24.75">
      <c r="A56" s="3072" t="s">
        <v>2222</v>
      </c>
      <c r="B56" s="3073"/>
      <c r="C56" s="3073"/>
      <c r="D56" s="185">
        <f ca="1">IF(H56="个人住宅",D57,D58)</f>
        <v>1321</v>
      </c>
      <c r="E56" s="11" t="s">
        <v>2223</v>
      </c>
      <c r="F56" s="184" t="str">
        <f>IF(H56="正常",F58,"免征")</f>
        <v>——</v>
      </c>
      <c r="G56" s="2479" t="s">
        <v>2224</v>
      </c>
      <c r="H56" s="2480" t="s">
        <v>2221</v>
      </c>
      <c r="I56" s="2481"/>
      <c r="J56" s="1801" t="str">
        <f>IF(项目基本情况!K6="上海银行",IF(J55="",4,J55+1),"")</f>
        <v/>
      </c>
      <c r="K56" s="3146" t="str">
        <f>IF(项目基本情况!K6="上海银行","其他处置费用","")</f>
        <v/>
      </c>
      <c r="L56" s="3147"/>
      <c r="M56" s="1743" t="str">
        <f>IF(项目基本情况!K6="上海银行",M69,"")</f>
        <v/>
      </c>
      <c r="N56" s="3149" t="str">
        <f>IF(项目基本情况!K6="上海银行","包含处置中涉及的律师、诉讼、拍卖、评估等费用","")</f>
        <v/>
      </c>
      <c r="O56" s="3150"/>
    </row>
    <row r="57" spans="1:35" ht="12.75">
      <c r="A57" s="183" t="s">
        <v>2197</v>
      </c>
      <c r="B57" s="3088" t="s">
        <v>2225</v>
      </c>
      <c r="C57" s="3097"/>
      <c r="D57" s="187">
        <v>0</v>
      </c>
      <c r="E57" s="23" t="s">
        <v>2199</v>
      </c>
      <c r="F57" s="155"/>
      <c r="G57" s="2477"/>
      <c r="H57" s="2481"/>
      <c r="I57" s="2481"/>
      <c r="J57" s="3123">
        <f>IF(AND(J55="",J56=""),4,IF(项目基本情况!K6="上海银行",结果表!J56+1,结果表!J55+1))</f>
        <v>4</v>
      </c>
      <c r="K57" s="3123" t="s">
        <v>2226</v>
      </c>
      <c r="L57" s="2482" t="s">
        <v>2227</v>
      </c>
      <c r="M57" s="1748"/>
      <c r="N57" s="1749">
        <f ca="1">SUMIF(M52:M56,"&lt;9e307")</f>
        <v>1322</v>
      </c>
      <c r="O57" s="2483"/>
      <c r="P57" s="1742">
        <f ca="1">N57/M49</f>
        <v>0.567381974248927</v>
      </c>
    </row>
    <row r="58" spans="1:35" ht="24.75">
      <c r="A58" s="183" t="s">
        <v>2208</v>
      </c>
      <c r="B58" s="3088" t="s">
        <v>2228</v>
      </c>
      <c r="C58" s="3089"/>
      <c r="D58" s="185">
        <f ca="1">IF(H58="转让取得",C81,C97)</f>
        <v>1321</v>
      </c>
      <c r="E58" s="11" t="s">
        <v>2223</v>
      </c>
      <c r="F58" s="24" t="s">
        <v>34</v>
      </c>
      <c r="G58" s="2477"/>
      <c r="H58" s="2480" t="s">
        <v>2229</v>
      </c>
      <c r="I58" s="2481"/>
      <c r="J58" s="3123"/>
      <c r="K58" s="3123"/>
      <c r="L58" s="2482" t="s">
        <v>2230</v>
      </c>
      <c r="M58" s="1750"/>
      <c r="N58" s="2484" t="str">
        <f ca="1">NUMBERSTRING(INT(N57*10000),2)&amp;"元整"</f>
        <v>壹仟叁佰贰拾贰万元整</v>
      </c>
      <c r="O58" s="2485"/>
    </row>
    <row r="59" spans="1:35" ht="24.75" thickBot="1">
      <c r="A59" s="3126" t="s">
        <v>2231</v>
      </c>
      <c r="B59" s="3127"/>
      <c r="C59" s="3127"/>
      <c r="D59" s="188" t="str">
        <f>IF(H59="非个人房产","——",IF(H59="个人住宅",0,ROUND(D45*I59,0)))</f>
        <v>——</v>
      </c>
      <c r="E59" s="189" t="str">
        <f>IF(H59="非个人房产","——","销售额×税（费）率")</f>
        <v>——</v>
      </c>
      <c r="F59" s="190" t="str">
        <f>IF(H59="非个人房产","——",IF(H59="个人住宅","免征",I59))</f>
        <v>——</v>
      </c>
      <c r="G59" s="2486" t="s">
        <v>2224</v>
      </c>
      <c r="H59" s="2480" t="s">
        <v>2232</v>
      </c>
      <c r="I59" s="191">
        <v>0.01</v>
      </c>
      <c r="J59" s="3124">
        <f>J57+1</f>
        <v>5</v>
      </c>
      <c r="K59" s="3123" t="s">
        <v>2233</v>
      </c>
      <c r="L59" s="1801" t="s">
        <v>2227</v>
      </c>
      <c r="M59" s="1751"/>
      <c r="N59" s="1752">
        <f ca="1">M49-N57</f>
        <v>1008</v>
      </c>
      <c r="O59" s="2487"/>
    </row>
    <row r="60" spans="1:35" ht="12" customHeight="1">
      <c r="A60" s="2488"/>
      <c r="B60" s="2410"/>
      <c r="C60" s="2410"/>
      <c r="D60" s="2410"/>
      <c r="E60" s="2158"/>
      <c r="F60" s="2481"/>
      <c r="G60" s="2481"/>
      <c r="H60" s="2489"/>
      <c r="I60" s="138"/>
      <c r="J60" s="3125"/>
      <c r="K60" s="3123"/>
      <c r="L60" s="2482" t="s">
        <v>2230</v>
      </c>
      <c r="M60" s="1750"/>
      <c r="N60" s="2484" t="str">
        <f ca="1">NUMBERSTRING(INT(N59*10000),2)&amp;"元整"</f>
        <v>壹仟零捌万元整</v>
      </c>
      <c r="O60" s="2485"/>
    </row>
    <row r="61" spans="1:35" ht="13.5" thickBot="1">
      <c r="A61" s="3070" t="s">
        <v>2234</v>
      </c>
      <c r="B61" s="3070"/>
      <c r="C61" s="3070"/>
      <c r="D61" s="3070"/>
      <c r="E61" s="3070"/>
      <c r="F61" s="2481"/>
      <c r="G61" s="2481"/>
      <c r="H61" s="2489"/>
      <c r="I61" s="138"/>
      <c r="J61" s="1801">
        <f>J59+1</f>
        <v>6</v>
      </c>
      <c r="K61" s="3123" t="s">
        <v>2235</v>
      </c>
      <c r="L61" s="3123"/>
      <c r="M61" s="1753"/>
      <c r="N61" s="1754">
        <f ca="1">ROUND(N59*10000/'数据-汇总表'!E3,0)</f>
        <v>43349</v>
      </c>
      <c r="O61" s="2490"/>
    </row>
    <row r="62" spans="1:35" ht="12.75">
      <c r="A62" s="3086" t="s">
        <v>2236</v>
      </c>
      <c r="B62" s="3087"/>
      <c r="C62" s="1793"/>
      <c r="D62" s="1793" t="s">
        <v>2237</v>
      </c>
      <c r="E62" s="192" t="s">
        <v>2238</v>
      </c>
      <c r="F62" s="2481"/>
      <c r="G62" s="2481"/>
      <c r="H62" s="2489"/>
      <c r="I62" s="138"/>
    </row>
    <row r="63" spans="1:35" ht="12.75">
      <c r="A63" s="203" t="s">
        <v>775</v>
      </c>
      <c r="B63" s="193" t="s">
        <v>2239</v>
      </c>
      <c r="C63" s="194">
        <f ca="1">ROUND((C64+C65)/(1+'数据-取费表'!C42),0)</f>
        <v>2219</v>
      </c>
      <c r="D63" s="195"/>
      <c r="E63" s="196"/>
      <c r="F63" s="2481"/>
      <c r="G63" s="2481"/>
      <c r="H63" s="2489"/>
      <c r="I63" s="138"/>
      <c r="J63" s="3148" t="s">
        <v>2240</v>
      </c>
      <c r="K63" s="2491" t="s">
        <v>2241</v>
      </c>
      <c r="L63" s="1741">
        <f ca="1">IF(M49&gt;10000,M49*0.5%,IF(AND(M49&gt;1000,M49&lt;=10000),M49*1%,IF(AND(M49&gt;100,M49&lt;=1000),M49*3%,IF(AND(M49&gt;10,M49&lt;=100),M49*5%,M49*8%))))</f>
        <v>23.3</v>
      </c>
      <c r="M63" s="24">
        <f ca="1">ROUND(L63,1)</f>
        <v>23.3</v>
      </c>
      <c r="Z63" s="2415"/>
      <c r="AI63" s="2416"/>
    </row>
    <row r="64" spans="1:35" ht="14.25" customHeight="1">
      <c r="A64" s="197" t="s">
        <v>770</v>
      </c>
      <c r="B64" s="198" t="s">
        <v>2242</v>
      </c>
      <c r="C64" s="199">
        <f ca="1">D45</f>
        <v>2330</v>
      </c>
      <c r="D64" s="200" t="s">
        <v>32</v>
      </c>
      <c r="E64" s="201"/>
      <c r="F64" s="2481"/>
      <c r="G64" s="2481"/>
      <c r="H64" s="2489"/>
      <c r="I64" s="138"/>
      <c r="J64" s="3148"/>
      <c r="K64" s="2491" t="s">
        <v>2243</v>
      </c>
      <c r="L64" s="1741">
        <f ca="1">IF(M49&gt;2000,M49*0.5%,IF(AND(M49&gt;1000,M49&lt;=2000),M49*0.6%,IF(AND(M49&gt;500,M49&lt;=1000),M49*0.7%,IF(AND(M49&gt;200,M49&lt;=500),M49*0.8%,IF(AND(M49&gt;100,M49&lt;=200),M49*0.9%,IF(AND(M49&gt;50,M49&lt;=100),M49*1%,IF(AND(M49&gt;20,M49&lt;=50),M49*1.5%,IF(AND(M49&gt;10,M49&lt;=20),M49*2%,IF(AND(M49&gt;1,M49&lt;=10),M49*2.5%)))))))))</f>
        <v>11.65</v>
      </c>
      <c r="M64" s="24">
        <f t="shared" ref="M64:M65" ca="1" si="1">ROUND(L64,1)</f>
        <v>11.7</v>
      </c>
      <c r="N64" s="138" t="s">
        <v>2244</v>
      </c>
      <c r="Z64" s="2415"/>
      <c r="AI64" s="2416"/>
    </row>
    <row r="65" spans="1:35" ht="14.25" customHeight="1">
      <c r="A65" s="197" t="s">
        <v>771</v>
      </c>
      <c r="B65" s="198" t="s">
        <v>2245</v>
      </c>
      <c r="C65" s="202"/>
      <c r="D65" s="200"/>
      <c r="E65" s="201"/>
      <c r="F65" s="2481"/>
      <c r="G65" s="2481"/>
      <c r="H65" s="2489"/>
      <c r="I65" s="138"/>
      <c r="J65" s="3148"/>
      <c r="K65" s="2491" t="s">
        <v>2246</v>
      </c>
      <c r="L65" s="1741">
        <f ca="1">IF(M49&gt;1000,M49*0.1%,IF(AND(M49&gt;500,M49&lt;=1000),M49*0.5%,IF(AND(M49&gt;50,M49&lt;=500),M49*1%,IF(AND(M49&gt;1,M49&lt;=50),M49*1.5%))))</f>
        <v>2.33</v>
      </c>
      <c r="M65" s="24">
        <f t="shared" ca="1" si="1"/>
        <v>2.2999999999999998</v>
      </c>
      <c r="N65" s="138" t="s">
        <v>2244</v>
      </c>
      <c r="Z65" s="2415"/>
      <c r="AI65" s="2416"/>
    </row>
    <row r="66" spans="1:35" ht="14.25" customHeight="1">
      <c r="A66" s="203" t="s">
        <v>772</v>
      </c>
      <c r="B66" s="204" t="s">
        <v>2247</v>
      </c>
      <c r="C66" s="205"/>
      <c r="D66" s="206" t="s">
        <v>32</v>
      </c>
      <c r="E66" s="1765" t="s">
        <v>1366</v>
      </c>
      <c r="F66" s="2481"/>
      <c r="G66" s="2481"/>
      <c r="H66" s="2489"/>
      <c r="I66" s="138"/>
      <c r="J66" s="3148"/>
      <c r="K66" s="2491" t="s">
        <v>2248</v>
      </c>
      <c r="L66" s="1741">
        <f ca="1">M49*0.5%</f>
        <v>11.65</v>
      </c>
      <c r="M66" s="24">
        <f ca="1">IF(L66&gt;0.5,0.5,ROUND(L66,0))</f>
        <v>0.5</v>
      </c>
      <c r="N66" s="138" t="s">
        <v>2249</v>
      </c>
      <c r="Z66" s="2415"/>
      <c r="AI66" s="2416"/>
    </row>
    <row r="67" spans="1:35" ht="14.25" customHeight="1">
      <c r="A67" s="203" t="s">
        <v>773</v>
      </c>
      <c r="B67" s="204" t="s">
        <v>2250</v>
      </c>
      <c r="C67" s="207">
        <f ca="1">C63-C66</f>
        <v>2219</v>
      </c>
      <c r="D67" s="200" t="s">
        <v>32</v>
      </c>
      <c r="E67" s="201"/>
      <c r="F67" s="2481"/>
      <c r="G67" s="2481"/>
      <c r="H67" s="2489"/>
      <c r="I67" s="138"/>
      <c r="J67" s="3148"/>
      <c r="K67" s="2491" t="s">
        <v>2251</v>
      </c>
      <c r="L67" s="174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5"/>
      <c r="AI67" s="2416"/>
    </row>
    <row r="68" spans="1:35" ht="14.25" customHeight="1" thickBot="1">
      <c r="A68" s="208" t="s">
        <v>774</v>
      </c>
      <c r="B68" s="209" t="s">
        <v>2252</v>
      </c>
      <c r="C68" s="210">
        <f ca="1">IF(C67&lt;=0,0,ROUND(C67*D68,0))</f>
        <v>122</v>
      </c>
      <c r="D68" s="211">
        <f>'数据-取费表'!B41</f>
        <v>5.5000000000000007E-2</v>
      </c>
      <c r="E68" s="212"/>
      <c r="F68" s="2481"/>
      <c r="G68" s="2481"/>
      <c r="H68" s="2489"/>
      <c r="I68" s="138"/>
      <c r="J68" s="3148"/>
      <c r="K68" s="2491" t="s">
        <v>2253</v>
      </c>
      <c r="L68" s="1741">
        <f ca="1">IF(M49&gt;10000,M49*0.5%,IF(AND(M49&gt;5000,M49&lt;=10000),M49*1%,IF(AND(M49&gt;1000,M49&lt;=5000),M49*2%,IF(AND(M49&gt;200,M49&lt;=1000),M49*3%,M49*5%))))</f>
        <v>46.6</v>
      </c>
      <c r="M68" s="24">
        <f ca="1">ROUND(L68,1)</f>
        <v>46.6</v>
      </c>
      <c r="Z68" s="2415"/>
      <c r="AI68" s="2416"/>
    </row>
    <row r="69" spans="1:35" s="2438" customFormat="1" ht="16.5" customHeight="1">
      <c r="A69" s="2492"/>
      <c r="B69" s="2493"/>
      <c r="C69" s="2494"/>
      <c r="D69" s="2495"/>
      <c r="E69" s="2496"/>
      <c r="F69" s="2158"/>
      <c r="G69" s="2158"/>
      <c r="H69" s="2157"/>
      <c r="I69" s="2410"/>
      <c r="J69" s="3148"/>
      <c r="K69" s="2491" t="s">
        <v>2254</v>
      </c>
      <c r="L69" s="2497"/>
      <c r="M69" s="24">
        <f ca="1">ROUND(SUM(M63:M68),0)</f>
        <v>87</v>
      </c>
      <c r="N69" s="1742">
        <f ca="1">M69/M49</f>
        <v>3.7339055793991417E-2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07" t="s">
        <v>2255</v>
      </c>
      <c r="B70" s="3108"/>
      <c r="C70" s="3108"/>
      <c r="D70" s="3108"/>
      <c r="E70" s="3108"/>
      <c r="F70" s="3108"/>
      <c r="G70" s="3108"/>
      <c r="H70" s="3108"/>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086" t="s">
        <v>2236</v>
      </c>
      <c r="B71" s="3087"/>
      <c r="C71" s="1793"/>
      <c r="D71" s="1793" t="s">
        <v>2237</v>
      </c>
      <c r="E71" s="213" t="s">
        <v>2238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2256</v>
      </c>
      <c r="C72" s="207">
        <f ca="1">ROUND(D45/(1+'数据-取费表'!C42),0)</f>
        <v>2219</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2257</v>
      </c>
      <c r="C73" s="207">
        <f ca="1">C74+C78</f>
        <v>11</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2258</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2259</v>
      </c>
      <c r="C75" s="218"/>
      <c r="D75" s="200" t="s">
        <v>32</v>
      </c>
      <c r="E75" s="219" t="s">
        <v>2260</v>
      </c>
      <c r="F75" s="2503" t="s">
        <v>2261</v>
      </c>
      <c r="G75" s="219" t="s">
        <v>2262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2263</v>
      </c>
      <c r="C76" s="200">
        <f>IF(F75="购房发票",ROUND(C75*H75*D76,0),0)</f>
        <v>0</v>
      </c>
      <c r="D76" s="222">
        <v>0.05</v>
      </c>
      <c r="E76" s="3081" t="s">
        <v>2264</v>
      </c>
      <c r="F76" s="3058"/>
      <c r="G76" s="3058"/>
      <c r="H76" s="3106"/>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5" t="s">
        <v>2267</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2268</v>
      </c>
      <c r="C78" s="225">
        <f ca="1">ROUND(D45*D78/(1+'数据-取费表'!C42),0)</f>
        <v>11</v>
      </c>
      <c r="D78" s="226">
        <f>'数据-取费表'!B43</f>
        <v>5.000000000000001E-3</v>
      </c>
      <c r="E78" s="3067" t="s">
        <v>2269</v>
      </c>
      <c r="F78" s="3068"/>
      <c r="G78" s="3068"/>
      <c r="H78" s="3077"/>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2270</v>
      </c>
      <c r="C79" s="207">
        <f ca="1">C72-C73</f>
        <v>2208</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2271</v>
      </c>
      <c r="C80" s="227">
        <f ca="1">IF(C79&lt;=0,0,C79/C73)</f>
        <v>200.72727272727272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2272</v>
      </c>
      <c r="C81" s="228">
        <f ca="1">ROUND(IF(C79&lt;=0,0,IF(C80&gt;=200%,C79*60%-C73*35%,IF(C80&gt;=100%,C79*50%-C73*15%,IF(C80&gt;=50%,C79*40%-C73*5%,IF(C80&lt;50%,C79*30%,0))))),0)</f>
        <v>1321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07" t="s">
        <v>2273</v>
      </c>
      <c r="B83" s="3108"/>
      <c r="C83" s="3108"/>
      <c r="D83" s="3108"/>
      <c r="E83" s="3108"/>
      <c r="F83" s="3108"/>
      <c r="G83" s="3108"/>
      <c r="H83" s="3108"/>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086" t="s">
        <v>2236</v>
      </c>
      <c r="B84" s="3087"/>
      <c r="C84" s="1793"/>
      <c r="D84" s="1793" t="s">
        <v>2237</v>
      </c>
      <c r="E84" s="213" t="s">
        <v>2238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2256</v>
      </c>
      <c r="C85" s="207">
        <f ca="1">ROUND(D45/(1+'数据-取费表'!C42),0)</f>
        <v>2219</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2257</v>
      </c>
      <c r="C86" s="207">
        <f ca="1">IF(H88="仅含出让金",C87+C90+C91+C92+C93+C94,C87+C91+C92+C93+C94)</f>
        <v>11</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2274</v>
      </c>
      <c r="C87" s="225">
        <f>C88+C89</f>
        <v>0</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2275</v>
      </c>
      <c r="C88" s="236"/>
      <c r="D88" s="226"/>
      <c r="E88" s="237" t="s">
        <v>2276</v>
      </c>
      <c r="F88" s="1789"/>
      <c r="G88" s="238" t="s">
        <v>2277</v>
      </c>
      <c r="H88" s="2509"/>
      <c r="I88" s="2504"/>
      <c r="J88" s="2957" t="s">
        <v>3055</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2265</v>
      </c>
      <c r="C89" s="225">
        <f>ROUND(C88*D89,0)</f>
        <v>0</v>
      </c>
      <c r="D89" s="226">
        <f>'数据-取费表'!B48+'数据-取费表'!B49</f>
        <v>3.0499999999999999E-2</v>
      </c>
      <c r="E89" s="237" t="s">
        <v>2278</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2279</v>
      </c>
      <c r="C90" s="236"/>
      <c r="D90" s="226"/>
      <c r="E90" s="237" t="str">
        <f>IF(H88="-","土地取得成本中已包含该笔费用"," ")</f>
        <v xml:space="preserve"> </v>
      </c>
      <c r="F90" s="1789"/>
      <c r="G90" s="3151" t="s">
        <v>3057</v>
      </c>
      <c r="H90" s="3152"/>
      <c r="I90" s="2504"/>
      <c r="J90" s="2957" t="s">
        <v>3056</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2280</v>
      </c>
      <c r="B91" s="198" t="s">
        <v>2281</v>
      </c>
      <c r="C91" s="225">
        <f>IF(H91="——",成本法!C33,I91)</f>
        <v>0</v>
      </c>
      <c r="D91" s="226"/>
      <c r="E91" s="3067" t="s">
        <v>2282</v>
      </c>
      <c r="F91" s="3068"/>
      <c r="G91" s="3068"/>
      <c r="H91" s="2510" t="s">
        <v>2283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2284</v>
      </c>
      <c r="B92" s="198" t="s">
        <v>2285</v>
      </c>
      <c r="C92" s="225">
        <f>ROUND((C87+C90+C91)*D92,0)</f>
        <v>0</v>
      </c>
      <c r="D92" s="226">
        <v>0.1</v>
      </c>
      <c r="E92" s="3067" t="s">
        <v>2286</v>
      </c>
      <c r="F92" s="3068"/>
      <c r="G92" s="3068"/>
      <c r="H92" s="3077"/>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2287</v>
      </c>
      <c r="B93" s="198" t="s">
        <v>2268</v>
      </c>
      <c r="C93" s="225">
        <f ca="1">ROUND(D45*D93/(1+'数据-取费表'!C42),0)</f>
        <v>11</v>
      </c>
      <c r="D93" s="226">
        <f>'数据-取费表'!B43</f>
        <v>5.000000000000001E-3</v>
      </c>
      <c r="E93" s="3067" t="s">
        <v>2269</v>
      </c>
      <c r="F93" s="3068"/>
      <c r="G93" s="3068"/>
      <c r="H93" s="3077"/>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2288</v>
      </c>
      <c r="B94" s="198" t="s">
        <v>2289</v>
      </c>
      <c r="C94" s="236">
        <f>ROUND((C87+C90+C91)*D94,0)</f>
        <v>0</v>
      </c>
      <c r="D94" s="226">
        <v>0.2</v>
      </c>
      <c r="E94" s="3078" t="s">
        <v>2290</v>
      </c>
      <c r="F94" s="3079"/>
      <c r="G94" s="3079"/>
      <c r="H94" s="3080"/>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2270</v>
      </c>
      <c r="C95" s="207">
        <f ca="1">ROUND(C85-C86,0)</f>
        <v>2208</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2271</v>
      </c>
      <c r="C96" s="227">
        <f ca="1">IF(C95&lt;=0,0,C95/C86)</f>
        <v>200.72727272727272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2272</v>
      </c>
      <c r="C97" s="228">
        <f ca="1">ROUND(IF(C95&lt;=0,0,IF(C96&gt;=200%,C95*60%-C86*35%,IF(C96&gt;=100%,C95*50%-C86*15%,IF(C96&gt;=50%,C95*40%-C86*5%,IF(C96&lt;50%,C95*30%,0))))),0)</f>
        <v>1321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2291</v>
      </c>
      <c r="B99" s="2410"/>
      <c r="C99" s="2410"/>
      <c r="D99" s="2410"/>
      <c r="E99" s="2158"/>
      <c r="F99" s="2158"/>
      <c r="G99" s="2158"/>
      <c r="H99" s="2157"/>
      <c r="I99" s="138"/>
    </row>
    <row r="100" spans="1:35" ht="18.75" customHeight="1">
      <c r="A100" s="3052" t="s">
        <v>2292</v>
      </c>
      <c r="B100" s="3053"/>
      <c r="C100" s="3053"/>
      <c r="D100" s="3069"/>
      <c r="E100" s="3053" t="s">
        <v>2293</v>
      </c>
      <c r="F100" s="3053"/>
      <c r="G100" s="3053"/>
      <c r="H100" s="3069"/>
      <c r="I100" s="138"/>
    </row>
    <row r="101" spans="1:35" ht="18.75" customHeight="1">
      <c r="A101" s="3131" t="s">
        <v>2294</v>
      </c>
      <c r="B101" s="3132"/>
      <c r="C101" s="736" t="str">
        <f>C4</f>
        <v>比较法-住宅</v>
      </c>
      <c r="D101" s="737" t="str">
        <f>D4</f>
        <v>成本法</v>
      </c>
      <c r="E101" s="3145" t="s">
        <v>2295</v>
      </c>
      <c r="F101" s="3099"/>
      <c r="G101" s="2512" t="s">
        <v>2296</v>
      </c>
      <c r="H101" s="1045">
        <f ca="1">H118</f>
        <v>2330</v>
      </c>
      <c r="I101" s="138"/>
    </row>
    <row r="102" spans="1:35" ht="18.75" customHeight="1">
      <c r="A102" s="3101" t="s">
        <v>2297</v>
      </c>
      <c r="B102" s="2512" t="s">
        <v>2296</v>
      </c>
      <c r="C102" s="736">
        <f ca="1">C19</f>
        <v>2175</v>
      </c>
      <c r="D102" s="737">
        <f ca="1">D19</f>
        <v>2952</v>
      </c>
      <c r="E102" s="3145"/>
      <c r="F102" s="3099"/>
      <c r="G102" s="2512" t="s">
        <v>2298</v>
      </c>
      <c r="H102" s="371">
        <f ca="1">I118</f>
        <v>100202</v>
      </c>
      <c r="I102" s="138"/>
    </row>
    <row r="103" spans="1:35" ht="42.75" customHeight="1">
      <c r="A103" s="3101"/>
      <c r="B103" s="2512" t="s">
        <v>2298</v>
      </c>
      <c r="C103" s="738">
        <f ca="1">C20</f>
        <v>93519</v>
      </c>
      <c r="D103" s="739">
        <f ca="1">D20</f>
        <v>126951</v>
      </c>
      <c r="E103" s="3140" t="s">
        <v>2299</v>
      </c>
      <c r="F103" s="3141"/>
      <c r="G103" s="2513" t="s">
        <v>2300</v>
      </c>
      <c r="H103" s="1045">
        <f>IF(D36="正常操作",H104+H105+H106,H105+H106)</f>
        <v>0</v>
      </c>
      <c r="I103" s="138"/>
    </row>
    <row r="104" spans="1:35" ht="18.75" customHeight="1">
      <c r="A104" s="3101" t="s">
        <v>2301</v>
      </c>
      <c r="B104" s="2514" t="s">
        <v>2296</v>
      </c>
      <c r="C104" s="740">
        <f ca="1">H118</f>
        <v>2330</v>
      </c>
      <c r="D104" s="741"/>
      <c r="E104" s="2259" t="s">
        <v>2302</v>
      </c>
      <c r="F104" s="2250"/>
      <c r="G104" s="2513" t="s">
        <v>2300</v>
      </c>
      <c r="H104" s="1046">
        <f>IF(D36="同一抵押权人同一抵押物续贷",C36&amp;"（未扣减，详见特别提示）",C36)</f>
        <v>0</v>
      </c>
      <c r="I104" s="138"/>
    </row>
    <row r="105" spans="1:35" ht="18.75" customHeight="1" thickBot="1">
      <c r="A105" s="3102"/>
      <c r="B105" s="2515" t="s">
        <v>2298</v>
      </c>
      <c r="C105" s="742">
        <f ca="1">I118</f>
        <v>100202</v>
      </c>
      <c r="D105" s="743"/>
      <c r="E105" s="2259" t="s">
        <v>2303</v>
      </c>
      <c r="F105" s="2250"/>
      <c r="G105" s="2513" t="s">
        <v>2300</v>
      </c>
      <c r="H105" s="1046">
        <f>C37</f>
        <v>0</v>
      </c>
      <c r="I105" s="138"/>
    </row>
    <row r="106" spans="1:35" ht="18.75" customHeight="1">
      <c r="A106" s="2410" t="s">
        <v>2304</v>
      </c>
      <c r="B106" s="2410"/>
      <c r="C106" s="2410"/>
      <c r="D106" s="2410"/>
      <c r="E106" s="2516" t="s">
        <v>2305</v>
      </c>
      <c r="F106" s="2250"/>
      <c r="G106" s="2513" t="s">
        <v>2300</v>
      </c>
      <c r="H106" s="1046">
        <f>C38</f>
        <v>0</v>
      </c>
      <c r="I106" s="138"/>
    </row>
    <row r="107" spans="1:35" ht="18.75" customHeight="1">
      <c r="A107" s="138"/>
      <c r="B107" s="138"/>
      <c r="C107" s="138"/>
      <c r="D107" s="138"/>
      <c r="E107" s="3098" t="str">
        <f>IF(项目基本情况!E8="已注销","——","3.房地产抵押价值")</f>
        <v>3.房地产抵押价值</v>
      </c>
      <c r="F107" s="3099"/>
      <c r="G107" s="2512" t="s">
        <v>2296</v>
      </c>
      <c r="H107" s="1045">
        <f ca="1">IF(E107="——","——",H101-H103)</f>
        <v>2330</v>
      </c>
      <c r="I107" s="138"/>
    </row>
    <row r="108" spans="1:35" ht="18.75" customHeight="1">
      <c r="A108" s="138"/>
      <c r="B108" s="138"/>
      <c r="C108" s="138"/>
      <c r="D108" s="138"/>
      <c r="E108" s="3098"/>
      <c r="F108" s="3099"/>
      <c r="G108" s="2512" t="s">
        <v>2298</v>
      </c>
      <c r="H108" s="371">
        <f ca="1">ROUND(H107*10000/'数据-汇总表'!E3,0)</f>
        <v>100202</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99"/>
      <c r="G109" s="2512" t="s">
        <v>2296</v>
      </c>
      <c r="H109" s="348" t="str">
        <f>IF(E109="——","——",H101-H105-H106)</f>
        <v>——</v>
      </c>
      <c r="I109" s="138"/>
    </row>
    <row r="110" spans="1:35" ht="18.75" customHeight="1">
      <c r="A110" s="138"/>
      <c r="B110" s="138"/>
      <c r="C110" s="138"/>
      <c r="D110" s="138"/>
      <c r="E110" s="3098"/>
      <c r="F110" s="3099"/>
      <c r="G110" s="2512" t="s">
        <v>2298</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12" t="s">
        <v>2296</v>
      </c>
      <c r="H111" s="1045" t="str">
        <f>IF(E111="——","——",N59)</f>
        <v>——</v>
      </c>
      <c r="I111" s="138"/>
    </row>
    <row r="112" spans="1:35" ht="18.75" customHeight="1" thickBot="1">
      <c r="A112" s="138"/>
      <c r="B112" s="138"/>
      <c r="C112" s="138"/>
      <c r="D112" s="138"/>
      <c r="E112" s="3135"/>
      <c r="F112" s="3136"/>
      <c r="G112" s="2517" t="s">
        <v>2298</v>
      </c>
      <c r="H112" s="790" t="str">
        <f>IF(E111="——","——",N61)</f>
        <v>——</v>
      </c>
      <c r="I112" s="138"/>
    </row>
    <row r="113" spans="1:11" ht="18.75" customHeight="1">
      <c r="A113" s="138"/>
      <c r="B113" s="138"/>
      <c r="C113" s="138"/>
      <c r="D113" s="138"/>
      <c r="E113" s="3103" t="s">
        <v>2304</v>
      </c>
      <c r="F113" s="3103"/>
      <c r="G113" s="3103"/>
      <c r="H113" s="3103"/>
      <c r="I113" s="138"/>
    </row>
    <row r="114" spans="1:11" ht="3.75" customHeight="1">
      <c r="A114" s="2410"/>
      <c r="B114" s="2410"/>
      <c r="C114" s="2410"/>
      <c r="D114" s="2410"/>
      <c r="E114" s="2488"/>
      <c r="F114" s="2488"/>
      <c r="G114" s="2488"/>
      <c r="H114" s="2488"/>
      <c r="I114" s="2410"/>
    </row>
    <row r="115" spans="1:11" ht="18.75" customHeight="1">
      <c r="A115" s="3116" t="s">
        <v>2306</v>
      </c>
      <c r="B115" s="3117"/>
      <c r="C115" s="3117"/>
      <c r="D115" s="3117"/>
      <c r="E115" s="3117"/>
      <c r="F115" s="3117"/>
      <c r="G115" s="3117"/>
      <c r="H115" s="3117"/>
      <c r="I115" s="3118"/>
    </row>
    <row r="116" spans="1:11" ht="27" customHeight="1">
      <c r="A116" s="3009" t="s">
        <v>2307</v>
      </c>
      <c r="B116" s="3104" t="s">
        <v>2308</v>
      </c>
      <c r="C116" s="3104" t="s">
        <v>2309</v>
      </c>
      <c r="D116" s="3120" t="s">
        <v>2310</v>
      </c>
      <c r="E116" s="3121"/>
      <c r="F116" s="3112" t="s">
        <v>2311</v>
      </c>
      <c r="G116" s="3112"/>
      <c r="H116" s="3009" t="s">
        <v>2312</v>
      </c>
      <c r="I116" s="3009"/>
    </row>
    <row r="117" spans="1:11" ht="18.75" customHeight="1">
      <c r="A117" s="3009"/>
      <c r="B117" s="3105"/>
      <c r="C117" s="3105"/>
      <c r="D117" s="1787" t="s">
        <v>2313</v>
      </c>
      <c r="E117" s="1787" t="s">
        <v>2314</v>
      </c>
      <c r="F117" s="1787" t="s">
        <v>2313</v>
      </c>
      <c r="G117" s="1787" t="s">
        <v>2315</v>
      </c>
      <c r="H117" s="1787" t="s">
        <v>2313</v>
      </c>
      <c r="I117" s="1787" t="s">
        <v>2315</v>
      </c>
    </row>
    <row r="118" spans="1:11" ht="24.75" customHeight="1">
      <c r="A118" s="2518" t="str">
        <f>项目基本情况!S2</f>
        <v>北京市房地产</v>
      </c>
      <c r="B118" s="1787">
        <f>M18</f>
        <v>232.53</v>
      </c>
      <c r="C118" s="1787">
        <f>M19</f>
        <v>377.51</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2330</v>
      </c>
      <c r="I118" s="1787">
        <f ca="1">ROUND(IF(D32="楼面单价",C32,H118*10000/B118),0)</f>
        <v>100202</v>
      </c>
    </row>
    <row r="119" spans="1:11" ht="18.75" customHeight="1">
      <c r="A119" s="3009" t="s">
        <v>2316</v>
      </c>
      <c r="B119" s="3009"/>
      <c r="C119" s="3009"/>
      <c r="D119" s="3109" t="e">
        <f ca="1">NUMBERSTRING(INT(D118*10000),2)&amp;"元整"</f>
        <v>#REF!</v>
      </c>
      <c r="E119" s="3111"/>
      <c r="F119" s="3109" t="e">
        <f ca="1">NUMBERSTRING(INT(F118*10000),2)&amp;"元整"</f>
        <v>#REF!</v>
      </c>
      <c r="G119" s="3111"/>
      <c r="H119" s="3109" t="str">
        <f ca="1">NUMBERSTRING(INT(H118*10000),2)&amp;"元整"</f>
        <v>贰仟叁佰叁拾万元整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15" t="str">
        <f>IF(D120=0,"故，本次评估不存在"&amp;A120,"故，本次评估"&amp;A120&amp;"为人民币"&amp;D120&amp;"万元整。")</f>
        <v>故，本次评估不存在估价师知悉的法定优先受偿款</v>
      </c>
    </row>
    <row r="121" spans="1:11" ht="18.75" customHeight="1">
      <c r="A121" s="3113" t="s">
        <v>2316</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2330</v>
      </c>
      <c r="E122" s="3138"/>
      <c r="F122" s="3138"/>
      <c r="G122" s="3138"/>
      <c r="H122" s="3138"/>
      <c r="I122" s="3139"/>
    </row>
    <row r="123" spans="1:11" ht="18.75" customHeight="1">
      <c r="A123" s="3009" t="s">
        <v>2316</v>
      </c>
      <c r="B123" s="3009"/>
      <c r="C123" s="3009"/>
      <c r="D123" s="3109" t="str">
        <f ca="1">NUMBERSTRING(INT(D122*10000),2)&amp;"元整"</f>
        <v>贰仟叁佰叁拾万元整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2316</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2316</v>
      </c>
      <c r="B127" s="3009"/>
      <c r="C127" s="3009"/>
      <c r="D127" s="3109" t="e">
        <f>NUMBERSTRING(INT(D126*10000),2)&amp;"元整"</f>
        <v>#VALUE!</v>
      </c>
      <c r="E127" s="3110"/>
      <c r="F127" s="3110"/>
      <c r="G127" s="3110"/>
      <c r="H127" s="3110"/>
      <c r="I127" s="3111"/>
    </row>
    <row r="128" spans="1:11" ht="21.75" customHeight="1">
      <c r="A128" s="3119" t="s">
        <v>2317</v>
      </c>
      <c r="B128" s="3119"/>
      <c r="C128" s="3119"/>
      <c r="D128" s="3119"/>
      <c r="E128" s="3119"/>
      <c r="F128" s="3119"/>
      <c r="G128" s="3119"/>
      <c r="H128" s="3119"/>
      <c r="I128" s="3119"/>
    </row>
    <row r="129" spans="1:35" ht="21.75" customHeight="1">
      <c r="A129" s="2519" t="s">
        <v>2318</v>
      </c>
      <c r="B129" s="2520"/>
      <c r="C129" s="2521" t="s">
        <v>2319</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2320</v>
      </c>
      <c r="G135" s="2536"/>
      <c r="H135" s="2536"/>
      <c r="I135" s="2537" t="s">
        <v>2321</v>
      </c>
    </row>
    <row r="136" spans="1:35" ht="21.75" customHeight="1">
      <c r="A136" s="795"/>
      <c r="B136" s="253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2323</v>
      </c>
    </row>
    <row r="139" spans="1:35" ht="21.75" customHeight="1">
      <c r="A139" s="795"/>
      <c r="B139" s="2538" t="s">
        <v>2324</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2323</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C47" sqref="C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2528</v>
      </c>
      <c r="C1" s="1634" t="s">
        <v>2529</v>
      </c>
      <c r="D1" s="1621" t="s">
        <v>3070</v>
      </c>
      <c r="E1" s="2577"/>
      <c r="F1" s="2578" t="s">
        <v>2530</v>
      </c>
      <c r="G1" s="1631" t="s">
        <v>2531</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f>IF(C2="——",ROUND(C49*D3/10000,0),ROUND(C49*D3/10000,0)-D2)</f>
        <v>2175</v>
      </c>
      <c r="C2" s="2580" t="s">
        <v>70</v>
      </c>
      <c r="D2" s="1365" t="e">
        <f ca="1">SUMIF(INDIRECT("'"&amp;F2&amp;"'"&amp;"!A:A"),"承租人权益价值",INDIRECT("'"&amp;F2&amp;"'"&amp;"!c:c"))</f>
        <v>#REF!</v>
      </c>
      <c r="E2" s="2581" t="s">
        <v>2532</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f>IF(C2="——",C49,ROUND(B2*10000/D3,0))</f>
        <v>93519</v>
      </c>
      <c r="C3" s="400" t="s">
        <v>2533</v>
      </c>
      <c r="D3" s="399">
        <f>IF(D1="",'数据-汇总表'!E3,SUMIF('数据-汇总表'!$C19:$C33,D1,'数据-汇总表'!$E19:$E33))</f>
        <v>232.53</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2534</v>
      </c>
      <c r="B4" s="402"/>
      <c r="C4" s="3171" t="s">
        <v>2535</v>
      </c>
      <c r="D4" s="3172"/>
      <c r="E4" s="3173" t="s">
        <v>2536</v>
      </c>
      <c r="F4" s="3174"/>
      <c r="G4" s="3171" t="s">
        <v>2537</v>
      </c>
      <c r="H4" s="3172"/>
      <c r="I4" s="3171" t="s">
        <v>2538</v>
      </c>
      <c r="J4" s="3172"/>
      <c r="K4" s="2590" t="s">
        <v>2539</v>
      </c>
      <c r="L4" s="1130"/>
      <c r="M4" s="1131"/>
      <c r="N4" s="1131"/>
      <c r="O4" s="1131"/>
      <c r="P4" s="3175" t="s">
        <v>2540</v>
      </c>
      <c r="Q4" s="3176"/>
      <c r="R4" s="3181" t="s">
        <v>2536</v>
      </c>
      <c r="S4" s="3182"/>
      <c r="T4" s="3181" t="s">
        <v>2537</v>
      </c>
      <c r="U4" s="3182"/>
      <c r="V4" s="3187" t="s">
        <v>2538</v>
      </c>
      <c r="W4" s="3187"/>
      <c r="X4" s="1805"/>
      <c r="Y4" s="3181" t="s">
        <v>2540</v>
      </c>
      <c r="Z4" s="3182"/>
      <c r="AA4" s="3168" t="s">
        <v>2536</v>
      </c>
      <c r="AB4" s="3168" t="s">
        <v>2537</v>
      </c>
      <c r="AC4" s="3168" t="s">
        <v>2538</v>
      </c>
    </row>
    <row r="5" spans="1:29" ht="15">
      <c r="A5" s="404"/>
      <c r="B5" s="405"/>
      <c r="C5" s="3190" t="s">
        <v>2541</v>
      </c>
      <c r="D5" s="3191"/>
      <c r="E5" s="3197" t="s">
        <v>2542</v>
      </c>
      <c r="F5" s="3198"/>
      <c r="G5" s="3190" t="s">
        <v>2543</v>
      </c>
      <c r="H5" s="3191"/>
      <c r="I5" s="3190" t="s">
        <v>2544</v>
      </c>
      <c r="J5" s="3191"/>
      <c r="K5" s="2591"/>
      <c r="L5" s="1130"/>
      <c r="M5" s="1131"/>
      <c r="N5" s="1131"/>
      <c r="O5" s="1131"/>
      <c r="P5" s="3177"/>
      <c r="Q5" s="3178"/>
      <c r="R5" s="3183"/>
      <c r="S5" s="3184"/>
      <c r="T5" s="3183"/>
      <c r="U5" s="3184"/>
      <c r="V5" s="3187"/>
      <c r="W5" s="3187"/>
      <c r="X5" s="1805"/>
      <c r="Y5" s="3183"/>
      <c r="Z5" s="3184"/>
      <c r="AA5" s="3169"/>
      <c r="AB5" s="3169"/>
      <c r="AC5" s="3169"/>
    </row>
    <row r="6" spans="1:29" ht="15.75" thickBot="1">
      <c r="A6" s="406"/>
      <c r="B6" s="407"/>
      <c r="C6" s="3188" t="s">
        <v>2545</v>
      </c>
      <c r="D6" s="3189"/>
      <c r="E6" s="3195" t="s">
        <v>2545</v>
      </c>
      <c r="F6" s="3196"/>
      <c r="G6" s="3188" t="s">
        <v>2545</v>
      </c>
      <c r="H6" s="3189"/>
      <c r="I6" s="3188" t="s">
        <v>2545</v>
      </c>
      <c r="J6" s="3189"/>
      <c r="K6" s="2591" t="s">
        <v>2546</v>
      </c>
      <c r="L6" s="1130"/>
      <c r="M6" s="1131"/>
      <c r="N6" s="1131"/>
      <c r="O6" s="1131"/>
      <c r="P6" s="3179"/>
      <c r="Q6" s="3180"/>
      <c r="R6" s="3183"/>
      <c r="S6" s="3184"/>
      <c r="T6" s="3185"/>
      <c r="U6" s="3186"/>
      <c r="V6" s="3187"/>
      <c r="W6" s="3187"/>
      <c r="X6" s="1805"/>
      <c r="Y6" s="3185"/>
      <c r="Z6" s="3186"/>
      <c r="AA6" s="3170"/>
      <c r="AB6" s="3170"/>
      <c r="AC6" s="3170"/>
    </row>
    <row r="7" spans="1:29" s="117" customFormat="1" ht="15.75" thickBot="1">
      <c r="A7" s="408" t="s">
        <v>2547</v>
      </c>
      <c r="B7" s="409"/>
      <c r="C7" s="410">
        <f>'数据-取费表'!B2</f>
        <v>44032</v>
      </c>
      <c r="D7" s="411">
        <v>100</v>
      </c>
      <c r="E7" s="412">
        <v>44029</v>
      </c>
      <c r="F7" s="413">
        <f>SUMIF(58:58,YEAR(E7)&amp;"-"&amp;MONTH(E7),59:59)</f>
        <v>100</v>
      </c>
      <c r="G7" s="412">
        <v>44027</v>
      </c>
      <c r="H7" s="411">
        <f>SUMIF(58:58,YEAR(G7)&amp;"-"&amp;MONTH(G7),59:59)</f>
        <v>100</v>
      </c>
      <c r="I7" s="412">
        <v>44021</v>
      </c>
      <c r="J7" s="411">
        <f>SUMIF(58:58,YEAR(I7)&amp;"-"&amp;MONTH(I7),59:59)</f>
        <v>100</v>
      </c>
      <c r="K7" s="2592"/>
      <c r="L7" s="1132"/>
      <c r="M7" s="1133"/>
      <c r="N7" s="1133"/>
      <c r="O7" s="1133"/>
      <c r="P7" s="3192" t="s">
        <v>2548</v>
      </c>
      <c r="Q7" s="3194"/>
      <c r="R7" s="770" t="s">
        <v>23</v>
      </c>
      <c r="S7" s="771">
        <f t="shared" ref="S7:S15" si="0">F7</f>
        <v>100</v>
      </c>
      <c r="T7" s="770" t="s">
        <v>23</v>
      </c>
      <c r="U7" s="771">
        <f t="shared" ref="U7:U15" si="1">H7</f>
        <v>100</v>
      </c>
      <c r="V7" s="770" t="s">
        <v>23</v>
      </c>
      <c r="W7" s="771">
        <f t="shared" ref="W7:W15" si="2">J7</f>
        <v>100</v>
      </c>
      <c r="X7" s="772"/>
      <c r="Y7" s="3192" t="s">
        <v>2548</v>
      </c>
      <c r="Z7" s="3193"/>
      <c r="AA7" s="773">
        <f>D7/F7</f>
        <v>1</v>
      </c>
      <c r="AB7" s="773">
        <f>D7/H7</f>
        <v>1</v>
      </c>
      <c r="AC7" s="773">
        <f>D7/J7</f>
        <v>1</v>
      </c>
    </row>
    <row r="8" spans="1:29" s="117" customFormat="1" ht="15.75" thickBot="1">
      <c r="A8" s="408" t="s">
        <v>2549</v>
      </c>
      <c r="B8" s="409"/>
      <c r="C8" s="414" t="s">
        <v>2550</v>
      </c>
      <c r="D8" s="411">
        <v>100</v>
      </c>
      <c r="E8" s="2593" t="s">
        <v>3096</v>
      </c>
      <c r="F8" s="413">
        <f>SUMIF(61:61,E8,62:62)-SUMIF(61:61,C8,62:62)+100</f>
        <v>100</v>
      </c>
      <c r="G8" s="414" t="s">
        <v>3096</v>
      </c>
      <c r="H8" s="411">
        <f>SUMIF(61:61,G8,62:62)-SUMIF(61:61,C8,62:62)+100</f>
        <v>100</v>
      </c>
      <c r="I8" s="2593" t="s">
        <v>3096</v>
      </c>
      <c r="J8" s="411">
        <f>SUMIF(61:61,I8,62:62)-SUMIF(61:61,C8,62:62)+100</f>
        <v>100</v>
      </c>
      <c r="K8" s="2592"/>
      <c r="L8" s="1132"/>
      <c r="M8" s="1133"/>
      <c r="N8" s="1133"/>
      <c r="O8" s="1133"/>
      <c r="P8" s="3192" t="s">
        <v>2551</v>
      </c>
      <c r="Q8" s="3193"/>
      <c r="R8" s="770" t="s">
        <v>23</v>
      </c>
      <c r="S8" s="771">
        <f t="shared" si="0"/>
        <v>100</v>
      </c>
      <c r="T8" s="770" t="s">
        <v>23</v>
      </c>
      <c r="U8" s="771">
        <f t="shared" si="1"/>
        <v>100</v>
      </c>
      <c r="V8" s="770" t="s">
        <v>23</v>
      </c>
      <c r="W8" s="771">
        <f t="shared" si="2"/>
        <v>100</v>
      </c>
      <c r="X8" s="772"/>
      <c r="Y8" s="3192" t="s">
        <v>2551</v>
      </c>
      <c r="Z8" s="3193"/>
      <c r="AA8" s="773">
        <f t="shared" ref="AA8:AA19" si="3">D8/F8</f>
        <v>1</v>
      </c>
      <c r="AB8" s="773">
        <f t="shared" ref="AB8:AB19" si="4">D8/H8</f>
        <v>1</v>
      </c>
      <c r="AC8" s="773">
        <f t="shared" ref="AC8:AC19" si="5">D8/J8</f>
        <v>1</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167" t="s">
        <v>2554</v>
      </c>
      <c r="Q9" s="1787"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67"/>
      <c r="Q10" s="178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2557</v>
      </c>
      <c r="C11" s="429">
        <v>0.4</v>
      </c>
      <c r="D11" s="136">
        <v>100</v>
      </c>
      <c r="E11" s="430">
        <f>C11</f>
        <v>0.4</v>
      </c>
      <c r="F11" s="425">
        <f>LOOKUP(E11,68:68,69:69)-LOOKUP(C11,68:68,69:69)+100</f>
        <v>100</v>
      </c>
      <c r="G11" s="429">
        <f>C11</f>
        <v>0.4</v>
      </c>
      <c r="H11" s="136">
        <f>LOOKUP(G11,68:68,69:69)-LOOKUP(C11,68:68,69:69)+100</f>
        <v>100</v>
      </c>
      <c r="I11" s="429">
        <f>C11</f>
        <v>0.4</v>
      </c>
      <c r="J11" s="136">
        <f>LOOKUP(I11,68:68,69:69)-LOOKUP(C11,68:68,69:69)+100</f>
        <v>100</v>
      </c>
      <c r="K11" s="426">
        <v>0</v>
      </c>
      <c r="L11" s="1138"/>
      <c r="M11" s="1131"/>
      <c r="N11" s="1131"/>
      <c r="O11" s="1131"/>
      <c r="P11" s="3167"/>
      <c r="Q11" s="1787" t="str">
        <f t="shared" si="6"/>
        <v>容积率</v>
      </c>
      <c r="R11" s="770" t="s">
        <v>21</v>
      </c>
      <c r="S11" s="771">
        <f t="shared" si="0"/>
        <v>100</v>
      </c>
      <c r="T11" s="770" t="s">
        <v>21</v>
      </c>
      <c r="U11" s="771">
        <f t="shared" si="1"/>
        <v>100</v>
      </c>
      <c r="V11" s="770" t="s">
        <v>21</v>
      </c>
      <c r="W11" s="771">
        <f t="shared" si="2"/>
        <v>100</v>
      </c>
      <c r="X11" s="772"/>
      <c r="Y11" s="3009"/>
      <c r="Z11" s="55" t="str">
        <f t="shared" si="7"/>
        <v>容积率</v>
      </c>
      <c r="AA11" s="773">
        <f t="shared" si="3"/>
        <v>1</v>
      </c>
      <c r="AB11" s="773">
        <f t="shared" si="4"/>
        <v>1</v>
      </c>
      <c r="AC11" s="773">
        <f t="shared" si="5"/>
        <v>1</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167"/>
      <c r="Q12" s="1787">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167"/>
      <c r="Q13" s="1787">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167"/>
      <c r="Q14" s="1787">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2558</v>
      </c>
      <c r="B15" s="69" t="s">
        <v>2083</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65" t="s">
        <v>2559</v>
      </c>
      <c r="Q15" s="1802" t="str">
        <f t="shared" si="6"/>
        <v>居住社区成熟度</v>
      </c>
      <c r="R15" s="774" t="s">
        <v>21</v>
      </c>
      <c r="S15" s="775">
        <f t="shared" si="0"/>
        <v>100</v>
      </c>
      <c r="T15" s="774" t="s">
        <v>21</v>
      </c>
      <c r="U15" s="775">
        <f t="shared" si="1"/>
        <v>100</v>
      </c>
      <c r="V15" s="774" t="s">
        <v>21</v>
      </c>
      <c r="W15" s="775">
        <f t="shared" si="2"/>
        <v>100</v>
      </c>
      <c r="X15" s="1805"/>
      <c r="Y15" s="3158" t="s">
        <v>2559</v>
      </c>
      <c r="Z15" s="1806" t="str">
        <f t="shared" si="7"/>
        <v>居住社区成熟度</v>
      </c>
      <c r="AA15" s="1803">
        <f t="shared" si="3"/>
        <v>1</v>
      </c>
      <c r="AB15" s="1803">
        <f t="shared" si="4"/>
        <v>1</v>
      </c>
      <c r="AC15" s="1803">
        <f t="shared" si="5"/>
        <v>1</v>
      </c>
    </row>
    <row r="16" spans="1:29" ht="15">
      <c r="A16" s="428"/>
      <c r="B16" s="446"/>
      <c r="C16" s="447"/>
      <c r="D16" s="448"/>
      <c r="E16" s="2598"/>
      <c r="F16" s="448"/>
      <c r="G16" s="2599"/>
      <c r="H16" s="450"/>
      <c r="I16" s="2599"/>
      <c r="J16" s="448"/>
      <c r="K16" s="2600"/>
      <c r="L16" s="1140"/>
      <c r="M16" s="1131"/>
      <c r="N16" s="1131"/>
      <c r="O16" s="1131"/>
      <c r="P16" s="3166"/>
      <c r="Q16" s="1802"/>
      <c r="R16" s="774"/>
      <c r="S16" s="775"/>
      <c r="T16" s="774"/>
      <c r="U16" s="775"/>
      <c r="V16" s="774"/>
      <c r="W16" s="775"/>
      <c r="X16" s="1805"/>
      <c r="Y16" s="3159"/>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66"/>
      <c r="Q17" s="1802" t="str">
        <f>B17</f>
        <v>交通便捷度</v>
      </c>
      <c r="R17" s="774" t="s">
        <v>21</v>
      </c>
      <c r="S17" s="775">
        <f>F17</f>
        <v>100</v>
      </c>
      <c r="T17" s="774" t="s">
        <v>21</v>
      </c>
      <c r="U17" s="775">
        <f>H17</f>
        <v>100</v>
      </c>
      <c r="V17" s="774" t="s">
        <v>21</v>
      </c>
      <c r="W17" s="775">
        <f>J17</f>
        <v>100</v>
      </c>
      <c r="X17" s="1805"/>
      <c r="Y17" s="3159"/>
      <c r="Z17" s="1806" t="str">
        <f>Q17</f>
        <v>交通便捷度</v>
      </c>
      <c r="AA17" s="1803">
        <f t="shared" si="3"/>
        <v>1</v>
      </c>
      <c r="AB17" s="1803">
        <f t="shared" si="4"/>
        <v>1</v>
      </c>
      <c r="AC17" s="1803">
        <f t="shared" si="5"/>
        <v>1</v>
      </c>
    </row>
    <row r="18" spans="1:29" ht="15">
      <c r="A18" s="428"/>
      <c r="B18" s="456"/>
      <c r="C18" s="2602"/>
      <c r="D18" s="450"/>
      <c r="E18" s="2603"/>
      <c r="F18" s="450"/>
      <c r="G18" s="2604"/>
      <c r="H18" s="448"/>
      <c r="I18" s="2604"/>
      <c r="J18" s="448"/>
      <c r="K18" s="2600"/>
      <c r="L18" s="1140"/>
      <c r="M18" s="1131"/>
      <c r="N18" s="1131"/>
      <c r="O18" s="1131"/>
      <c r="P18" s="3166"/>
      <c r="Q18" s="1802"/>
      <c r="R18" s="774"/>
      <c r="S18" s="775"/>
      <c r="T18" s="774"/>
      <c r="U18" s="775"/>
      <c r="V18" s="774"/>
      <c r="W18" s="775"/>
      <c r="X18" s="1805"/>
      <c r="Y18" s="3159"/>
      <c r="Z18" s="1806"/>
      <c r="AA18" s="1803">
        <v>1</v>
      </c>
      <c r="AB18" s="1803">
        <v>1</v>
      </c>
      <c r="AC18" s="1803">
        <v>1</v>
      </c>
    </row>
    <row r="19" spans="1:29" ht="42.75">
      <c r="A19" s="428"/>
      <c r="B19" s="451" t="s">
        <v>2093</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66"/>
      <c r="Q19" s="1802" t="str">
        <f>B19</f>
        <v>公共配套设施</v>
      </c>
      <c r="R19" s="774" t="s">
        <v>21</v>
      </c>
      <c r="S19" s="775">
        <f>F19</f>
        <v>100</v>
      </c>
      <c r="T19" s="774" t="s">
        <v>21</v>
      </c>
      <c r="U19" s="775">
        <f>H19</f>
        <v>100</v>
      </c>
      <c r="V19" s="774" t="s">
        <v>21</v>
      </c>
      <c r="W19" s="775">
        <f>J19</f>
        <v>100</v>
      </c>
      <c r="X19" s="1805"/>
      <c r="Y19" s="3159"/>
      <c r="Z19" s="1806" t="str">
        <f>Q19</f>
        <v>公共配套设施</v>
      </c>
      <c r="AA19" s="1803">
        <f t="shared" si="3"/>
        <v>1</v>
      </c>
      <c r="AB19" s="1803">
        <f t="shared" si="4"/>
        <v>1</v>
      </c>
      <c r="AC19" s="1803">
        <f t="shared" si="5"/>
        <v>1</v>
      </c>
    </row>
    <row r="20" spans="1:29" ht="15">
      <c r="A20" s="428"/>
      <c r="B20" s="456"/>
      <c r="C20" s="447"/>
      <c r="D20" s="448"/>
      <c r="E20" s="2598"/>
      <c r="F20" s="448"/>
      <c r="G20" s="2599"/>
      <c r="H20" s="448"/>
      <c r="I20" s="2599"/>
      <c r="J20" s="448"/>
      <c r="K20" s="2600"/>
      <c r="L20" s="1140"/>
      <c r="M20" s="1131"/>
      <c r="N20" s="1131"/>
      <c r="O20" s="1131"/>
      <c r="P20" s="3166"/>
      <c r="Q20" s="1802"/>
      <c r="R20" s="774"/>
      <c r="S20" s="775"/>
      <c r="T20" s="774"/>
      <c r="U20" s="775"/>
      <c r="V20" s="774"/>
      <c r="W20" s="775"/>
      <c r="X20" s="1805"/>
      <c r="Y20" s="3159"/>
      <c r="Z20" s="1806"/>
      <c r="AA20" s="1803">
        <v>1</v>
      </c>
      <c r="AB20" s="1803">
        <v>1</v>
      </c>
      <c r="AC20" s="1803">
        <v>1</v>
      </c>
    </row>
    <row r="21" spans="1:29" ht="28.5">
      <c r="A21" s="428"/>
      <c r="B21" s="1384" t="s">
        <v>2096</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66"/>
      <c r="Q21" s="1802" t="str">
        <f>B21</f>
        <v>基础设施水平</v>
      </c>
      <c r="R21" s="774" t="s">
        <v>17</v>
      </c>
      <c r="S21" s="775">
        <f>F21</f>
        <v>100</v>
      </c>
      <c r="T21" s="774" t="s">
        <v>17</v>
      </c>
      <c r="U21" s="775">
        <f>H21</f>
        <v>100</v>
      </c>
      <c r="V21" s="774" t="s">
        <v>17</v>
      </c>
      <c r="W21" s="775">
        <f>J21</f>
        <v>100</v>
      </c>
      <c r="X21" s="1805"/>
      <c r="Y21" s="3159"/>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8"/>
      <c r="G22" s="2605"/>
      <c r="H22" s="448"/>
      <c r="I22" s="447"/>
      <c r="J22" s="448"/>
      <c r="K22" s="2606"/>
      <c r="L22" s="1140"/>
      <c r="M22" s="1131"/>
      <c r="N22" s="1131"/>
      <c r="O22" s="1131"/>
      <c r="P22" s="3166"/>
      <c r="Q22" s="1802"/>
      <c r="R22" s="774"/>
      <c r="S22" s="775"/>
      <c r="T22" s="774"/>
      <c r="U22" s="775"/>
      <c r="V22" s="774"/>
      <c r="W22" s="775"/>
      <c r="X22" s="1805"/>
      <c r="Y22" s="3159"/>
      <c r="Z22" s="1806"/>
      <c r="AA22" s="1803">
        <v>1</v>
      </c>
      <c r="AB22" s="1803">
        <v>1</v>
      </c>
      <c r="AC22" s="1803">
        <v>1</v>
      </c>
    </row>
    <row r="23" spans="1:29" ht="57">
      <c r="A23" s="428"/>
      <c r="B23" s="451" t="s">
        <v>2100</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66"/>
      <c r="Q23" s="1802" t="str">
        <f>B23</f>
        <v>自然及人文环境</v>
      </c>
      <c r="R23" s="774" t="s">
        <v>21</v>
      </c>
      <c r="S23" s="775">
        <f>F23</f>
        <v>100</v>
      </c>
      <c r="T23" s="774" t="s">
        <v>21</v>
      </c>
      <c r="U23" s="775">
        <f>H23</f>
        <v>100</v>
      </c>
      <c r="V23" s="774" t="s">
        <v>21</v>
      </c>
      <c r="W23" s="775">
        <f>J23</f>
        <v>100</v>
      </c>
      <c r="X23" s="1805"/>
      <c r="Y23" s="3159"/>
      <c r="Z23" s="1806" t="str">
        <f>Q23</f>
        <v>自然及人文环境</v>
      </c>
      <c r="AA23" s="1803">
        <f>D23/F23</f>
        <v>1</v>
      </c>
      <c r="AB23" s="1803">
        <f>D23/H23</f>
        <v>1</v>
      </c>
      <c r="AC23" s="1803">
        <f>D23/J23</f>
        <v>1</v>
      </c>
    </row>
    <row r="24" spans="1:29" ht="15">
      <c r="A24" s="428"/>
      <c r="B24" s="456"/>
      <c r="C24" s="447"/>
      <c r="D24" s="448"/>
      <c r="E24" s="2598"/>
      <c r="F24" s="448"/>
      <c r="G24" s="2599"/>
      <c r="H24" s="448"/>
      <c r="I24" s="2599"/>
      <c r="J24" s="448"/>
      <c r="K24" s="2600"/>
      <c r="L24" s="1140"/>
      <c r="M24" s="1131"/>
      <c r="N24" s="1131"/>
      <c r="O24" s="1131"/>
      <c r="P24" s="3166"/>
      <c r="Q24" s="1802"/>
      <c r="R24" s="774"/>
      <c r="S24" s="775"/>
      <c r="T24" s="774"/>
      <c r="U24" s="775"/>
      <c r="V24" s="774"/>
      <c r="W24" s="775"/>
      <c r="X24" s="1805"/>
      <c r="Y24" s="3159"/>
      <c r="Z24" s="1806"/>
      <c r="AA24" s="1803">
        <v>1</v>
      </c>
      <c r="AB24" s="1803">
        <v>1</v>
      </c>
      <c r="AC24" s="1803">
        <v>1</v>
      </c>
    </row>
    <row r="25" spans="1:29" ht="15">
      <c r="A25" s="428"/>
      <c r="B25" s="422" t="s">
        <v>2560</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166"/>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159"/>
      <c r="Z25" s="1806" t="str">
        <f>Q25</f>
        <v>楼层-1</v>
      </c>
      <c r="AA25" s="1803">
        <f t="shared" ref="AA25:AA46" si="15">D25/F25</f>
        <v>1</v>
      </c>
      <c r="AB25" s="1803">
        <f t="shared" ref="AB25:AB46" si="16">D25/H25</f>
        <v>1</v>
      </c>
      <c r="AC25" s="1803">
        <f t="shared" ref="AC25:AC46" si="17">D25/J25</f>
        <v>1</v>
      </c>
    </row>
    <row r="26" spans="1:29" ht="15">
      <c r="A26" s="428"/>
      <c r="B26" s="422" t="s">
        <v>2561</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166"/>
      <c r="Q26" s="1802" t="str">
        <f t="shared" si="11"/>
        <v>朝向</v>
      </c>
      <c r="R26" s="774" t="s">
        <v>21</v>
      </c>
      <c r="S26" s="775">
        <f t="shared" si="12"/>
        <v>100</v>
      </c>
      <c r="T26" s="774" t="s">
        <v>21</v>
      </c>
      <c r="U26" s="775">
        <f t="shared" si="13"/>
        <v>100</v>
      </c>
      <c r="V26" s="774" t="s">
        <v>21</v>
      </c>
      <c r="W26" s="775">
        <f t="shared" si="14"/>
        <v>100</v>
      </c>
      <c r="X26" s="1805"/>
      <c r="Y26" s="3159"/>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166"/>
      <c r="Q27" s="1787">
        <f t="shared" si="11"/>
        <v>111</v>
      </c>
      <c r="R27" s="770" t="s">
        <v>21</v>
      </c>
      <c r="S27" s="771">
        <f t="shared" si="12"/>
        <v>100</v>
      </c>
      <c r="T27" s="770" t="s">
        <v>21</v>
      </c>
      <c r="U27" s="771">
        <f t="shared" si="13"/>
        <v>100</v>
      </c>
      <c r="V27" s="770" t="s">
        <v>21</v>
      </c>
      <c r="W27" s="771">
        <f t="shared" si="14"/>
        <v>100</v>
      </c>
      <c r="X27" s="772"/>
      <c r="Y27" s="3159"/>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166"/>
      <c r="Q28" s="1802">
        <f t="shared" si="11"/>
        <v>111</v>
      </c>
      <c r="R28" s="774" t="s">
        <v>21</v>
      </c>
      <c r="S28" s="775">
        <f t="shared" si="12"/>
        <v>100</v>
      </c>
      <c r="T28" s="774" t="s">
        <v>21</v>
      </c>
      <c r="U28" s="775">
        <f t="shared" si="13"/>
        <v>100</v>
      </c>
      <c r="V28" s="774" t="s">
        <v>21</v>
      </c>
      <c r="W28" s="775">
        <f t="shared" si="14"/>
        <v>100</v>
      </c>
      <c r="X28" s="1805"/>
      <c r="Y28" s="3159"/>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166"/>
      <c r="Q29" s="1802">
        <f t="shared" si="11"/>
        <v>111</v>
      </c>
      <c r="R29" s="774" t="s">
        <v>21</v>
      </c>
      <c r="S29" s="775">
        <f t="shared" si="12"/>
        <v>100</v>
      </c>
      <c r="T29" s="774" t="s">
        <v>21</v>
      </c>
      <c r="U29" s="775">
        <f t="shared" si="13"/>
        <v>100</v>
      </c>
      <c r="V29" s="774" t="s">
        <v>21</v>
      </c>
      <c r="W29" s="775">
        <f t="shared" si="14"/>
        <v>100</v>
      </c>
      <c r="X29" s="1805"/>
      <c r="Y29" s="3159"/>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166"/>
      <c r="Q30" s="1802">
        <f t="shared" si="11"/>
        <v>111</v>
      </c>
      <c r="R30" s="774" t="s">
        <v>21</v>
      </c>
      <c r="S30" s="775">
        <f t="shared" si="12"/>
        <v>100</v>
      </c>
      <c r="T30" s="774" t="s">
        <v>21</v>
      </c>
      <c r="U30" s="775">
        <f t="shared" si="13"/>
        <v>100</v>
      </c>
      <c r="V30" s="774" t="s">
        <v>21</v>
      </c>
      <c r="W30" s="775">
        <f t="shared" si="14"/>
        <v>100</v>
      </c>
      <c r="X30" s="1805"/>
      <c r="Y30" s="3159"/>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166"/>
      <c r="Q31" s="1802">
        <f t="shared" si="11"/>
        <v>111</v>
      </c>
      <c r="R31" s="774" t="s">
        <v>21</v>
      </c>
      <c r="S31" s="775">
        <f t="shared" si="12"/>
        <v>100</v>
      </c>
      <c r="T31" s="774" t="s">
        <v>21</v>
      </c>
      <c r="U31" s="775">
        <f t="shared" si="13"/>
        <v>100</v>
      </c>
      <c r="V31" s="774" t="s">
        <v>21</v>
      </c>
      <c r="W31" s="775">
        <f t="shared" si="14"/>
        <v>100</v>
      </c>
      <c r="X31" s="1805"/>
      <c r="Y31" s="3159"/>
      <c r="Z31" s="1806">
        <f t="shared" si="18"/>
        <v>111</v>
      </c>
      <c r="AA31" s="1803">
        <f t="shared" si="15"/>
        <v>1</v>
      </c>
      <c r="AB31" s="1803">
        <f t="shared" si="16"/>
        <v>1</v>
      </c>
      <c r="AC31" s="1803">
        <f t="shared" si="17"/>
        <v>1</v>
      </c>
    </row>
    <row r="32" spans="1:29" ht="15">
      <c r="A32" s="440" t="s">
        <v>2562</v>
      </c>
      <c r="B32" s="71" t="s">
        <v>2563</v>
      </c>
      <c r="C32" s="2611" t="s">
        <v>3103</v>
      </c>
      <c r="D32" s="467">
        <v>100</v>
      </c>
      <c r="E32" s="2611" t="s">
        <v>3103</v>
      </c>
      <c r="F32" s="461">
        <f>SUMIF(100:100,E32,101:101)-SUMIF(100:100,C32,101:101)+100</f>
        <v>100</v>
      </c>
      <c r="G32" s="2611" t="s">
        <v>3103</v>
      </c>
      <c r="H32" s="467">
        <f>SUMIF(100:100,G32,101:101)-SUMIF(100:100,C32,101:101)+100</f>
        <v>100</v>
      </c>
      <c r="I32" s="2611" t="s">
        <v>3103</v>
      </c>
      <c r="J32" s="435">
        <f>SUMIF(100:100,I32,101:101)-SUMIF(100:100,C32,101:101)+100</f>
        <v>100</v>
      </c>
      <c r="K32" s="426">
        <v>2</v>
      </c>
      <c r="L32" s="1140"/>
      <c r="M32" s="1131"/>
      <c r="N32" s="1131"/>
      <c r="O32" s="1131"/>
      <c r="P32" s="3160" t="s">
        <v>2564</v>
      </c>
      <c r="Q32" s="1802" t="str">
        <f t="shared" si="11"/>
        <v>建筑类型</v>
      </c>
      <c r="R32" s="774" t="s">
        <v>21</v>
      </c>
      <c r="S32" s="775">
        <f t="shared" si="12"/>
        <v>100</v>
      </c>
      <c r="T32" s="774" t="s">
        <v>21</v>
      </c>
      <c r="U32" s="775">
        <f t="shared" si="13"/>
        <v>100</v>
      </c>
      <c r="V32" s="774" t="s">
        <v>21</v>
      </c>
      <c r="W32" s="775">
        <f t="shared" si="14"/>
        <v>100</v>
      </c>
      <c r="X32" s="1805"/>
      <c r="Y32" s="3163" t="s">
        <v>2564</v>
      </c>
      <c r="Z32" s="1806" t="str">
        <f t="shared" si="18"/>
        <v>建筑类型</v>
      </c>
      <c r="AA32" s="1803">
        <f t="shared" si="15"/>
        <v>1</v>
      </c>
      <c r="AB32" s="1803">
        <f t="shared" si="16"/>
        <v>1</v>
      </c>
      <c r="AC32" s="1803">
        <f t="shared" si="17"/>
        <v>1</v>
      </c>
    </row>
    <row r="33" spans="1:29" s="471" customFormat="1" ht="15">
      <c r="A33" s="468"/>
      <c r="B33" s="422" t="s">
        <v>2565</v>
      </c>
      <c r="C33" s="469">
        <f>'数据-基础表'!I13</f>
        <v>232.53</v>
      </c>
      <c r="D33" s="136">
        <v>100</v>
      </c>
      <c r="E33" s="430">
        <v>232.53</v>
      </c>
      <c r="F33" s="425">
        <f>LOOKUP(E33,103:103,104:104)-LOOKUP(C33,103:103,104:104)+100</f>
        <v>100</v>
      </c>
      <c r="G33" s="429">
        <v>235</v>
      </c>
      <c r="H33" s="136">
        <f>LOOKUP(G33,103:103,104:104)-LOOKUP(C33,103:103,104:104)+100</f>
        <v>100</v>
      </c>
      <c r="I33" s="430">
        <v>235</v>
      </c>
      <c r="J33" s="136">
        <f>LOOKUP(I33,103:103,104:104)-LOOKUP(C33,103:103,104:104)+100</f>
        <v>100</v>
      </c>
      <c r="K33" s="2595"/>
      <c r="L33" s="1138"/>
      <c r="M33" s="1141"/>
      <c r="N33" s="1141"/>
      <c r="O33" s="1141"/>
      <c r="P33" s="3161"/>
      <c r="Q33" s="776" t="str">
        <f t="shared" si="11"/>
        <v>项目建筑规模</v>
      </c>
      <c r="R33" s="777" t="s">
        <v>21</v>
      </c>
      <c r="S33" s="778">
        <f t="shared" si="12"/>
        <v>100</v>
      </c>
      <c r="T33" s="777" t="s">
        <v>21</v>
      </c>
      <c r="U33" s="778">
        <f t="shared" si="13"/>
        <v>100</v>
      </c>
      <c r="V33" s="777" t="s">
        <v>21</v>
      </c>
      <c r="W33" s="778">
        <f t="shared" si="14"/>
        <v>100</v>
      </c>
      <c r="X33" s="779"/>
      <c r="Y33" s="3163"/>
      <c r="Z33" s="780" t="str">
        <f t="shared" si="18"/>
        <v>项目建筑规模</v>
      </c>
      <c r="AA33" s="1803">
        <f t="shared" si="15"/>
        <v>1</v>
      </c>
      <c r="AB33" s="1803">
        <f t="shared" si="16"/>
        <v>1</v>
      </c>
      <c r="AC33" s="1803">
        <f t="shared" si="17"/>
        <v>1</v>
      </c>
    </row>
    <row r="34" spans="1:29" ht="15">
      <c r="A34" s="472"/>
      <c r="B34" s="422" t="s">
        <v>2566</v>
      </c>
      <c r="C34" s="2612" t="s">
        <v>3097</v>
      </c>
      <c r="D34" s="435">
        <v>100</v>
      </c>
      <c r="E34" s="2612" t="s">
        <v>3097</v>
      </c>
      <c r="F34" s="461">
        <f>SUMIF(105:105,E34,106:106)-SUMIF(105:105,C34,106:106)+100</f>
        <v>100</v>
      </c>
      <c r="G34" s="2612" t="s">
        <v>3097</v>
      </c>
      <c r="H34" s="435">
        <f>SUMIF(105:105,G34,106:106)-SUMIF(105:105,C34,106:106)+100</f>
        <v>100</v>
      </c>
      <c r="I34" s="2612" t="s">
        <v>3097</v>
      </c>
      <c r="J34" s="435">
        <f>SUMIF(105:105,I34,106:106)-SUMIF(105:105,C34,106:106)+100</f>
        <v>100</v>
      </c>
      <c r="K34" s="426"/>
      <c r="L34" s="1140"/>
      <c r="M34" s="1131"/>
      <c r="N34" s="1131"/>
      <c r="O34" s="1131"/>
      <c r="P34" s="3161"/>
      <c r="Q34" s="1802" t="str">
        <f t="shared" si="11"/>
        <v>建筑结构</v>
      </c>
      <c r="R34" s="774" t="s">
        <v>21</v>
      </c>
      <c r="S34" s="775">
        <f t="shared" si="12"/>
        <v>100</v>
      </c>
      <c r="T34" s="774" t="s">
        <v>21</v>
      </c>
      <c r="U34" s="775">
        <f t="shared" si="13"/>
        <v>100</v>
      </c>
      <c r="V34" s="774" t="s">
        <v>21</v>
      </c>
      <c r="W34" s="775">
        <f t="shared" si="14"/>
        <v>100</v>
      </c>
      <c r="X34" s="1805"/>
      <c r="Y34" s="3163"/>
      <c r="Z34" s="1806" t="str">
        <f t="shared" si="18"/>
        <v>建筑结构</v>
      </c>
      <c r="AA34" s="1803">
        <f t="shared" si="15"/>
        <v>1</v>
      </c>
      <c r="AB34" s="1803">
        <f t="shared" si="16"/>
        <v>1</v>
      </c>
      <c r="AC34" s="1803">
        <f t="shared" si="17"/>
        <v>1</v>
      </c>
    </row>
    <row r="35" spans="1:29" ht="15">
      <c r="A35" s="472"/>
      <c r="B35" s="422" t="s">
        <v>2567</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161"/>
      <c r="Q35" s="1802" t="str">
        <f t="shared" si="11"/>
        <v>建筑品质</v>
      </c>
      <c r="R35" s="774" t="s">
        <v>21</v>
      </c>
      <c r="S35" s="775">
        <f t="shared" si="12"/>
        <v>100</v>
      </c>
      <c r="T35" s="774" t="s">
        <v>21</v>
      </c>
      <c r="U35" s="775">
        <f t="shared" si="13"/>
        <v>100</v>
      </c>
      <c r="V35" s="774" t="s">
        <v>21</v>
      </c>
      <c r="W35" s="775">
        <f t="shared" si="14"/>
        <v>100</v>
      </c>
      <c r="X35" s="1805"/>
      <c r="Y35" s="3163"/>
      <c r="Z35" s="1806" t="str">
        <f t="shared" si="18"/>
        <v>建筑品质</v>
      </c>
      <c r="AA35" s="1803">
        <f t="shared" si="15"/>
        <v>1</v>
      </c>
      <c r="AB35" s="1803">
        <f t="shared" si="16"/>
        <v>1</v>
      </c>
      <c r="AC35" s="1803">
        <f t="shared" si="17"/>
        <v>1</v>
      </c>
    </row>
    <row r="36" spans="1:29" ht="15">
      <c r="A36" s="472"/>
      <c r="B36" s="422" t="s">
        <v>2568</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161"/>
      <c r="Q36" s="1802" t="str">
        <f t="shared" si="11"/>
        <v>公共部分装修</v>
      </c>
      <c r="R36" s="774" t="s">
        <v>21</v>
      </c>
      <c r="S36" s="775">
        <f t="shared" si="12"/>
        <v>100</v>
      </c>
      <c r="T36" s="774" t="s">
        <v>21</v>
      </c>
      <c r="U36" s="775">
        <f t="shared" si="13"/>
        <v>100</v>
      </c>
      <c r="V36" s="774" t="s">
        <v>21</v>
      </c>
      <c r="W36" s="775">
        <f t="shared" si="14"/>
        <v>100</v>
      </c>
      <c r="X36" s="1805"/>
      <c r="Y36" s="3163"/>
      <c r="Z36" s="1806" t="str">
        <f t="shared" si="18"/>
        <v>公共部分装修</v>
      </c>
      <c r="AA36" s="1803">
        <f t="shared" si="15"/>
        <v>1</v>
      </c>
      <c r="AB36" s="1803">
        <f t="shared" si="16"/>
        <v>1</v>
      </c>
      <c r="AC36" s="1803">
        <f t="shared" si="17"/>
        <v>1</v>
      </c>
    </row>
    <row r="37" spans="1:29" s="117" customFormat="1" ht="15">
      <c r="A37" s="473"/>
      <c r="B37" s="422" t="s">
        <v>2569</v>
      </c>
      <c r="C37" s="474">
        <f>'数据-取费表'!N21</f>
        <v>0.74</v>
      </c>
      <c r="D37" s="136">
        <v>100</v>
      </c>
      <c r="E37" s="474">
        <f>C37</f>
        <v>0.74</v>
      </c>
      <c r="F37" s="425">
        <f>LOOKUP(E37,112:112,113:113)-LOOKUP(C37,112:112,113:113)+100</f>
        <v>100</v>
      </c>
      <c r="G37" s="476">
        <f>C37</f>
        <v>0.74</v>
      </c>
      <c r="H37" s="136">
        <f>LOOKUP(G37,112:112,113:113)-LOOKUP(C37,112:112,113:113)+100</f>
        <v>100</v>
      </c>
      <c r="I37" s="475">
        <f>C37</f>
        <v>0.74</v>
      </c>
      <c r="J37" s="136">
        <f>LOOKUP(I37,112:112,113:113)-LOOKUP(C37,112:112,113:113)+100</f>
        <v>100</v>
      </c>
      <c r="K37" s="426"/>
      <c r="L37" s="1132"/>
      <c r="M37" s="1133"/>
      <c r="N37" s="1133"/>
      <c r="O37" s="1133"/>
      <c r="P37" s="3161"/>
      <c r="Q37" s="1787" t="str">
        <f t="shared" si="11"/>
        <v>成新度</v>
      </c>
      <c r="R37" s="770" t="s">
        <v>21</v>
      </c>
      <c r="S37" s="771">
        <f t="shared" si="12"/>
        <v>100</v>
      </c>
      <c r="T37" s="770" t="s">
        <v>21</v>
      </c>
      <c r="U37" s="771">
        <f t="shared" si="13"/>
        <v>100</v>
      </c>
      <c r="V37" s="770" t="s">
        <v>21</v>
      </c>
      <c r="W37" s="771">
        <f t="shared" si="14"/>
        <v>100</v>
      </c>
      <c r="X37" s="772"/>
      <c r="Y37" s="3163"/>
      <c r="Z37" s="55" t="str">
        <f t="shared" si="18"/>
        <v>成新度</v>
      </c>
      <c r="AA37" s="773">
        <f t="shared" si="15"/>
        <v>1</v>
      </c>
      <c r="AB37" s="773">
        <f t="shared" si="16"/>
        <v>1</v>
      </c>
      <c r="AC37" s="773">
        <f t="shared" si="17"/>
        <v>1</v>
      </c>
    </row>
    <row r="38" spans="1:29" ht="15">
      <c r="A38" s="472"/>
      <c r="B38" s="422" t="s">
        <v>2570</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161" t="s">
        <v>2564</v>
      </c>
      <c r="Q38" s="1802" t="str">
        <f t="shared" si="11"/>
        <v>物业管理</v>
      </c>
      <c r="R38" s="774" t="s">
        <v>21</v>
      </c>
      <c r="S38" s="775">
        <f t="shared" si="12"/>
        <v>100</v>
      </c>
      <c r="T38" s="774" t="s">
        <v>21</v>
      </c>
      <c r="U38" s="775">
        <f t="shared" si="13"/>
        <v>100</v>
      </c>
      <c r="V38" s="774" t="s">
        <v>21</v>
      </c>
      <c r="W38" s="775">
        <f t="shared" si="14"/>
        <v>100</v>
      </c>
      <c r="X38" s="1805"/>
      <c r="Y38" s="3163" t="s">
        <v>2564</v>
      </c>
      <c r="Z38" s="1806" t="str">
        <f t="shared" si="18"/>
        <v>物业管理</v>
      </c>
      <c r="AA38" s="1803">
        <f t="shared" si="15"/>
        <v>1</v>
      </c>
      <c r="AB38" s="1803">
        <f t="shared" si="16"/>
        <v>1</v>
      </c>
      <c r="AC38" s="1803">
        <f t="shared" si="17"/>
        <v>1</v>
      </c>
    </row>
    <row r="39" spans="1:29" ht="15">
      <c r="A39" s="472"/>
      <c r="B39" s="422" t="s">
        <v>2571</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161"/>
      <c r="Q39" s="1802" t="str">
        <f t="shared" si="11"/>
        <v>市政基础设施</v>
      </c>
      <c r="R39" s="774" t="s">
        <v>21</v>
      </c>
      <c r="S39" s="775">
        <f t="shared" si="12"/>
        <v>100</v>
      </c>
      <c r="T39" s="774" t="s">
        <v>21</v>
      </c>
      <c r="U39" s="775">
        <f t="shared" si="13"/>
        <v>100</v>
      </c>
      <c r="V39" s="774" t="s">
        <v>21</v>
      </c>
      <c r="W39" s="775">
        <f t="shared" si="14"/>
        <v>100</v>
      </c>
      <c r="X39" s="1805"/>
      <c r="Y39" s="3163"/>
      <c r="Z39" s="1806" t="str">
        <f t="shared" si="18"/>
        <v>市政基础设施</v>
      </c>
      <c r="AA39" s="1803">
        <f t="shared" si="15"/>
        <v>1</v>
      </c>
      <c r="AB39" s="1803">
        <f t="shared" si="16"/>
        <v>1</v>
      </c>
      <c r="AC39" s="1803">
        <f t="shared" si="17"/>
        <v>1</v>
      </c>
    </row>
    <row r="40" spans="1:29" ht="15">
      <c r="A40" s="472"/>
      <c r="B40" s="422" t="s">
        <v>2572</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161"/>
      <c r="Q40" s="1802" t="str">
        <f t="shared" si="11"/>
        <v>房型</v>
      </c>
      <c r="R40" s="774" t="s">
        <v>21</v>
      </c>
      <c r="S40" s="775">
        <f t="shared" si="12"/>
        <v>100</v>
      </c>
      <c r="T40" s="774" t="s">
        <v>21</v>
      </c>
      <c r="U40" s="775">
        <f t="shared" si="13"/>
        <v>100</v>
      </c>
      <c r="V40" s="774" t="s">
        <v>21</v>
      </c>
      <c r="W40" s="775">
        <f t="shared" si="14"/>
        <v>100</v>
      </c>
      <c r="X40" s="1805"/>
      <c r="Y40" s="3163"/>
      <c r="Z40" s="1806" t="str">
        <f t="shared" si="18"/>
        <v>房型</v>
      </c>
      <c r="AA40" s="1803">
        <f t="shared" si="15"/>
        <v>1</v>
      </c>
      <c r="AB40" s="1803">
        <f t="shared" si="16"/>
        <v>1</v>
      </c>
      <c r="AC40" s="180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161"/>
      <c r="Q41" s="776" t="str">
        <f t="shared" si="11"/>
        <v>单套/主力户型建筑面积</v>
      </c>
      <c r="R41" s="777" t="s">
        <v>21</v>
      </c>
      <c r="S41" s="778">
        <f t="shared" si="12"/>
        <v>100</v>
      </c>
      <c r="T41" s="777" t="s">
        <v>21</v>
      </c>
      <c r="U41" s="778">
        <f t="shared" si="13"/>
        <v>100</v>
      </c>
      <c r="V41" s="777" t="s">
        <v>21</v>
      </c>
      <c r="W41" s="778">
        <f t="shared" si="14"/>
        <v>100</v>
      </c>
      <c r="X41" s="779"/>
      <c r="Y41" s="3163"/>
      <c r="Z41" s="780" t="str">
        <f t="shared" si="18"/>
        <v>单套/主力户型建筑面积</v>
      </c>
      <c r="AA41" s="1803">
        <f t="shared" si="15"/>
        <v>1</v>
      </c>
      <c r="AB41" s="1803">
        <f t="shared" si="16"/>
        <v>1</v>
      </c>
      <c r="AC41" s="1803">
        <f t="shared" si="17"/>
        <v>1</v>
      </c>
    </row>
    <row r="42" spans="1:29" ht="15">
      <c r="A42" s="472"/>
      <c r="B42" s="422" t="s">
        <v>2574</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161"/>
      <c r="Q42" s="1802" t="str">
        <f t="shared" si="11"/>
        <v>内部装修</v>
      </c>
      <c r="R42" s="774" t="s">
        <v>21</v>
      </c>
      <c r="S42" s="775">
        <f t="shared" si="12"/>
        <v>100</v>
      </c>
      <c r="T42" s="774" t="s">
        <v>21</v>
      </c>
      <c r="U42" s="775">
        <f t="shared" si="13"/>
        <v>100</v>
      </c>
      <c r="V42" s="774" t="s">
        <v>21</v>
      </c>
      <c r="W42" s="775">
        <f t="shared" si="14"/>
        <v>100</v>
      </c>
      <c r="X42" s="1805"/>
      <c r="Y42" s="3163"/>
      <c r="Z42" s="1806" t="str">
        <f t="shared" si="18"/>
        <v>内部装修</v>
      </c>
      <c r="AA42" s="1803">
        <f t="shared" si="15"/>
        <v>1</v>
      </c>
      <c r="AB42" s="1803">
        <f t="shared" si="16"/>
        <v>1</v>
      </c>
      <c r="AC42" s="1803">
        <f t="shared" si="17"/>
        <v>1</v>
      </c>
    </row>
    <row r="43" spans="1:29" ht="15">
      <c r="A43" s="472"/>
      <c r="B43" s="422" t="s">
        <v>2575</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161"/>
      <c r="Q43" s="1802" t="str">
        <f t="shared" si="11"/>
        <v>内部装修维护情况</v>
      </c>
      <c r="R43" s="774" t="s">
        <v>21</v>
      </c>
      <c r="S43" s="775">
        <f t="shared" si="12"/>
        <v>100</v>
      </c>
      <c r="T43" s="774" t="s">
        <v>21</v>
      </c>
      <c r="U43" s="775">
        <f t="shared" si="13"/>
        <v>100</v>
      </c>
      <c r="V43" s="774" t="s">
        <v>21</v>
      </c>
      <c r="W43" s="775">
        <f t="shared" si="14"/>
        <v>100</v>
      </c>
      <c r="X43" s="1805"/>
      <c r="Y43" s="3163"/>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161"/>
      <c r="Q44" s="1787">
        <f t="shared" si="11"/>
        <v>111</v>
      </c>
      <c r="R44" s="770" t="s">
        <v>21</v>
      </c>
      <c r="S44" s="771">
        <f t="shared" si="12"/>
        <v>100</v>
      </c>
      <c r="T44" s="770" t="s">
        <v>21</v>
      </c>
      <c r="U44" s="771">
        <f t="shared" si="13"/>
        <v>100</v>
      </c>
      <c r="V44" s="770" t="s">
        <v>21</v>
      </c>
      <c r="W44" s="771">
        <f t="shared" si="14"/>
        <v>100</v>
      </c>
      <c r="X44" s="772"/>
      <c r="Y44" s="316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161"/>
      <c r="Q45" s="1802">
        <f t="shared" si="11"/>
        <v>111</v>
      </c>
      <c r="R45" s="774" t="s">
        <v>21</v>
      </c>
      <c r="S45" s="775">
        <f t="shared" si="12"/>
        <v>100</v>
      </c>
      <c r="T45" s="774" t="s">
        <v>21</v>
      </c>
      <c r="U45" s="775">
        <f t="shared" si="13"/>
        <v>100</v>
      </c>
      <c r="V45" s="774" t="s">
        <v>21</v>
      </c>
      <c r="W45" s="775">
        <f t="shared" si="14"/>
        <v>100</v>
      </c>
      <c r="X45" s="1805"/>
      <c r="Y45" s="3163"/>
      <c r="Z45" s="1806">
        <f t="shared" si="18"/>
        <v>111</v>
      </c>
      <c r="AA45" s="1803">
        <f t="shared" si="15"/>
        <v>1</v>
      </c>
      <c r="AB45" s="1803">
        <f t="shared" si="16"/>
        <v>1</v>
      </c>
      <c r="AC45" s="1803">
        <f t="shared" si="17"/>
        <v>1</v>
      </c>
    </row>
    <row r="46" spans="1:29" ht="15.75" thickBot="1">
      <c r="A46" s="478"/>
      <c r="B46" s="2596">
        <v>111</v>
      </c>
      <c r="C46" s="437">
        <v>0.9</v>
      </c>
      <c r="D46" s="438">
        <v>100</v>
      </c>
      <c r="E46" s="437">
        <v>107514</v>
      </c>
      <c r="F46" s="439">
        <f>SUMIF(130:130,E46,131:131)-SUMIF(130:130,C46,131:131)+100</f>
        <v>100</v>
      </c>
      <c r="G46" s="437">
        <v>106341</v>
      </c>
      <c r="H46" s="438">
        <f>SUMIF(130:130,G46,131:131)-SUMIF(130:130,C46,131:131)+100</f>
        <v>100</v>
      </c>
      <c r="I46" s="437">
        <v>97873</v>
      </c>
      <c r="J46" s="438">
        <f>SUMIF(130:130,I46,131:131)-SUMIF(130:130,C46,131:131)+100</f>
        <v>100</v>
      </c>
      <c r="K46" s="2595"/>
      <c r="L46" s="1140"/>
      <c r="M46" s="1131"/>
      <c r="N46" s="1131"/>
      <c r="O46" s="1131"/>
      <c r="P46" s="3162"/>
      <c r="Q46" s="1802">
        <f t="shared" si="11"/>
        <v>111</v>
      </c>
      <c r="R46" s="774" t="s">
        <v>20</v>
      </c>
      <c r="S46" s="775">
        <f t="shared" si="12"/>
        <v>100</v>
      </c>
      <c r="T46" s="774" t="s">
        <v>20</v>
      </c>
      <c r="U46" s="775">
        <f t="shared" si="13"/>
        <v>100</v>
      </c>
      <c r="V46" s="774" t="s">
        <v>20</v>
      </c>
      <c r="W46" s="775">
        <f t="shared" si="14"/>
        <v>100</v>
      </c>
      <c r="X46" s="1805"/>
      <c r="Y46" s="3164"/>
      <c r="Z46" s="1806">
        <f t="shared" si="18"/>
        <v>111</v>
      </c>
      <c r="AA46" s="1803">
        <f t="shared" si="15"/>
        <v>1</v>
      </c>
      <c r="AB46" s="1803">
        <f t="shared" si="16"/>
        <v>1</v>
      </c>
      <c r="AC46" s="1803">
        <f t="shared" si="17"/>
        <v>1</v>
      </c>
    </row>
    <row r="47" spans="1:29" ht="15">
      <c r="A47" s="479" t="s">
        <v>2576</v>
      </c>
      <c r="B47" s="480"/>
      <c r="C47" s="1407" t="s">
        <v>19</v>
      </c>
      <c r="D47" s="1408"/>
      <c r="E47" s="1409">
        <f>E46*C46</f>
        <v>96762.6</v>
      </c>
      <c r="F47" s="1410"/>
      <c r="G47" s="1411">
        <f>G46*C46</f>
        <v>95706.900000000009</v>
      </c>
      <c r="H47" s="1412"/>
      <c r="I47" s="1409">
        <f>I46*C46</f>
        <v>88085.7</v>
      </c>
      <c r="J47" s="1412"/>
      <c r="K47" s="2613"/>
      <c r="L47" s="1143"/>
      <c r="M47" s="1144"/>
      <c r="N47" s="1131"/>
      <c r="O47" s="1144"/>
      <c r="P47" s="3156" t="str">
        <f>A47</f>
        <v>成交单价（元/平方米）</v>
      </c>
      <c r="Q47" s="3156"/>
      <c r="R47" s="3157">
        <f>E47</f>
        <v>96762.6</v>
      </c>
      <c r="S47" s="3157"/>
      <c r="T47" s="3157">
        <f>G47</f>
        <v>95706.900000000009</v>
      </c>
      <c r="U47" s="3157"/>
      <c r="V47" s="3157">
        <f>I47</f>
        <v>88085.7</v>
      </c>
      <c r="W47" s="3157"/>
      <c r="X47" s="759"/>
      <c r="Y47" s="781"/>
      <c r="Z47" s="759"/>
      <c r="AA47" s="759"/>
      <c r="AB47" s="759"/>
      <c r="AC47" s="759"/>
    </row>
    <row r="48" spans="1:29" ht="15.75" thickBot="1">
      <c r="A48" s="486" t="s">
        <v>2577</v>
      </c>
      <c r="B48" s="487"/>
      <c r="C48" s="1413">
        <f>R49</f>
        <v>93519</v>
      </c>
      <c r="D48" s="1414"/>
      <c r="E48" s="1415">
        <f>R48</f>
        <v>96763</v>
      </c>
      <c r="F48" s="1415"/>
      <c r="G48" s="1413">
        <f>T48</f>
        <v>95707</v>
      </c>
      <c r="H48" s="1414"/>
      <c r="I48" s="1415">
        <f>V48</f>
        <v>88086</v>
      </c>
      <c r="J48" s="1414"/>
      <c r="K48" s="2614"/>
      <c r="L48" s="1143"/>
      <c r="M48" s="1144"/>
      <c r="N48" s="1144"/>
      <c r="O48" s="1144"/>
      <c r="P48" s="3156" t="str">
        <f>A48</f>
        <v>比较价值（元/平方米）</v>
      </c>
      <c r="Q48" s="3156"/>
      <c r="R48" s="3157">
        <f>IF(F1="售价",ROUND(PRODUCT(R47,AA7:AA46),0),ROUND(PRODUCT(R47,AA7:AA46),1))</f>
        <v>96763</v>
      </c>
      <c r="S48" s="3157"/>
      <c r="T48" s="3157">
        <f>IF(F1="售价",ROUND(PRODUCT(T47,AB7:AB46),0),ROUND(PRODUCT(T47,AB7:AB46),1))</f>
        <v>95707</v>
      </c>
      <c r="U48" s="3157"/>
      <c r="V48" s="3157">
        <f>IF(F1="售价",ROUND(PRODUCT(V47,AC7:AC46),0),ROUND(PRODUCT(V47,AC7:AC46),1))</f>
        <v>88086</v>
      </c>
      <c r="W48" s="3157"/>
      <c r="X48" s="759"/>
      <c r="Y48" s="759"/>
      <c r="Z48" s="759"/>
      <c r="AA48" s="759"/>
      <c r="AB48" s="759"/>
      <c r="AC48" s="759"/>
    </row>
    <row r="49" spans="1:29" ht="15.75" thickBot="1">
      <c r="A49" s="492" t="s">
        <v>2578</v>
      </c>
      <c r="B49" s="493"/>
      <c r="C49" s="1416">
        <f>R49</f>
        <v>93519</v>
      </c>
      <c r="D49" s="1417"/>
      <c r="E49" s="1417"/>
      <c r="F49" s="1417"/>
      <c r="G49" s="1417"/>
      <c r="H49" s="1417"/>
      <c r="I49" s="1417"/>
      <c r="J49" s="1417"/>
      <c r="K49" s="2615"/>
      <c r="L49" s="1143"/>
      <c r="M49" s="1144"/>
      <c r="N49" s="1144"/>
      <c r="O49" s="1144"/>
      <c r="P49" s="3153" t="str">
        <f>A49</f>
        <v>估价对象XX用房的比较价值（楼面单价，元/平方米）</v>
      </c>
      <c r="Q49" s="3154"/>
      <c r="R49" s="3155">
        <f>IF(F1="售价",ROUND(AVERAGE(R48:V48),0),ROUND(AVERAGE(R48:V48),1))</f>
        <v>93519</v>
      </c>
      <c r="S49" s="3155"/>
      <c r="T49" s="3155"/>
      <c r="U49" s="3155"/>
      <c r="V49" s="3155"/>
      <c r="W49" s="31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f>IF(E47&lt;E48,E48/E47-1,E47/E48-1)</f>
        <v>4.1338285658998331E-6</v>
      </c>
      <c r="F52" s="500" t="str">
        <f>IF(OR(E52&gt;=0.3,E52&lt;=-0.3),"超过30%","")</f>
        <v/>
      </c>
      <c r="G52" s="499">
        <f>IF(G47&lt;G48,G48/G47-1,G47/G48-1)</f>
        <v>1.0448567449028445E-6</v>
      </c>
      <c r="H52" s="500" t="str">
        <f>IF(OR(G52&gt;=0.3,G52&lt;=-0.3),"超过30%","")</f>
        <v/>
      </c>
      <c r="I52" s="499">
        <f>IF(I47&lt;I48,I48/I47-1,I47/I48-1)</f>
        <v>3.4057741495896465E-6</v>
      </c>
      <c r="J52" s="500" t="str">
        <f>IF(OR(I52&gt;=0.3,I52&lt;=-0.3),"超过30%","")</f>
        <v/>
      </c>
      <c r="K52" s="1105"/>
      <c r="L52" s="1106"/>
      <c r="M52" s="1144"/>
      <c r="N52" s="1144"/>
      <c r="O52" s="1144"/>
    </row>
    <row r="53" spans="1:29" ht="13.5" customHeight="1">
      <c r="A53" s="1144"/>
      <c r="B53" s="1144"/>
      <c r="C53" s="497" t="s">
        <v>2580</v>
      </c>
      <c r="D53" s="501"/>
      <c r="E53" s="499">
        <f>IF(E48&lt;G48,G48/E48-1,E48/G48-1)</f>
        <v>1.1033675697702305E-2</v>
      </c>
      <c r="F53" s="500" t="str">
        <f>IF(OR(E53&gt;=0.2,E53&lt;=-0.2),"超过20%","")</f>
        <v/>
      </c>
      <c r="G53" s="499">
        <f>IF(G48&lt;I48,I48/G48-1,G48/I48-1)</f>
        <v>8.6517721317802998E-2</v>
      </c>
      <c r="H53" s="500" t="str">
        <f>IF(OR(G53&gt;=0.2,G53&lt;=-0.2),"超过20%","")</f>
        <v/>
      </c>
      <c r="I53" s="499">
        <f>IF(I48&lt;E48,E48/I48-1,I48/E48-1)</f>
        <v>9.8506005494630289E-2</v>
      </c>
      <c r="J53" s="500" t="str">
        <f>IF(OR(I53&gt;=0.2,I53&lt;=-0.2),"超过20%","")</f>
        <v/>
      </c>
      <c r="K53" s="1105"/>
      <c r="L53" s="1106"/>
      <c r="M53" s="1144"/>
      <c r="N53" s="1144"/>
      <c r="O53" s="1144"/>
    </row>
    <row r="54" spans="1:29" s="502" customFormat="1" ht="13.5" customHeight="1">
      <c r="A54" s="1145"/>
      <c r="B54" s="1145"/>
      <c r="C54" s="497" t="s">
        <v>2581</v>
      </c>
      <c r="D54" s="501"/>
      <c r="E54" s="499">
        <f>IF(E47&lt;G47,G47/E47-1,E47/G47-1)</f>
        <v>1.1030552656078108E-2</v>
      </c>
      <c r="F54" s="500" t="str">
        <f>IF(OR(E54&gt;=0.3,E54&lt;=-0.3),"超过30%","")</f>
        <v/>
      </c>
      <c r="G54" s="499">
        <f>IF(G47&lt;I47,I47/G47-1,G47/I47-1)</f>
        <v>8.6520286493721565E-2</v>
      </c>
      <c r="H54" s="500" t="str">
        <f>IF(OR(G54&gt;=0.3,G54&lt;=-0.3),"超过30%","")</f>
        <v/>
      </c>
      <c r="I54" s="499">
        <f>IF(I47&lt;E47,E47/I47-1,I47/E47-1)</f>
        <v>9.8505205725787581E-2</v>
      </c>
      <c r="J54" s="500" t="str">
        <f>IF(OR(I54&gt;=0.3,I54&lt;=-0.3),"超过30%","")</f>
        <v/>
      </c>
      <c r="K54" s="1148"/>
      <c r="L54" s="1149"/>
      <c r="M54" s="1145"/>
      <c r="N54" s="1145"/>
      <c r="O54" s="1145"/>
      <c r="P54" s="2617"/>
    </row>
    <row r="55" spans="1:29" s="502" customFormat="1">
      <c r="A55" s="1145"/>
      <c r="B55" s="1146"/>
      <c r="C55" s="1150"/>
      <c r="D55" s="1145"/>
      <c r="E55" s="1145"/>
      <c r="F55" s="1145"/>
      <c r="G55" s="1145"/>
      <c r="H55" s="1145"/>
      <c r="I55" s="1145"/>
      <c r="J55" s="1145"/>
      <c r="K55" s="1148"/>
      <c r="L55" s="1149"/>
      <c r="M55" s="1145"/>
      <c r="N55" s="1145"/>
      <c r="O55" s="1145"/>
      <c r="P55" s="2617"/>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18"/>
      <c r="Q57" s="504"/>
    </row>
    <row r="58" spans="1:29" s="508" customFormat="1" ht="15">
      <c r="A58" s="505" t="s">
        <v>2583</v>
      </c>
      <c r="B58" s="506"/>
      <c r="C58" s="1576" t="str">
        <f>YEAR(C7)&amp;"-"&amp;MONTH(C7)</f>
        <v>2020-7</v>
      </c>
      <c r="D58" s="1575">
        <f>EDATE(C58,-1)</f>
        <v>43983</v>
      </c>
      <c r="E58" s="1575">
        <f>EDATE(D58,-1)</f>
        <v>43952</v>
      </c>
      <c r="F58" s="1575">
        <f t="shared" ref="F58:O58" si="19">EDATE(E58,-1)</f>
        <v>43922</v>
      </c>
      <c r="G58" s="1575">
        <f t="shared" si="19"/>
        <v>43891</v>
      </c>
      <c r="H58" s="1575">
        <f t="shared" si="19"/>
        <v>43862</v>
      </c>
      <c r="I58" s="1575">
        <f t="shared" si="19"/>
        <v>43831</v>
      </c>
      <c r="J58" s="1575">
        <f t="shared" si="19"/>
        <v>43800</v>
      </c>
      <c r="K58" s="1575">
        <f t="shared" si="19"/>
        <v>43770</v>
      </c>
      <c r="L58" s="1575">
        <f t="shared" si="19"/>
        <v>43739</v>
      </c>
      <c r="M58" s="1575">
        <f t="shared" si="19"/>
        <v>43709</v>
      </c>
      <c r="N58" s="1575">
        <f t="shared" si="19"/>
        <v>43678</v>
      </c>
      <c r="O58" s="1575">
        <f t="shared" si="19"/>
        <v>43647</v>
      </c>
      <c r="P58" s="1570"/>
    </row>
    <row r="59" spans="1:29" s="117" customFormat="1" ht="15">
      <c r="A59" s="509"/>
      <c r="B59" s="2619"/>
      <c r="C59" s="1573">
        <v>100</v>
      </c>
      <c r="D59" s="511">
        <f>C59-$C$60</f>
        <v>100</v>
      </c>
      <c r="E59" s="511">
        <f t="shared" ref="E59:M59" si="20">D59-$C$60</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2"/>
      <c r="O59" s="513"/>
      <c r="P59" s="2620"/>
    </row>
    <row r="60" spans="1:29" s="117" customFormat="1" ht="15.75" thickBot="1">
      <c r="A60" s="515" t="s">
        <v>2584</v>
      </c>
      <c r="B60" s="516"/>
      <c r="C60" s="517">
        <v>0</v>
      </c>
      <c r="D60" s="518"/>
      <c r="E60" s="518"/>
      <c r="F60" s="518"/>
      <c r="G60" s="518"/>
      <c r="H60" s="518"/>
      <c r="I60" s="518"/>
      <c r="J60" s="518"/>
      <c r="K60" s="518"/>
      <c r="L60" s="518"/>
      <c r="M60" s="519"/>
      <c r="N60" s="518"/>
      <c r="O60" s="519"/>
      <c r="P60" s="2620"/>
      <c r="Q60" s="504"/>
    </row>
    <row r="61" spans="1:29" s="117" customFormat="1" ht="15">
      <c r="A61" s="521" t="s">
        <v>2585</v>
      </c>
      <c r="B61" s="510"/>
      <c r="C61" s="522" t="s">
        <v>2586</v>
      </c>
      <c r="D61" s="523"/>
      <c r="E61" s="523"/>
      <c r="F61" s="523"/>
      <c r="G61" s="523"/>
      <c r="H61" s="523"/>
      <c r="I61" s="523"/>
      <c r="J61" s="523"/>
      <c r="K61" s="523"/>
      <c r="L61" s="524"/>
      <c r="M61" s="525"/>
      <c r="N61" s="1151"/>
      <c r="O61" s="1151"/>
      <c r="P61" s="2621"/>
      <c r="Q61" s="504"/>
    </row>
    <row r="62" spans="1:29" s="117" customFormat="1" ht="15.75" thickBot="1">
      <c r="A62" s="521"/>
      <c r="B62" s="510"/>
      <c r="C62" s="511">
        <v>100</v>
      </c>
      <c r="D62" s="512"/>
      <c r="E62" s="512"/>
      <c r="F62" s="512"/>
      <c r="G62" s="512"/>
      <c r="H62" s="512"/>
      <c r="I62" s="512"/>
      <c r="J62" s="512"/>
      <c r="K62" s="512"/>
      <c r="L62" s="512"/>
      <c r="M62" s="514"/>
      <c r="N62" s="1151"/>
      <c r="O62" s="1151"/>
      <c r="P62" s="2620"/>
      <c r="Q62" s="504"/>
    </row>
    <row r="63" spans="1:29">
      <c r="A63" s="527" t="s">
        <v>2587</v>
      </c>
      <c r="B63" s="528" t="s">
        <v>2553</v>
      </c>
      <c r="C63" s="529">
        <f>C9</f>
        <v>0</v>
      </c>
      <c r="D63" s="530"/>
      <c r="E63" s="530"/>
      <c r="F63" s="530"/>
      <c r="G63" s="530"/>
      <c r="H63" s="530"/>
      <c r="I63" s="530"/>
      <c r="J63" s="530"/>
      <c r="K63" s="531"/>
      <c r="L63" s="532"/>
      <c r="M63" s="533"/>
      <c r="N63" s="1152"/>
      <c r="O63" s="1152"/>
      <c r="P63" s="2622"/>
      <c r="Q63" s="504"/>
    </row>
    <row r="64" spans="1:29" ht="15.75" thickBot="1">
      <c r="A64" s="534"/>
      <c r="B64" s="535"/>
      <c r="C64" s="536">
        <v>100</v>
      </c>
      <c r="D64" s="536"/>
      <c r="E64" s="536"/>
      <c r="F64" s="536"/>
      <c r="G64" s="536"/>
      <c r="H64" s="536"/>
      <c r="I64" s="536"/>
      <c r="J64" s="536"/>
      <c r="K64" s="536"/>
      <c r="L64" s="536"/>
      <c r="M64" s="537"/>
      <c r="N64" s="1153"/>
      <c r="O64" s="1153"/>
      <c r="P64" s="262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2"/>
      <c r="Q65" s="504"/>
    </row>
    <row r="66" spans="1:17" ht="15.75" thickBot="1">
      <c r="A66" s="534"/>
      <c r="B66" s="543"/>
      <c r="C66" s="544">
        <v>100</v>
      </c>
      <c r="D66" s="544">
        <f t="shared" ref="D66:I66" si="21">C66-$K10</f>
        <v>100</v>
      </c>
      <c r="E66" s="544">
        <f t="shared" si="21"/>
        <v>100</v>
      </c>
      <c r="F66" s="544">
        <f t="shared" si="21"/>
        <v>100</v>
      </c>
      <c r="G66" s="544">
        <f t="shared" si="21"/>
        <v>100</v>
      </c>
      <c r="H66" s="544">
        <f t="shared" si="21"/>
        <v>100</v>
      </c>
      <c r="I66" s="544">
        <f t="shared" si="21"/>
        <v>100</v>
      </c>
      <c r="J66" s="544"/>
      <c r="K66" s="544"/>
      <c r="L66" s="544"/>
      <c r="M66" s="545"/>
      <c r="N66" s="1153"/>
      <c r="O66" s="1153"/>
      <c r="P66" s="2622"/>
      <c r="Q66" s="504"/>
    </row>
    <row r="67" spans="1:17" ht="15.75" thickTop="1">
      <c r="A67" s="534"/>
      <c r="B67" s="546" t="s">
        <v>2557</v>
      </c>
      <c r="C67" s="547" t="str">
        <f>C68&amp;"（含）"&amp;"-"&amp;D68</f>
        <v>0（含）-</v>
      </c>
      <c r="D67" s="547" t="str">
        <f t="shared" ref="D67:L67" si="22">D68&amp;"（含）"&amp;"-"&amp;E68</f>
        <v>（含）-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3"/>
      <c r="O67" s="1153"/>
      <c r="P67" s="2622"/>
      <c r="Q67" s="504"/>
    </row>
    <row r="68" spans="1:17" ht="15">
      <c r="A68" s="534"/>
      <c r="B68" s="548"/>
      <c r="C68" s="549">
        <v>0</v>
      </c>
      <c r="D68" s="549"/>
      <c r="E68" s="549"/>
      <c r="F68" s="549"/>
      <c r="G68" s="549"/>
      <c r="H68" s="549"/>
      <c r="I68" s="549"/>
      <c r="J68" s="549"/>
      <c r="K68" s="550"/>
      <c r="L68" s="551"/>
      <c r="M68" s="552"/>
      <c r="N68" s="1152"/>
      <c r="O68" s="1152"/>
      <c r="P68" s="2622"/>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3"/>
      <c r="O69" s="1153"/>
      <c r="P69" s="2622"/>
      <c r="Q69" s="504"/>
    </row>
    <row r="70" spans="1:17" s="471" customFormat="1" ht="15.75" thickTop="1">
      <c r="A70" s="553"/>
      <c r="B70" s="538">
        <f>B12</f>
        <v>111</v>
      </c>
      <c r="C70" s="554"/>
      <c r="D70" s="554"/>
      <c r="E70" s="554"/>
      <c r="F70" s="554"/>
      <c r="G70" s="554"/>
      <c r="H70" s="555"/>
      <c r="I70" s="555"/>
      <c r="J70" s="555"/>
      <c r="K70" s="555"/>
      <c r="L70" s="556"/>
      <c r="M70" s="557"/>
      <c r="N70" s="1154"/>
      <c r="O70" s="1154"/>
      <c r="P70" s="2623"/>
      <c r="Q70" s="559"/>
    </row>
    <row r="71" spans="1:17" s="471" customFormat="1" ht="15.75" thickBot="1">
      <c r="A71" s="553"/>
      <c r="B71" s="543"/>
      <c r="C71" s="560"/>
      <c r="D71" s="536"/>
      <c r="E71" s="536"/>
      <c r="F71" s="536"/>
      <c r="G71" s="536"/>
      <c r="H71" s="536"/>
      <c r="I71" s="536"/>
      <c r="J71" s="536"/>
      <c r="K71" s="536"/>
      <c r="L71" s="536"/>
      <c r="M71" s="537"/>
      <c r="N71" s="1153"/>
      <c r="O71" s="1153"/>
      <c r="P71" s="2623"/>
      <c r="Q71" s="559"/>
    </row>
    <row r="72" spans="1:17" s="471" customFormat="1" ht="15.75" thickTop="1">
      <c r="A72" s="553"/>
      <c r="B72" s="538">
        <f>B13</f>
        <v>111</v>
      </c>
      <c r="C72" s="554"/>
      <c r="D72" s="554"/>
      <c r="E72" s="554"/>
      <c r="F72" s="554"/>
      <c r="G72" s="554"/>
      <c r="H72" s="555"/>
      <c r="I72" s="555"/>
      <c r="J72" s="555"/>
      <c r="K72" s="555"/>
      <c r="L72" s="556"/>
      <c r="M72" s="557"/>
      <c r="N72" s="1154"/>
      <c r="O72" s="1154"/>
      <c r="P72" s="2624"/>
      <c r="Q72" s="561"/>
    </row>
    <row r="73" spans="1:17" s="471" customFormat="1" ht="15.75" thickBot="1">
      <c r="A73" s="553"/>
      <c r="B73" s="543"/>
      <c r="C73" s="560"/>
      <c r="D73" s="560"/>
      <c r="E73" s="560"/>
      <c r="F73" s="560"/>
      <c r="G73" s="560"/>
      <c r="H73" s="562"/>
      <c r="I73" s="562"/>
      <c r="J73" s="562"/>
      <c r="K73" s="562"/>
      <c r="L73" s="562"/>
      <c r="M73" s="563"/>
      <c r="N73" s="1154"/>
      <c r="O73" s="1154"/>
      <c r="P73" s="2623"/>
      <c r="Q73" s="559"/>
    </row>
    <row r="74" spans="1:17" s="471" customFormat="1" ht="15.75" thickTop="1">
      <c r="A74" s="553"/>
      <c r="B74" s="546">
        <f>B14</f>
        <v>111</v>
      </c>
      <c r="C74" s="554"/>
      <c r="D74" s="554"/>
      <c r="E74" s="554"/>
      <c r="F74" s="554"/>
      <c r="G74" s="523"/>
      <c r="H74" s="564"/>
      <c r="I74" s="564"/>
      <c r="J74" s="564"/>
      <c r="K74" s="564"/>
      <c r="L74" s="565"/>
      <c r="M74" s="566"/>
      <c r="N74" s="1154"/>
      <c r="O74" s="1154"/>
      <c r="P74" s="2625"/>
      <c r="Q74" s="559"/>
    </row>
    <row r="75" spans="1:17" s="471" customFormat="1" ht="15.75" thickBot="1">
      <c r="A75" s="568"/>
      <c r="B75" s="569"/>
      <c r="C75" s="570"/>
      <c r="D75" s="570"/>
      <c r="E75" s="570"/>
      <c r="F75" s="570"/>
      <c r="G75" s="570"/>
      <c r="H75" s="571"/>
      <c r="I75" s="571"/>
      <c r="J75" s="571"/>
      <c r="K75" s="571"/>
      <c r="L75" s="571"/>
      <c r="M75" s="572"/>
      <c r="N75" s="1154"/>
      <c r="O75" s="1154"/>
      <c r="P75" s="262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2"/>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2"/>
      <c r="Q82" s="504"/>
    </row>
    <row r="83" spans="1:17" ht="15.75" thickBot="1">
      <c r="A83" s="534"/>
      <c r="B83" s="546"/>
      <c r="C83" s="660">
        <v>100</v>
      </c>
      <c r="D83" s="660">
        <f>C83-$K21</f>
        <v>100</v>
      </c>
      <c r="E83" s="660">
        <f t="shared" ref="E83:G83" si="24">D83-$K21</f>
        <v>100</v>
      </c>
      <c r="F83" s="660">
        <f t="shared" si="24"/>
        <v>100</v>
      </c>
      <c r="G83" s="660">
        <f t="shared" si="24"/>
        <v>100</v>
      </c>
      <c r="H83" s="660"/>
      <c r="I83" s="660"/>
      <c r="J83" s="660"/>
      <c r="K83" s="660"/>
      <c r="L83" s="660"/>
      <c r="M83" s="450"/>
      <c r="N83" s="1153"/>
      <c r="O83" s="1153"/>
      <c r="P83" s="262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2"/>
      <c r="Q85" s="504"/>
    </row>
    <row r="86" spans="1:17" s="117" customFormat="1" ht="15.75" thickTop="1">
      <c r="A86" s="579"/>
      <c r="B86" s="538" t="s">
        <v>2609</v>
      </c>
      <c r="C86" s="554"/>
      <c r="D86" s="554"/>
      <c r="E86" s="554"/>
      <c r="F86" s="554"/>
      <c r="G86" s="554"/>
      <c r="H86" s="554"/>
      <c r="I86" s="554"/>
      <c r="J86" s="554"/>
      <c r="K86" s="554"/>
      <c r="L86" s="580"/>
      <c r="M86" s="581"/>
      <c r="N86" s="1151"/>
      <c r="O86" s="1151"/>
      <c r="P86" s="2622"/>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3"/>
      <c r="O87" s="1153"/>
      <c r="P87" s="2622"/>
      <c r="Q87" s="504"/>
    </row>
    <row r="88" spans="1:17" s="117" customFormat="1" ht="15.75" thickTop="1">
      <c r="A88" s="579"/>
      <c r="B88" s="538" t="s">
        <v>2610</v>
      </c>
      <c r="C88" s="554"/>
      <c r="D88" s="554"/>
      <c r="E88" s="554"/>
      <c r="F88" s="2627"/>
      <c r="G88" s="554"/>
      <c r="H88" s="554"/>
      <c r="I88" s="554"/>
      <c r="J88" s="554"/>
      <c r="K88" s="554"/>
      <c r="L88" s="554"/>
      <c r="M88" s="581"/>
      <c r="N88" s="1151"/>
      <c r="O88" s="1151"/>
      <c r="P88" s="2622"/>
      <c r="Q88" s="504"/>
    </row>
    <row r="89" spans="1:17" s="117" customFormat="1" ht="15.75" thickBot="1">
      <c r="A89" s="579"/>
      <c r="B89" s="543"/>
      <c r="C89" s="582">
        <v>100</v>
      </c>
      <c r="D89" s="544">
        <f t="shared" ref="D89:M89" si="26">C89-$K26</f>
        <v>100</v>
      </c>
      <c r="E89" s="544">
        <f t="shared" si="26"/>
        <v>100</v>
      </c>
      <c r="F89" s="544">
        <f t="shared" si="26"/>
        <v>100</v>
      </c>
      <c r="G89" s="544">
        <f t="shared" si="26"/>
        <v>100</v>
      </c>
      <c r="H89" s="544">
        <f t="shared" si="26"/>
        <v>100</v>
      </c>
      <c r="I89" s="544">
        <f t="shared" si="26"/>
        <v>100</v>
      </c>
      <c r="J89" s="544">
        <f t="shared" si="26"/>
        <v>100</v>
      </c>
      <c r="K89" s="544">
        <f t="shared" si="26"/>
        <v>100</v>
      </c>
      <c r="L89" s="544">
        <f t="shared" si="26"/>
        <v>100</v>
      </c>
      <c r="M89" s="544">
        <f t="shared" si="26"/>
        <v>100</v>
      </c>
      <c r="N89" s="1153"/>
      <c r="O89" s="1153"/>
      <c r="P89" s="2622"/>
      <c r="Q89" s="504"/>
    </row>
    <row r="90" spans="1:17" s="471" customFormat="1" ht="15.75" thickTop="1">
      <c r="A90" s="553"/>
      <c r="B90" s="538">
        <f>B27</f>
        <v>111</v>
      </c>
      <c r="C90" s="554"/>
      <c r="D90" s="554"/>
      <c r="E90" s="554"/>
      <c r="F90" s="554"/>
      <c r="G90" s="554"/>
      <c r="H90" s="555"/>
      <c r="I90" s="555"/>
      <c r="J90" s="555"/>
      <c r="K90" s="555"/>
      <c r="L90" s="556"/>
      <c r="M90" s="557"/>
      <c r="N90" s="1154"/>
      <c r="O90" s="1154"/>
      <c r="P90" s="2623"/>
      <c r="Q90" s="559"/>
    </row>
    <row r="91" spans="1:17" s="471" customFormat="1" ht="15.75" thickBot="1">
      <c r="A91" s="553"/>
      <c r="B91" s="543"/>
      <c r="C91" s="560"/>
      <c r="D91" s="560"/>
      <c r="E91" s="560"/>
      <c r="F91" s="560"/>
      <c r="G91" s="560"/>
      <c r="H91" s="562"/>
      <c r="I91" s="562"/>
      <c r="J91" s="562"/>
      <c r="K91" s="562"/>
      <c r="L91" s="562"/>
      <c r="M91" s="563"/>
      <c r="N91" s="1154"/>
      <c r="O91" s="1154"/>
      <c r="P91" s="2623"/>
      <c r="Q91" s="559"/>
    </row>
    <row r="92" spans="1:17" ht="15.75" thickTop="1">
      <c r="A92" s="534"/>
      <c r="B92" s="538">
        <f>B28</f>
        <v>111</v>
      </c>
      <c r="C92" s="554"/>
      <c r="D92" s="554"/>
      <c r="E92" s="554"/>
      <c r="F92" s="554"/>
      <c r="G92" s="583"/>
      <c r="H92" s="583"/>
      <c r="I92" s="583"/>
      <c r="J92" s="583"/>
      <c r="K92" s="584"/>
      <c r="L92" s="585"/>
      <c r="M92" s="586"/>
      <c r="N92" s="1152"/>
      <c r="O92" s="1152"/>
      <c r="P92" s="2622"/>
      <c r="Q92" s="504"/>
    </row>
    <row r="93" spans="1:17" ht="15.75" thickBot="1">
      <c r="A93" s="534"/>
      <c r="B93" s="543"/>
      <c r="C93" s="560"/>
      <c r="D93" s="536"/>
      <c r="E93" s="536"/>
      <c r="F93" s="536"/>
      <c r="G93" s="536"/>
      <c r="H93" s="536"/>
      <c r="I93" s="536"/>
      <c r="J93" s="536"/>
      <c r="K93" s="536"/>
      <c r="L93" s="536"/>
      <c r="M93" s="537"/>
      <c r="N93" s="1153"/>
      <c r="O93" s="1153"/>
      <c r="P93" s="2622"/>
      <c r="Q93" s="504"/>
    </row>
    <row r="94" spans="1:17" ht="15.75" thickTop="1">
      <c r="A94" s="534"/>
      <c r="B94" s="538">
        <f>B29</f>
        <v>111</v>
      </c>
      <c r="C94" s="554"/>
      <c r="D94" s="554"/>
      <c r="E94" s="554"/>
      <c r="F94" s="554"/>
      <c r="G94" s="583"/>
      <c r="H94" s="583"/>
      <c r="I94" s="583"/>
      <c r="J94" s="583"/>
      <c r="K94" s="584"/>
      <c r="L94" s="585"/>
      <c r="M94" s="586"/>
      <c r="N94" s="1152"/>
      <c r="O94" s="1152"/>
      <c r="P94" s="2622"/>
      <c r="Q94" s="504"/>
    </row>
    <row r="95" spans="1:17" ht="15.75" thickBot="1">
      <c r="A95" s="534"/>
      <c r="B95" s="543"/>
      <c r="C95" s="560"/>
      <c r="D95" s="560"/>
      <c r="E95" s="560"/>
      <c r="F95" s="560"/>
      <c r="G95" s="536"/>
      <c r="H95" s="536"/>
      <c r="I95" s="536"/>
      <c r="J95" s="536"/>
      <c r="K95" s="536"/>
      <c r="L95" s="536"/>
      <c r="M95" s="537"/>
      <c r="N95" s="1153"/>
      <c r="O95" s="1153"/>
      <c r="P95" s="2622"/>
      <c r="Q95" s="504"/>
    </row>
    <row r="96" spans="1:17" ht="15.75" thickTop="1">
      <c r="A96" s="534"/>
      <c r="B96" s="538">
        <f>B30</f>
        <v>111</v>
      </c>
      <c r="C96" s="554"/>
      <c r="D96" s="554"/>
      <c r="E96" s="554"/>
      <c r="F96" s="554"/>
      <c r="G96" s="583"/>
      <c r="H96" s="583"/>
      <c r="I96" s="583"/>
      <c r="J96" s="583"/>
      <c r="K96" s="584"/>
      <c r="L96" s="585"/>
      <c r="M96" s="586"/>
      <c r="N96" s="1152"/>
      <c r="O96" s="1152"/>
      <c r="P96" s="2622"/>
      <c r="Q96" s="504"/>
    </row>
    <row r="97" spans="1:17" ht="15.75" thickBot="1">
      <c r="A97" s="534"/>
      <c r="B97" s="543"/>
      <c r="C97" s="570"/>
      <c r="D97" s="570"/>
      <c r="E97" s="570"/>
      <c r="F97" s="570"/>
      <c r="G97" s="536"/>
      <c r="H97" s="536"/>
      <c r="I97" s="536"/>
      <c r="J97" s="536"/>
      <c r="K97" s="536"/>
      <c r="L97" s="536"/>
      <c r="M97" s="537"/>
      <c r="N97" s="1153"/>
      <c r="O97" s="1153"/>
      <c r="P97" s="2622"/>
      <c r="Q97" s="504"/>
    </row>
    <row r="98" spans="1:17" ht="15.75" thickTop="1">
      <c r="A98" s="534"/>
      <c r="B98" s="546">
        <f>B31</f>
        <v>111</v>
      </c>
      <c r="C98" s="587"/>
      <c r="D98" s="587"/>
      <c r="E98" s="587"/>
      <c r="F98" s="587"/>
      <c r="G98" s="587"/>
      <c r="H98" s="587"/>
      <c r="I98" s="587"/>
      <c r="J98" s="587"/>
      <c r="K98" s="588"/>
      <c r="L98" s="589"/>
      <c r="M98" s="590"/>
      <c r="N98" s="1152"/>
      <c r="O98" s="1152"/>
      <c r="P98" s="2622"/>
      <c r="Q98" s="504"/>
    </row>
    <row r="99" spans="1:17" ht="15.75" thickBot="1">
      <c r="A99" s="2628"/>
      <c r="B99" s="569"/>
      <c r="C99" s="591"/>
      <c r="D99" s="591"/>
      <c r="E99" s="591"/>
      <c r="F99" s="591"/>
      <c r="G99" s="591"/>
      <c r="H99" s="591"/>
      <c r="I99" s="591"/>
      <c r="J99" s="591"/>
      <c r="K99" s="591"/>
      <c r="L99" s="591"/>
      <c r="M99" s="592"/>
      <c r="N99" s="1153"/>
      <c r="O99" s="1153"/>
      <c r="P99" s="2622"/>
      <c r="Q99" s="504"/>
    </row>
    <row r="100" spans="1:17">
      <c r="A100" s="527" t="s">
        <v>2562</v>
      </c>
      <c r="B100" s="528" t="s">
        <v>2611</v>
      </c>
      <c r="C100" s="2961" t="s">
        <v>3104</v>
      </c>
      <c r="D100" s="530"/>
      <c r="E100" s="530"/>
      <c r="F100" s="530"/>
      <c r="G100" s="530"/>
      <c r="H100" s="530"/>
      <c r="I100" s="530"/>
      <c r="J100" s="530"/>
      <c r="K100" s="531"/>
      <c r="L100" s="532"/>
      <c r="M100" s="533"/>
      <c r="N100" s="1152"/>
      <c r="O100" s="1152"/>
      <c r="P100" s="2622"/>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3"/>
      <c r="O101" s="1153"/>
      <c r="P101" s="2622"/>
      <c r="Q101" s="504"/>
    </row>
    <row r="102" spans="1:17" ht="15.75" thickTop="1">
      <c r="A102" s="534"/>
      <c r="B102" s="538" t="s">
        <v>2612</v>
      </c>
      <c r="C102" s="578" t="str">
        <f>C103&amp;"(含)"&amp;"-"&amp;D103</f>
        <v>0(含)-100</v>
      </c>
      <c r="D102" s="578" t="str">
        <f t="shared" ref="D102:L102" si="28">D103&amp;"(含)"&amp;"-"&amp;E103</f>
        <v>100(含)-200</v>
      </c>
      <c r="E102" s="578" t="str">
        <f t="shared" si="28"/>
        <v>200(含)-300</v>
      </c>
      <c r="F102" s="578" t="str">
        <f t="shared" si="28"/>
        <v>300(含)-</v>
      </c>
      <c r="G102" s="578" t="str">
        <f t="shared" si="28"/>
        <v>(含)-</v>
      </c>
      <c r="H102" s="578" t="str">
        <f t="shared" si="28"/>
        <v>(含)-</v>
      </c>
      <c r="I102" s="578" t="str">
        <f t="shared" si="28"/>
        <v>(含)-</v>
      </c>
      <c r="J102" s="578" t="str">
        <f t="shared" si="28"/>
        <v>(含)-</v>
      </c>
      <c r="K102" s="578" t="str">
        <f>K103&amp;"(含)"&amp;"-"&amp;L103</f>
        <v>(含)-</v>
      </c>
      <c r="L102" s="578" t="str">
        <f t="shared" si="28"/>
        <v>(含)-</v>
      </c>
      <c r="M102" s="578" t="str">
        <f>M103&amp;"(含)"&amp;"-"&amp;P103</f>
        <v>(含)-</v>
      </c>
      <c r="N102" s="1151"/>
      <c r="O102" s="1151"/>
      <c r="P102" s="2622"/>
      <c r="Q102" s="504"/>
    </row>
    <row r="103" spans="1:17" s="471" customFormat="1">
      <c r="A103" s="593"/>
      <c r="B103" s="594"/>
      <c r="C103" s="595">
        <v>0</v>
      </c>
      <c r="D103" s="595">
        <v>100</v>
      </c>
      <c r="E103" s="595">
        <v>200</v>
      </c>
      <c r="F103" s="595">
        <v>300</v>
      </c>
      <c r="G103" s="595"/>
      <c r="H103" s="595"/>
      <c r="I103" s="595"/>
      <c r="J103" s="596"/>
      <c r="K103" s="596"/>
      <c r="L103" s="597"/>
      <c r="M103" s="598"/>
      <c r="N103" s="1154"/>
      <c r="O103" s="1154"/>
      <c r="P103" s="2623"/>
      <c r="Q103" s="559"/>
    </row>
    <row r="104" spans="1:17" s="471" customFormat="1" ht="15.75" thickBot="1">
      <c r="A104" s="553"/>
      <c r="B104" s="543"/>
      <c r="C104" s="560">
        <v>100</v>
      </c>
      <c r="D104" s="536">
        <v>99</v>
      </c>
      <c r="E104" s="536">
        <v>98</v>
      </c>
      <c r="F104" s="536">
        <v>97</v>
      </c>
      <c r="G104" s="536"/>
      <c r="H104" s="536"/>
      <c r="I104" s="536"/>
      <c r="J104" s="536"/>
      <c r="K104" s="536"/>
      <c r="L104" s="536"/>
      <c r="M104" s="536"/>
      <c r="N104" s="1153"/>
      <c r="O104" s="1153"/>
      <c r="P104" s="2623"/>
      <c r="Q104" s="559"/>
    </row>
    <row r="105" spans="1:17" ht="15" thickTop="1">
      <c r="A105" s="599"/>
      <c r="B105" s="538" t="s">
        <v>2613</v>
      </c>
      <c r="C105" s="2962" t="s">
        <v>3105</v>
      </c>
      <c r="D105" s="554"/>
      <c r="E105" s="583"/>
      <c r="F105" s="583"/>
      <c r="G105" s="583"/>
      <c r="H105" s="583"/>
      <c r="I105" s="583"/>
      <c r="J105" s="583"/>
      <c r="K105" s="584"/>
      <c r="L105" s="585"/>
      <c r="M105" s="586"/>
      <c r="N105" s="1152"/>
      <c r="O105" s="1152"/>
      <c r="P105" s="2622"/>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3"/>
      <c r="O106" s="1153"/>
      <c r="P106" s="2622"/>
      <c r="Q106" s="504"/>
    </row>
    <row r="107" spans="1:17" ht="15" thickTop="1">
      <c r="A107" s="599"/>
      <c r="B107" s="538" t="s">
        <v>2614</v>
      </c>
      <c r="C107" s="583"/>
      <c r="D107" s="583"/>
      <c r="E107" s="583"/>
      <c r="F107" s="583"/>
      <c r="G107" s="583"/>
      <c r="H107" s="583"/>
      <c r="I107" s="583"/>
      <c r="J107" s="583"/>
      <c r="K107" s="584"/>
      <c r="L107" s="585"/>
      <c r="M107" s="586"/>
      <c r="N107" s="1152"/>
      <c r="O107" s="1152"/>
      <c r="P107" s="2622"/>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3"/>
      <c r="O108" s="1153"/>
      <c r="P108" s="2622"/>
      <c r="Q108" s="504"/>
    </row>
    <row r="109" spans="1:17" ht="15" thickTop="1">
      <c r="A109" s="599"/>
      <c r="B109" s="538" t="s">
        <v>2615</v>
      </c>
      <c r="C109" s="554"/>
      <c r="D109" s="554"/>
      <c r="E109" s="554"/>
      <c r="F109" s="583"/>
      <c r="G109" s="583"/>
      <c r="H109" s="583"/>
      <c r="I109" s="583"/>
      <c r="J109" s="583"/>
      <c r="K109" s="584"/>
      <c r="L109" s="585"/>
      <c r="M109" s="586"/>
      <c r="N109" s="1152"/>
      <c r="O109" s="1152"/>
      <c r="P109" s="2622"/>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3"/>
      <c r="O110" s="1153"/>
      <c r="P110" s="262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3"/>
      <c r="Q113" s="559"/>
    </row>
    <row r="114" spans="1:17" ht="15" thickTop="1">
      <c r="A114" s="599"/>
      <c r="B114" s="538" t="s">
        <v>2616</v>
      </c>
      <c r="C114" s="554"/>
      <c r="D114" s="554"/>
      <c r="E114" s="583"/>
      <c r="F114" s="583"/>
      <c r="G114" s="583"/>
      <c r="H114" s="583"/>
      <c r="I114" s="583"/>
      <c r="J114" s="583"/>
      <c r="K114" s="584"/>
      <c r="L114" s="585"/>
      <c r="M114" s="586"/>
      <c r="N114" s="1152"/>
      <c r="O114" s="1152"/>
      <c r="P114" s="2622"/>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3"/>
      <c r="O115" s="1153"/>
      <c r="P115" s="2622"/>
      <c r="Q115" s="504"/>
    </row>
    <row r="116" spans="1:17" ht="15" thickTop="1">
      <c r="A116" s="599"/>
      <c r="B116" s="538" t="s">
        <v>2617</v>
      </c>
      <c r="C116" s="554"/>
      <c r="D116" s="554"/>
      <c r="E116" s="554"/>
      <c r="F116" s="554"/>
      <c r="G116" s="554"/>
      <c r="H116" s="583"/>
      <c r="I116" s="583"/>
      <c r="J116" s="583"/>
      <c r="K116" s="584"/>
      <c r="L116" s="585"/>
      <c r="M116" s="586"/>
      <c r="N116" s="1152"/>
      <c r="O116" s="1152"/>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2"/>
      <c r="Q117" s="504"/>
    </row>
    <row r="118" spans="1:17" ht="15" thickTop="1">
      <c r="A118" s="599"/>
      <c r="B118" s="538" t="s">
        <v>2618</v>
      </c>
      <c r="C118" s="583"/>
      <c r="D118" s="583"/>
      <c r="E118" s="583"/>
      <c r="F118" s="583"/>
      <c r="G118" s="583"/>
      <c r="H118" s="583"/>
      <c r="I118" s="583"/>
      <c r="J118" s="583"/>
      <c r="K118" s="584"/>
      <c r="L118" s="585"/>
      <c r="M118" s="586"/>
      <c r="N118" s="1152"/>
      <c r="O118" s="1152"/>
      <c r="P118" s="2622"/>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3"/>
      <c r="O119" s="1153"/>
      <c r="P119" s="2622"/>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3"/>
      <c r="Q121" s="559"/>
    </row>
    <row r="122" spans="1:17" ht="15" thickTop="1">
      <c r="A122" s="599"/>
      <c r="B122" s="538" t="s">
        <v>2619</v>
      </c>
      <c r="C122" s="554"/>
      <c r="D122" s="554"/>
      <c r="E122" s="554"/>
      <c r="F122" s="583"/>
      <c r="G122" s="583"/>
      <c r="H122" s="583"/>
      <c r="I122" s="583"/>
      <c r="J122" s="583"/>
      <c r="K122" s="584"/>
      <c r="L122" s="585"/>
      <c r="M122" s="586"/>
      <c r="N122" s="1152"/>
      <c r="O122" s="1152"/>
      <c r="P122" s="2622"/>
      <c r="Q122" s="504"/>
    </row>
    <row r="123" spans="1:17" ht="15.75" thickBot="1">
      <c r="A123" s="534"/>
      <c r="B123" s="543"/>
      <c r="C123" s="544">
        <v>100</v>
      </c>
      <c r="D123" s="544">
        <f t="shared" ref="D123:M123" si="34">C123-$K42</f>
        <v>100</v>
      </c>
      <c r="E123" s="544">
        <f t="shared" si="34"/>
        <v>100</v>
      </c>
      <c r="F123" s="544">
        <f t="shared" si="34"/>
        <v>100</v>
      </c>
      <c r="G123" s="544">
        <f t="shared" si="34"/>
        <v>100</v>
      </c>
      <c r="H123" s="544">
        <f t="shared" si="34"/>
        <v>100</v>
      </c>
      <c r="I123" s="544">
        <f t="shared" si="34"/>
        <v>100</v>
      </c>
      <c r="J123" s="544">
        <f t="shared" si="34"/>
        <v>100</v>
      </c>
      <c r="K123" s="544">
        <f t="shared" si="34"/>
        <v>100</v>
      </c>
      <c r="L123" s="544">
        <f t="shared" si="34"/>
        <v>100</v>
      </c>
      <c r="M123" s="544">
        <f t="shared" si="34"/>
        <v>100</v>
      </c>
      <c r="N123" s="1153"/>
      <c r="O123" s="1153"/>
      <c r="P123" s="262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3"/>
      <c r="Q127" s="559"/>
    </row>
    <row r="128" spans="1:17" ht="15" thickTop="1">
      <c r="A128" s="599"/>
      <c r="B128" s="538">
        <f>B45</f>
        <v>111</v>
      </c>
      <c r="C128" s="554"/>
      <c r="D128" s="554"/>
      <c r="E128" s="554"/>
      <c r="F128" s="554"/>
      <c r="G128" s="583"/>
      <c r="H128" s="583"/>
      <c r="I128" s="583"/>
      <c r="J128" s="583"/>
      <c r="K128" s="584"/>
      <c r="L128" s="585"/>
      <c r="M128" s="586"/>
      <c r="N128" s="1152"/>
      <c r="O128" s="1152"/>
      <c r="P128" s="2622"/>
      <c r="Q128" s="504"/>
    </row>
    <row r="129" spans="1:17" ht="15.75" thickBot="1">
      <c r="A129" s="534"/>
      <c r="B129" s="543"/>
      <c r="C129" s="560"/>
      <c r="D129" s="560"/>
      <c r="E129" s="560"/>
      <c r="F129" s="560"/>
      <c r="G129" s="536"/>
      <c r="H129" s="536"/>
      <c r="I129" s="536"/>
      <c r="J129" s="536"/>
      <c r="K129" s="536"/>
      <c r="L129" s="536"/>
      <c r="M129" s="537"/>
      <c r="N129" s="1153"/>
      <c r="O129" s="1153"/>
      <c r="P129" s="2622"/>
      <c r="Q129" s="504"/>
    </row>
    <row r="130" spans="1:17" ht="15" thickTop="1">
      <c r="A130" s="599"/>
      <c r="B130" s="546">
        <f>B46</f>
        <v>111</v>
      </c>
      <c r="C130" s="554"/>
      <c r="D130" s="554"/>
      <c r="E130" s="554"/>
      <c r="F130" s="554"/>
      <c r="G130" s="587"/>
      <c r="H130" s="587"/>
      <c r="I130" s="587"/>
      <c r="J130" s="587"/>
      <c r="K130" s="523"/>
      <c r="L130" s="524"/>
      <c r="M130" s="590"/>
      <c r="N130" s="1152"/>
      <c r="O130" s="1152"/>
      <c r="P130" s="2622"/>
      <c r="Q130" s="504"/>
    </row>
    <row r="131" spans="1:17" ht="15.75" thickBot="1">
      <c r="A131" s="2628"/>
      <c r="B131" s="569"/>
      <c r="C131" s="570"/>
      <c r="D131" s="570"/>
      <c r="E131" s="570"/>
      <c r="F131" s="570"/>
      <c r="G131" s="591"/>
      <c r="H131" s="591"/>
      <c r="I131" s="591"/>
      <c r="J131" s="591"/>
      <c r="K131" s="591"/>
      <c r="L131" s="591"/>
      <c r="M131" s="592"/>
      <c r="N131" s="1153"/>
      <c r="O131" s="1153"/>
      <c r="P131" s="2622"/>
      <c r="Q131" s="504"/>
    </row>
    <row r="136" spans="1:17" ht="15" thickBot="1">
      <c r="B136" s="2629" t="s">
        <v>2621</v>
      </c>
    </row>
    <row r="137" spans="1:17" ht="15">
      <c r="B137" s="2630" t="s">
        <v>2622</v>
      </c>
      <c r="C137" s="2631"/>
      <c r="D137" s="2631"/>
      <c r="E137" s="2631"/>
      <c r="F137" s="2631"/>
      <c r="G137" s="2632"/>
      <c r="H137" s="2633"/>
      <c r="I137" s="2634" t="s">
        <v>2623</v>
      </c>
      <c r="J137" s="2631"/>
      <c r="K137" s="2635"/>
    </row>
    <row r="138" spans="1:17" ht="15">
      <c r="B138" s="2636"/>
      <c r="C138" s="146" t="s">
        <v>2624</v>
      </c>
      <c r="D138" s="146" t="s">
        <v>2625</v>
      </c>
      <c r="E138" s="2637" t="s">
        <v>2626</v>
      </c>
      <c r="F138" s="2638" t="s">
        <v>2627</v>
      </c>
      <c r="G138" s="146" t="s">
        <v>2625</v>
      </c>
      <c r="H138" s="147" t="s">
        <v>2626</v>
      </c>
      <c r="I138" s="2639"/>
      <c r="J138" s="146" t="s">
        <v>2628</v>
      </c>
      <c r="K138" s="147" t="s">
        <v>2629</v>
      </c>
    </row>
    <row r="139" spans="1:17" ht="15">
      <c r="B139" s="1084">
        <v>6</v>
      </c>
      <c r="C139" s="1085">
        <v>96</v>
      </c>
      <c r="D139" s="2640" t="s">
        <v>2630</v>
      </c>
      <c r="E139" s="1086">
        <v>100</v>
      </c>
      <c r="F139" s="1087">
        <v>102.5</v>
      </c>
      <c r="G139" s="2640" t="s">
        <v>2630</v>
      </c>
      <c r="H139" s="1088">
        <v>105</v>
      </c>
      <c r="I139" s="2641" t="s">
        <v>2631</v>
      </c>
      <c r="J139" s="1085">
        <v>20</v>
      </c>
      <c r="K139" s="1089">
        <f>C145/(J139-2)</f>
        <v>4.0555555555555553E-3</v>
      </c>
    </row>
    <row r="140" spans="1:17" ht="15">
      <c r="B140" s="1090">
        <v>5</v>
      </c>
      <c r="C140" s="1091">
        <v>100</v>
      </c>
      <c r="D140" s="1091"/>
      <c r="E140" s="1092"/>
      <c r="F140" s="1093">
        <v>102</v>
      </c>
      <c r="G140" s="1091"/>
      <c r="H140" s="1094"/>
      <c r="I140" s="2642" t="s">
        <v>2632</v>
      </c>
      <c r="J140" s="315">
        <f>ROUNDUP((J139-1)/2,0)</f>
        <v>10</v>
      </c>
      <c r="K140" s="1095">
        <v>100</v>
      </c>
    </row>
    <row r="141" spans="1:17" ht="15">
      <c r="B141" s="1090">
        <v>4</v>
      </c>
      <c r="C141" s="1091">
        <v>102</v>
      </c>
      <c r="D141" s="1091"/>
      <c r="E141" s="1092"/>
      <c r="F141" s="1093">
        <v>101.5</v>
      </c>
      <c r="G141" s="1091"/>
      <c r="H141" s="1094"/>
      <c r="I141" s="2642" t="s">
        <v>2633</v>
      </c>
      <c r="J141" s="315">
        <v>1</v>
      </c>
      <c r="K141" s="1096">
        <f>ROUND(100+(J141-J140)*K139*100,1)</f>
        <v>96.4</v>
      </c>
    </row>
    <row r="142" spans="1:17" ht="15">
      <c r="B142" s="1090">
        <v>3</v>
      </c>
      <c r="C142" s="1091">
        <v>103</v>
      </c>
      <c r="D142" s="1091"/>
      <c r="E142" s="1092"/>
      <c r="F142" s="1093">
        <v>101</v>
      </c>
      <c r="G142" s="1091"/>
      <c r="H142" s="1094"/>
      <c r="I142" s="2642" t="s">
        <v>2634</v>
      </c>
      <c r="J142" s="315">
        <f>J139</f>
        <v>20</v>
      </c>
      <c r="K142" s="1097">
        <v>95</v>
      </c>
    </row>
    <row r="143" spans="1:17" ht="15">
      <c r="B143" s="1090">
        <v>2</v>
      </c>
      <c r="C143" s="1091">
        <v>100</v>
      </c>
      <c r="D143" s="1091"/>
      <c r="E143" s="1092"/>
      <c r="F143" s="1093">
        <v>100.5</v>
      </c>
      <c r="G143" s="1091"/>
      <c r="H143" s="1094"/>
      <c r="I143" s="2642" t="s">
        <v>2635</v>
      </c>
      <c r="J143" s="1091">
        <v>15</v>
      </c>
      <c r="K143" s="1096">
        <f>ROUND(100+(J143-J140)*K139*100,1)</f>
        <v>102</v>
      </c>
    </row>
    <row r="144" spans="1:17" ht="15">
      <c r="B144" s="1090">
        <v>1</v>
      </c>
      <c r="C144" s="1091">
        <v>98</v>
      </c>
      <c r="D144" s="2643" t="s">
        <v>2636</v>
      </c>
      <c r="E144" s="1092">
        <v>102</v>
      </c>
      <c r="F144" s="1098">
        <v>100</v>
      </c>
      <c r="G144" s="2643" t="s">
        <v>2636</v>
      </c>
      <c r="H144" s="1094">
        <v>105</v>
      </c>
      <c r="I144" s="2642" t="s">
        <v>2635</v>
      </c>
      <c r="J144" s="1091">
        <v>18</v>
      </c>
      <c r="K144" s="1096">
        <f>ROUND(100+(J144-J140)*K139*100,1)</f>
        <v>103.2</v>
      </c>
    </row>
    <row r="145" spans="2:11" ht="15.75" thickBot="1">
      <c r="B145" s="2644" t="s">
        <v>2637</v>
      </c>
      <c r="C145" s="1099">
        <f>ROUND(MAX(C139:C144)/MIN(C139:C144)-1,3)</f>
        <v>7.2999999999999995E-2</v>
      </c>
      <c r="D145" s="1100"/>
      <c r="E145" s="1100"/>
      <c r="F145" s="2645" t="s">
        <v>2638</v>
      </c>
      <c r="G145" s="2646"/>
      <c r="H145" s="2647"/>
      <c r="I145" s="2648" t="s">
        <v>2635</v>
      </c>
      <c r="J145" s="1101">
        <v>8</v>
      </c>
      <c r="K145" s="1102">
        <f>ROUND(100+(J145-J140)*K139*100,1)</f>
        <v>99.2</v>
      </c>
    </row>
    <row r="147" spans="2:11">
      <c r="B147" s="2629" t="s">
        <v>2639</v>
      </c>
    </row>
    <row r="148" spans="2:11">
      <c r="B148" s="262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5" t="str">
        <f>项目基本情况!B1</f>
        <v>北京市房地产抵押价值预评估</v>
      </c>
      <c r="C37" s="2965"/>
      <c r="D37" s="2965"/>
      <c r="E37" s="2965"/>
      <c r="F37" s="2965"/>
      <c r="G37" s="2965"/>
      <c r="H37" s="2965"/>
      <c r="I37" s="2965"/>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M30" sqref="M30"/>
    </sheetView>
  </sheetViews>
  <sheetFormatPr defaultRowHeight="13.5"/>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56" sqref="G5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8" t="s">
        <v>3070</v>
      </c>
      <c r="C1" s="242"/>
      <c r="D1" s="242"/>
      <c r="E1" s="242"/>
      <c r="F1" s="242"/>
      <c r="G1" s="1379">
        <f>MATCH(B1,'数据-取费表'!A6:A16,0)+5</f>
        <v>6</v>
      </c>
    </row>
    <row r="2" spans="1:9" s="244" customFormat="1" ht="18" customHeight="1">
      <c r="A2" s="245" t="s">
        <v>2326</v>
      </c>
      <c r="B2" s="246">
        <f ca="1">IF(D2="——",C52,C52-E2)</f>
        <v>2952</v>
      </c>
      <c r="C2" s="243" t="s">
        <v>2327</v>
      </c>
      <c r="D2" s="2541" t="s">
        <v>70</v>
      </c>
      <c r="E2" s="1440" t="e">
        <f ca="1">SUMIF(INDIRECT("'"&amp;G2&amp;"'"&amp;"!A:A"),"承租人权益价值",INDIRECT("'"&amp;G2&amp;"'"&amp;"!c:c"))</f>
        <v>#REF!</v>
      </c>
      <c r="F2" s="2542" t="s">
        <v>2327</v>
      </c>
      <c r="G2" s="2543"/>
    </row>
    <row r="3" spans="1:9" s="244" customFormat="1" ht="18" customHeight="1" thickBot="1">
      <c r="A3" s="247" t="s">
        <v>2328</v>
      </c>
      <c r="B3" s="248">
        <f ca="1">ROUND(B2*10000/(IF(B1="",'数据-汇总表'!E3,INDIRECT("'数据-取费表'!k"&amp;$G$1))),0)</f>
        <v>126951</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2079</v>
      </c>
      <c r="D5" s="255" t="s">
        <v>2333</v>
      </c>
      <c r="E5" s="256" t="s">
        <v>2334</v>
      </c>
      <c r="F5" s="256" t="s">
        <v>2335</v>
      </c>
      <c r="G5" s="257"/>
    </row>
    <row r="6" spans="1:9" s="258" customFormat="1" ht="13.5" customHeight="1">
      <c r="A6" s="949" t="s">
        <v>2336</v>
      </c>
      <c r="B6" s="259" t="s">
        <v>2337</v>
      </c>
      <c r="C6" s="260">
        <f ca="1">基准地价修正!B2</f>
        <v>2014</v>
      </c>
      <c r="D6" s="261"/>
      <c r="E6" s="262"/>
      <c r="F6" s="262"/>
      <c r="G6" s="263"/>
    </row>
    <row r="7" spans="1:9" s="258" customFormat="1" ht="13.5" customHeight="1">
      <c r="A7" s="949" t="s">
        <v>2338</v>
      </c>
      <c r="B7" s="259" t="s">
        <v>2339</v>
      </c>
      <c r="C7" s="264">
        <f ca="1">ROUND(C6*F7,0)</f>
        <v>61</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4</v>
      </c>
      <c r="D8" s="266"/>
      <c r="E8" s="264"/>
      <c r="F8" s="265"/>
      <c r="G8" s="2544" t="s">
        <v>3094</v>
      </c>
    </row>
    <row r="9" spans="1:9" s="258" customFormat="1" ht="13.5" customHeight="1">
      <c r="A9" s="950" t="s">
        <v>800</v>
      </c>
      <c r="B9" s="268" t="s">
        <v>2342</v>
      </c>
      <c r="C9" s="269">
        <f ca="1">ROUND(D9*E9/10000,0)</f>
        <v>4</v>
      </c>
      <c r="D9" s="1032">
        <f ca="1">IF(B1="",'数据-汇总表'!E5,IF(INDIRECT("'数据-取费表'!c"&amp;$G$1)="住宅",INDIRECT("'数据-取费表'!k"&amp;$G$1),0))</f>
        <v>232.53</v>
      </c>
      <c r="E9" s="269">
        <f>'数据-取费表'!B27</f>
        <v>160</v>
      </c>
      <c r="F9" s="265"/>
      <c r="G9" s="2545" t="s">
        <v>3095</v>
      </c>
      <c r="H9" s="1390"/>
      <c r="I9" s="2546" t="s">
        <v>2343</v>
      </c>
    </row>
    <row r="10" spans="1:9" s="258" customFormat="1" ht="13.5" customHeight="1">
      <c r="A10" s="950" t="s">
        <v>801</v>
      </c>
      <c r="B10" s="268" t="s">
        <v>2344</v>
      </c>
      <c r="C10" s="269">
        <f ca="1">ROUND(D10*E10/10000,0)</f>
        <v>0</v>
      </c>
      <c r="D10" s="103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232.53</v>
      </c>
      <c r="E19" s="255">
        <f>'数据-取费表'!B31</f>
        <v>200</v>
      </c>
      <c r="F19" s="275"/>
      <c r="G19" s="2544" t="s">
        <v>3093</v>
      </c>
    </row>
    <row r="20" spans="1:7" s="258" customFormat="1" ht="13.5" customHeight="1">
      <c r="A20" s="299" t="s">
        <v>2357</v>
      </c>
      <c r="B20" s="254" t="s">
        <v>2358</v>
      </c>
      <c r="C20" s="276">
        <f ca="1">ROUND((C5+C19)*F20,0)</f>
        <v>42</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204</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202</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2</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318</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318</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2862</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93</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81</v>
      </c>
      <c r="D34" s="261"/>
      <c r="E34" s="264"/>
      <c r="F34" s="301">
        <f ca="1">IF('数据-取费表'!B24=0,1,IF(B1="",'数据-取费表'!N16,INDIRECT("'数据-取费表'!n"&amp;$G$1)))</f>
        <v>1</v>
      </c>
      <c r="G34" s="263" t="s">
        <v>2390</v>
      </c>
    </row>
    <row r="35" spans="1:7" ht="13.5" customHeight="1">
      <c r="A35" s="951" t="s">
        <v>796</v>
      </c>
      <c r="B35" s="259" t="s">
        <v>2391</v>
      </c>
      <c r="C35" s="264">
        <f ca="1">ROUND(C34*F35,0)</f>
        <v>2</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4</v>
      </c>
      <c r="D36" s="264"/>
      <c r="E36" s="264"/>
      <c r="F36" s="303">
        <f>'数据-取费表'!B34</f>
        <v>0.05</v>
      </c>
      <c r="G36" s="304" t="s">
        <v>2394</v>
      </c>
    </row>
    <row r="37" spans="1:7" s="302" customFormat="1" ht="13.5" customHeight="1">
      <c r="A37" s="951" t="s">
        <v>798</v>
      </c>
      <c r="B37" s="259" t="s">
        <v>2395</v>
      </c>
      <c r="C37" s="293">
        <f ca="1">ROUND(E37*D37*F34/10000,0)</f>
        <v>5</v>
      </c>
      <c r="D37" s="261">
        <f ca="1">D19</f>
        <v>232.53</v>
      </c>
      <c r="E37" s="293">
        <f>'数据-取费表'!B35</f>
        <v>200</v>
      </c>
      <c r="F37" s="303"/>
      <c r="G37" s="305" t="s">
        <v>2396</v>
      </c>
    </row>
    <row r="38" spans="1:7" ht="13.5" customHeight="1">
      <c r="A38" s="951" t="s">
        <v>799</v>
      </c>
      <c r="B38" s="259" t="s">
        <v>2397</v>
      </c>
      <c r="C38" s="264">
        <f ca="1">ROUND(C34*F38,0)</f>
        <v>1</v>
      </c>
      <c r="D38" s="264"/>
      <c r="E38" s="264"/>
      <c r="F38" s="303">
        <f>'数据-取费表'!B36</f>
        <v>1.4999999999999999E-2</v>
      </c>
      <c r="G38" s="263" t="s">
        <v>2392</v>
      </c>
    </row>
    <row r="39" spans="1:7" s="258" customFormat="1" ht="13.5" customHeight="1">
      <c r="A39" s="299" t="s">
        <v>2398</v>
      </c>
      <c r="B39" s="254" t="s">
        <v>2399</v>
      </c>
      <c r="C39" s="276">
        <f ca="1">ROUND(C33*F20,0)</f>
        <v>2</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4</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4</v>
      </c>
      <c r="D42" s="282"/>
      <c r="E42" s="282"/>
      <c r="F42" s="283"/>
      <c r="G42" s="3199" t="s">
        <v>2408</v>
      </c>
    </row>
    <row r="43" spans="1:7" ht="13.5" customHeight="1">
      <c r="A43" s="951" t="s">
        <v>792</v>
      </c>
      <c r="B43" s="259" t="s">
        <v>2409</v>
      </c>
      <c r="C43" s="282">
        <f ca="1">ROUND(IF('数据-取费表'!B22&lt;=1,C39*F22*'数据-取费表'!B21/2,C39*(POWER((1+F22),'数据-取费表'!B21/2)-1)),0)</f>
        <v>0</v>
      </c>
      <c r="D43" s="282"/>
      <c r="E43" s="282"/>
      <c r="F43" s="283"/>
      <c r="G43" s="3200"/>
    </row>
    <row r="44" spans="1:7" ht="13.5" customHeight="1">
      <c r="A44" s="951" t="s">
        <v>793</v>
      </c>
      <c r="B44" s="259" t="s">
        <v>2410</v>
      </c>
      <c r="C44" s="282">
        <f ca="1">ROUND(IF('数据-取费表'!B22&lt;=1,C40*F22*'数据-取费表'!B21/2,C40*(POWER((1+F22),'数据-取费表'!B21/2)-1)),4)</f>
        <v>1E-3</v>
      </c>
      <c r="D44" s="282"/>
      <c r="E44" s="282"/>
      <c r="F44" s="283"/>
      <c r="G44" s="3201"/>
    </row>
    <row r="45" spans="1:7" s="258" customFormat="1" ht="13.5" customHeight="1">
      <c r="A45" s="299" t="s">
        <v>2411</v>
      </c>
      <c r="B45" s="288" t="s">
        <v>2377</v>
      </c>
      <c r="C45" s="289">
        <f ca="1">C46</f>
        <v>14</v>
      </c>
      <c r="D45" s="279">
        <f ca="1">C47</f>
        <v>3.0000000000000001E-3</v>
      </c>
      <c r="E45" s="280" t="s">
        <v>2403</v>
      </c>
      <c r="F45" s="290"/>
      <c r="G45" s="291" t="s">
        <v>2412</v>
      </c>
    </row>
    <row r="46" spans="1:7" s="258" customFormat="1" ht="13.5" customHeight="1">
      <c r="A46" s="951" t="s">
        <v>791</v>
      </c>
      <c r="B46" s="292" t="s">
        <v>2413</v>
      </c>
      <c r="C46" s="293">
        <f ca="1">ROUND((C33+C39)*F27,0)</f>
        <v>14</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122</v>
      </c>
      <c r="D49" s="276"/>
      <c r="E49" s="276"/>
      <c r="F49" s="308"/>
      <c r="G49" s="278" t="s">
        <v>2418</v>
      </c>
    </row>
    <row r="50" spans="1:7" s="302" customFormat="1" ht="24">
      <c r="A50" s="299" t="s">
        <v>2419</v>
      </c>
      <c r="B50" s="254" t="s">
        <v>2420</v>
      </c>
      <c r="C50" s="276"/>
      <c r="D50" s="276"/>
      <c r="E50" s="276"/>
      <c r="F50" s="308">
        <f>IF('数据-取费表'!B24=0,'数据-取费表'!N16,1)</f>
        <v>0.74</v>
      </c>
      <c r="G50" s="291" t="s">
        <v>2421</v>
      </c>
    </row>
    <row r="51" spans="1:7" ht="16.5" customHeight="1">
      <c r="A51" s="299" t="s">
        <v>2422</v>
      </c>
      <c r="B51" s="254" t="s">
        <v>2423</v>
      </c>
      <c r="C51" s="276">
        <f ca="1">ROUND(C49*F50,0)</f>
        <v>90</v>
      </c>
      <c r="D51" s="276"/>
      <c r="E51" s="276"/>
      <c r="F51" s="308"/>
      <c r="G51" s="278" t="s">
        <v>2424</v>
      </c>
    </row>
    <row r="52" spans="1:7" s="252" customFormat="1" ht="16.5" thickBot="1">
      <c r="A52" s="309" t="s">
        <v>2425</v>
      </c>
      <c r="B52" s="310"/>
      <c r="C52" s="311">
        <f ca="1">C31+C51</f>
        <v>2952</v>
      </c>
      <c r="D52" s="310"/>
      <c r="E52" s="310"/>
      <c r="F52" s="310"/>
      <c r="G52" s="312"/>
    </row>
    <row r="55" spans="1:7" ht="15">
      <c r="B55" s="314" t="s">
        <v>2426</v>
      </c>
      <c r="C55" s="315"/>
    </row>
    <row r="56" spans="1:7">
      <c r="B56" s="317" t="s">
        <v>1507</v>
      </c>
      <c r="C56" s="319">
        <f ca="1">1-C57</f>
        <v>0.97</v>
      </c>
    </row>
    <row r="57" spans="1:7">
      <c r="B57" s="317" t="s">
        <v>1508</v>
      </c>
      <c r="C57" s="318">
        <f ca="1">ROUND(C51/C52,3)</f>
        <v>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8"/>
      <c r="C1" s="2547"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103</v>
      </c>
      <c r="C2" s="243" t="s">
        <v>2327</v>
      </c>
      <c r="D2" s="2541" t="s">
        <v>70</v>
      </c>
      <c r="E2" s="1440" t="e">
        <f ca="1">SUMIF(INDIRECT("'"&amp;G2&amp;"'"&amp;"!A:A"),"承租人权益价值",INDIRECT("'"&amp;G2&amp;"'"&amp;"!c:c"))</f>
        <v>#REF!</v>
      </c>
      <c r="F2" s="2542" t="s">
        <v>2327</v>
      </c>
      <c r="G2" s="2543"/>
    </row>
    <row r="3" spans="1:8" s="244" customFormat="1" ht="18" customHeight="1" thickBot="1">
      <c r="A3" s="247" t="s">
        <v>2328</v>
      </c>
      <c r="B3" s="248">
        <f ca="1">ROUND(B2*10000/(IF(B1="",'数据-汇总表'!E3,INDIRECT("'数据-取费表'!k"&amp;$G$1))),0)</f>
        <v>4430</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37205</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37205</v>
      </c>
      <c r="D8" s="266"/>
      <c r="E8" s="264"/>
      <c r="F8" s="265"/>
      <c r="G8" s="2544"/>
    </row>
    <row r="9" spans="1:8" s="258" customFormat="1" ht="13.5" customHeight="1">
      <c r="A9" s="950" t="s">
        <v>800</v>
      </c>
      <c r="B9" s="268" t="s">
        <v>2342</v>
      </c>
      <c r="C9" s="269">
        <f ca="1">ROUND(D9*E9,0)</f>
        <v>37205</v>
      </c>
      <c r="D9" s="1032">
        <f ca="1">IF(B1="",'数据-汇总表'!E5,IF(INDIRECT("'数据-取费表'!c"&amp;$G$1)="住宅",INDIRECT("'数据-取费表'!k"&amp;$G$1),0))</f>
        <v>232.53</v>
      </c>
      <c r="E9" s="269">
        <f>'数据-取费表'!B27</f>
        <v>160</v>
      </c>
      <c r="F9" s="265"/>
      <c r="G9" s="270"/>
    </row>
    <row r="10" spans="1:8" s="258" customFormat="1" ht="13.5" customHeight="1">
      <c r="A10" s="950" t="s">
        <v>801</v>
      </c>
      <c r="B10" s="268" t="s">
        <v>2344</v>
      </c>
      <c r="C10" s="269">
        <f ca="1">ROUND(D10*E10,0)</f>
        <v>0</v>
      </c>
      <c r="D10" s="1032">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46506</v>
      </c>
      <c r="D19" s="1036">
        <f ca="1">D9+D10</f>
        <v>232.53</v>
      </c>
      <c r="E19" s="255">
        <f>'数据-取费表'!B31</f>
        <v>200</v>
      </c>
      <c r="F19" s="275"/>
      <c r="G19" s="2544"/>
    </row>
    <row r="20" spans="1:7" s="258" customFormat="1" ht="13.5" customHeight="1">
      <c r="A20" s="299" t="s">
        <v>2438</v>
      </c>
      <c r="B20" s="254" t="s">
        <v>2439</v>
      </c>
      <c r="C20" s="276">
        <f ca="1">ROUND((C5+C19)*F20,0)</f>
        <v>1674</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8221</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3618</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4523</v>
      </c>
      <c r="D24" s="282"/>
      <c r="E24" s="282"/>
      <c r="F24" s="283"/>
      <c r="G24" s="284" t="s">
        <v>2450</v>
      </c>
    </row>
    <row r="25" spans="1:7" s="258" customFormat="1" ht="24">
      <c r="A25" s="951" t="s">
        <v>2340</v>
      </c>
      <c r="B25" s="259" t="s">
        <v>2451</v>
      </c>
      <c r="C25" s="1381">
        <f ca="1">ROUND(IF('数据-取费表'!B22&lt;=1,C20*F22*'数据-取费表'!B22/2,C20*(POWER((1+F22),'数据-取费表'!B22/2)-1)),0)</f>
        <v>80</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12808</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12808</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115217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937678</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813855</v>
      </c>
      <c r="D34" s="261"/>
      <c r="E34" s="264"/>
      <c r="F34" s="301"/>
      <c r="G34" s="263"/>
    </row>
    <row r="35" spans="1:7" ht="13.5" customHeight="1">
      <c r="A35" s="951" t="s">
        <v>796</v>
      </c>
      <c r="B35" s="259" t="s">
        <v>2391</v>
      </c>
      <c r="C35" s="264">
        <f ca="1">ROUND(C34*F35,0)</f>
        <v>24416</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40693</v>
      </c>
      <c r="D36" s="264"/>
      <c r="E36" s="264"/>
      <c r="F36" s="303">
        <f>'数据-取费表'!B34</f>
        <v>0.05</v>
      </c>
      <c r="G36" s="304" t="s">
        <v>2394</v>
      </c>
    </row>
    <row r="37" spans="1:7" s="302" customFormat="1" ht="13.5" customHeight="1">
      <c r="A37" s="951" t="s">
        <v>798</v>
      </c>
      <c r="B37" s="259" t="s">
        <v>2395</v>
      </c>
      <c r="C37" s="293">
        <f ca="1">ROUND(E37*D37,0)</f>
        <v>46506</v>
      </c>
      <c r="D37" s="261">
        <f ca="1">D19</f>
        <v>232.53</v>
      </c>
      <c r="E37" s="293">
        <f>'数据-取费表'!B35</f>
        <v>200</v>
      </c>
      <c r="F37" s="303"/>
      <c r="G37" s="305"/>
    </row>
    <row r="38" spans="1:7" ht="13.5" customHeight="1">
      <c r="A38" s="951" t="s">
        <v>799</v>
      </c>
      <c r="B38" s="259" t="s">
        <v>2397</v>
      </c>
      <c r="C38" s="264">
        <f ca="1">ROUND(C34*F38,0)</f>
        <v>12208</v>
      </c>
      <c r="D38" s="264"/>
      <c r="E38" s="264"/>
      <c r="F38" s="303">
        <f>'数据-取费表'!B36</f>
        <v>1.4999999999999999E-2</v>
      </c>
      <c r="G38" s="263" t="s">
        <v>2392</v>
      </c>
    </row>
    <row r="39" spans="1:7" s="258" customFormat="1" ht="13.5" customHeight="1">
      <c r="A39" s="299" t="s">
        <v>2398</v>
      </c>
      <c r="B39" s="254" t="s">
        <v>2399</v>
      </c>
      <c r="C39" s="276">
        <f ca="1">ROUND(C33*F20,0)</f>
        <v>18754</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45431</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44540</v>
      </c>
      <c r="D42" s="282"/>
      <c r="E42" s="282"/>
      <c r="F42" s="283"/>
      <c r="G42" s="3199" t="s">
        <v>2455</v>
      </c>
    </row>
    <row r="43" spans="1:7" ht="13.5" customHeight="1">
      <c r="A43" s="951" t="s">
        <v>792</v>
      </c>
      <c r="B43" s="259" t="s">
        <v>2409</v>
      </c>
      <c r="C43" s="282">
        <f ca="1">ROUND(IF('数据-取费表'!B22&lt;=1,C39*F22*'数据-取费表'!B20/2,C39*(POWER((1+F22),'数据-取费表'!B20/2)-1)),0)</f>
        <v>891</v>
      </c>
      <c r="D43" s="282"/>
      <c r="E43" s="282"/>
      <c r="F43" s="283"/>
      <c r="G43" s="3200"/>
    </row>
    <row r="44" spans="1:7" ht="13.5" customHeight="1">
      <c r="A44" s="951" t="s">
        <v>793</v>
      </c>
      <c r="B44" s="259" t="s">
        <v>2410</v>
      </c>
      <c r="C44" s="282">
        <f ca="1">ROUND(IF('数据-取费表'!B22&lt;=1,C40*F22*'数据-取费表'!B20/2,C40*(POWER((1+F22),'数据-取费表'!B20/2)-1)),4)</f>
        <v>1E-3</v>
      </c>
      <c r="D44" s="282"/>
      <c r="E44" s="282"/>
      <c r="F44" s="283"/>
      <c r="G44" s="3201"/>
    </row>
    <row r="45" spans="1:7" s="258" customFormat="1" ht="13.5" customHeight="1">
      <c r="A45" s="299" t="s">
        <v>2411</v>
      </c>
      <c r="B45" s="288" t="s">
        <v>2377</v>
      </c>
      <c r="C45" s="289">
        <f ca="1">C46</f>
        <v>143465</v>
      </c>
      <c r="D45" s="279">
        <f ca="1">C47</f>
        <v>3.0000000000000001E-3</v>
      </c>
      <c r="E45" s="280" t="s">
        <v>2403</v>
      </c>
      <c r="F45" s="290"/>
      <c r="G45" s="291" t="s">
        <v>2412</v>
      </c>
    </row>
    <row r="46" spans="1:7" s="258" customFormat="1" ht="13.5" customHeight="1">
      <c r="A46" s="951" t="s">
        <v>791</v>
      </c>
      <c r="B46" s="292" t="s">
        <v>2413</v>
      </c>
      <c r="C46" s="293">
        <f ca="1">ROUND((C33+C39)*F27,0)</f>
        <v>143465</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1240069</v>
      </c>
      <c r="D49" s="276"/>
      <c r="E49" s="276"/>
      <c r="F49" s="308"/>
      <c r="G49" s="278" t="s">
        <v>2418</v>
      </c>
    </row>
    <row r="50" spans="1:7" s="302" customFormat="1">
      <c r="A50" s="299" t="s">
        <v>2419</v>
      </c>
      <c r="B50" s="254" t="s">
        <v>2420</v>
      </c>
      <c r="C50" s="276"/>
      <c r="D50" s="276"/>
      <c r="E50" s="276"/>
      <c r="F50" s="308">
        <f>IF('数据-取费表'!B24=0,'数据-取费表'!N16,1)</f>
        <v>0.74</v>
      </c>
      <c r="G50" s="291"/>
    </row>
    <row r="51" spans="1:7" ht="16.5" customHeight="1">
      <c r="A51" s="299" t="s">
        <v>2422</v>
      </c>
      <c r="B51" s="254" t="s">
        <v>2457</v>
      </c>
      <c r="C51" s="276">
        <f ca="1">ROUND(C49*F50,0)</f>
        <v>917651</v>
      </c>
      <c r="D51" s="276"/>
      <c r="E51" s="276"/>
      <c r="F51" s="308"/>
      <c r="G51" s="278" t="s">
        <v>2424</v>
      </c>
    </row>
    <row r="52" spans="1:7" s="252" customFormat="1" ht="16.5" thickBot="1">
      <c r="A52" s="309" t="s">
        <v>2425</v>
      </c>
      <c r="B52" s="310"/>
      <c r="C52" s="311">
        <f ca="1">C31+C51</f>
        <v>1032868</v>
      </c>
      <c r="D52" s="310"/>
      <c r="E52" s="310"/>
      <c r="F52" s="310"/>
      <c r="G52" s="312"/>
    </row>
    <row r="55" spans="1:7" ht="15">
      <c r="B55" s="314" t="s">
        <v>2426</v>
      </c>
      <c r="C55" s="315"/>
    </row>
    <row r="56" spans="1:7">
      <c r="B56" s="317" t="s">
        <v>1507</v>
      </c>
      <c r="C56" s="319">
        <f ca="1">1-C57</f>
        <v>0.11199999999999999</v>
      </c>
    </row>
    <row r="57" spans="1:7">
      <c r="B57" s="317" t="s">
        <v>1508</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-5</v>
      </c>
      <c r="C2" s="320" t="s">
        <v>2459</v>
      </c>
      <c r="D2" s="320"/>
      <c r="E2" s="320"/>
      <c r="F2" s="320"/>
      <c r="G2" s="320"/>
      <c r="H2" s="320"/>
      <c r="I2" s="320"/>
      <c r="J2" s="320"/>
      <c r="K2" s="320"/>
    </row>
    <row r="3" spans="1:33" ht="18" customHeight="1" thickBot="1">
      <c r="A3" s="247" t="s">
        <v>2328</v>
      </c>
      <c r="B3" s="248">
        <f ca="1">ROUND(B2*10000/IF(C1="",'数据-汇总表'!E3,INDIRECT("'数据-取费表'!K"&amp;$K$1)),0)</f>
        <v>-215</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8" t="s">
        <v>2464</v>
      </c>
      <c r="D5" s="2548" t="s">
        <v>2465</v>
      </c>
      <c r="E5" s="2548" t="s">
        <v>2466</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0.05</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232.53</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232.53</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4</v>
      </c>
      <c r="D18" s="1033"/>
      <c r="E18" s="24"/>
      <c r="F18" s="976"/>
      <c r="G18" s="2550"/>
      <c r="H18" s="1577"/>
      <c r="I18" s="2551" t="s">
        <v>2492</v>
      </c>
      <c r="J18" s="979"/>
      <c r="K18" s="980"/>
    </row>
    <row r="19" spans="1:33" s="975" customFormat="1" ht="13.5" customHeight="1">
      <c r="A19" s="971" t="s">
        <v>805</v>
      </c>
      <c r="B19" s="972" t="s">
        <v>2493</v>
      </c>
      <c r="C19" s="24">
        <f ca="1">ROUND(D19*E19/10000,0)</f>
        <v>4</v>
      </c>
      <c r="D19" s="1033">
        <f ca="1">IF(C1="",'数据-汇总表'!E5,IF(INDIRECT("'数据-取费表'!c"&amp;$K$1)="住宅",INDIRECT("'数据-取费表'!k"&amp;$K$1),0))</f>
        <v>232.53</v>
      </c>
      <c r="E19" s="24">
        <f>'数据-取费表'!B27</f>
        <v>160</v>
      </c>
      <c r="F19" s="976"/>
      <c r="G19" s="15"/>
      <c r="H19" s="1579"/>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0</v>
      </c>
      <c r="E20" s="24">
        <f>'数据-取费表'!B28</f>
        <v>200</v>
      </c>
      <c r="F20" s="976"/>
      <c r="G20" s="15"/>
      <c r="H20" s="981"/>
      <c r="I20" s="981"/>
      <c r="J20" s="981"/>
      <c r="K20" s="982"/>
    </row>
    <row r="21" spans="1:33" s="975" customFormat="1" ht="13.5" customHeight="1">
      <c r="A21" s="961" t="s">
        <v>802</v>
      </c>
      <c r="B21" s="985" t="s">
        <v>2495</v>
      </c>
      <c r="C21" s="986">
        <f ca="1">C16+C17+C18</f>
        <v>4</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2508</v>
      </c>
      <c r="B28" s="2553" t="s">
        <v>2509</v>
      </c>
      <c r="C28" s="331">
        <f ca="1">C30</f>
        <v>1</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v>
      </c>
      <c r="D30" s="328"/>
      <c r="E30" s="329"/>
      <c r="F30" s="334"/>
      <c r="G30" s="140"/>
      <c r="H30" s="979"/>
      <c r="I30" s="979"/>
      <c r="J30" s="979"/>
      <c r="K30" s="980"/>
    </row>
    <row r="31" spans="1:33" s="975" customFormat="1" ht="13.5" customHeight="1" thickBot="1">
      <c r="A31" s="2554"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-5</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J50" sqref="J5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#DIV/0!</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0</v>
      </c>
      <c r="D5" s="1814" t="s">
        <v>1396</v>
      </c>
      <c r="E5" s="1293"/>
      <c r="F5" s="1294"/>
      <c r="G5" s="1843"/>
      <c r="H5" s="344">
        <v>1</v>
      </c>
      <c r="I5" s="345" t="s">
        <v>1395</v>
      </c>
      <c r="J5" s="1292">
        <f ca="1">J6+J10+J12</f>
        <v>0</v>
      </c>
      <c r="K5" s="1814" t="s">
        <v>1396</v>
      </c>
      <c r="L5" s="1293"/>
      <c r="M5" s="1294"/>
    </row>
    <row r="6" spans="1:37" ht="18" customHeight="1">
      <c r="A6" s="1291" t="s">
        <v>1031</v>
      </c>
      <c r="B6" s="3204" t="s">
        <v>1397</v>
      </c>
      <c r="C6" s="1296">
        <f ca="1">ROUND(F6*F8*F7*(1-F9)/10000,0)</f>
        <v>0</v>
      </c>
      <c r="D6" s="164" t="s">
        <v>3029</v>
      </c>
      <c r="E6" s="347" t="s">
        <v>1399</v>
      </c>
      <c r="F6" s="348">
        <f ca="1">INDIRECT("'数据-取费表'!u"&amp;$G$1)</f>
        <v>0</v>
      </c>
      <c r="G6" s="1843"/>
      <c r="H6" s="1291" t="s">
        <v>1031</v>
      </c>
      <c r="I6" s="3204" t="s">
        <v>1397</v>
      </c>
      <c r="J6" s="346">
        <f ca="1">ROUND(M6*M8*M7*(1-M9)/10000,0)</f>
        <v>0</v>
      </c>
      <c r="K6" s="164" t="s">
        <v>3028</v>
      </c>
      <c r="L6" s="347" t="s">
        <v>1399</v>
      </c>
      <c r="M6" s="348">
        <f ca="1">INDIRECT("'数据-取费表'!z"&amp;$G$1)</f>
        <v>0</v>
      </c>
    </row>
    <row r="7" spans="1:37" ht="18" customHeight="1">
      <c r="A7" s="1295"/>
      <c r="B7" s="3205"/>
      <c r="C7" s="1297"/>
      <c r="D7" s="352"/>
      <c r="E7" s="1298" t="s">
        <v>1400</v>
      </c>
      <c r="F7" s="348">
        <f ca="1">IF(INDIRECT("'数据-取费表'!ah"&amp;$G$1)="",INDIRECT("'数据-取费表'!k"&amp;$G$1),INDIRECT("'数据-取费表'!ah"&amp;$G$1))</f>
        <v>0</v>
      </c>
      <c r="G7" s="1843"/>
      <c r="H7" s="349"/>
      <c r="I7" s="3205"/>
      <c r="J7" s="351"/>
      <c r="K7" s="352"/>
      <c r="L7" s="347" t="s">
        <v>1400</v>
      </c>
      <c r="M7" s="348">
        <f ca="1">F7</f>
        <v>0</v>
      </c>
    </row>
    <row r="8" spans="1:37" ht="18" customHeight="1">
      <c r="A8" s="349"/>
      <c r="B8" s="3205"/>
      <c r="C8" s="351"/>
      <c r="D8" s="352"/>
      <c r="E8" s="347" t="s">
        <v>1401</v>
      </c>
      <c r="F8" s="348">
        <f ca="1">INDIRECT("'数据-取费表'!ai"&amp;$G$1)</f>
        <v>0</v>
      </c>
      <c r="G8" s="1843"/>
      <c r="H8" s="349"/>
      <c r="I8" s="3205"/>
      <c r="J8" s="351"/>
      <c r="K8" s="352"/>
      <c r="L8" s="347" t="s">
        <v>1401</v>
      </c>
      <c r="M8" s="348">
        <f ca="1">INDIRECT("'数据-取费表'!ai"&amp;$G$1)</f>
        <v>0</v>
      </c>
    </row>
    <row r="9" spans="1:37" ht="18" customHeight="1">
      <c r="A9" s="349"/>
      <c r="B9" s="3206"/>
      <c r="C9" s="351"/>
      <c r="D9" s="352"/>
      <c r="E9" s="347" t="s">
        <v>1402</v>
      </c>
      <c r="F9" s="357">
        <f ca="1">INDIRECT("'数据-取费表'!w"&amp;$G$1)</f>
        <v>0</v>
      </c>
      <c r="G9" s="1843"/>
      <c r="H9" s="349"/>
      <c r="I9" s="320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3038</v>
      </c>
      <c r="E10" s="358" t="s">
        <v>1404</v>
      </c>
      <c r="F10" s="1366"/>
      <c r="G10" s="1843"/>
      <c r="H10" s="1291" t="s">
        <v>1035</v>
      </c>
      <c r="I10" s="1815" t="s">
        <v>1403</v>
      </c>
      <c r="J10" s="346">
        <f ca="1">ROUND(IF(M10="押一",J6/12*M11,IF(M10="押二",J6/12*2*M11,IF(M10="押三",J6/12*3*M11,J11*M11))),0)</f>
        <v>0</v>
      </c>
      <c r="K10" s="1816" t="s">
        <v>3037</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ROUND(F17*(F43+INDIRECT("'数据-取费表'!S"&amp;$G$1))/10000,0)</f>
        <v>0</v>
      </c>
      <c r="D17" s="347" t="s">
        <v>1421</v>
      </c>
      <c r="E17" s="347" t="s">
        <v>1422</v>
      </c>
      <c r="F17" s="26">
        <f>'数据-取费表'!B35</f>
        <v>200</v>
      </c>
      <c r="G17" s="1846"/>
      <c r="H17" s="1201" t="s">
        <v>1031</v>
      </c>
      <c r="I17" s="347" t="s">
        <v>1423</v>
      </c>
      <c r="J17" s="24">
        <f ca="1">ROUND(IF(项目基本情况!B11="自然人",J6*M17/(1+'数据-取费表'!C42),J18+J19+J20),1)</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IF(K19="按租金收入计税",ROUND(J6*M19/(1+'数据-取费表'!C42),2),ROUND(C29*M19*0.7,2))</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ROUND(M20*M21/10000,2)</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0</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IF(项目基本情况!B11="自然人","——",ROUND(F34*F35/10000,2))</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ROUND(C13*F37,1)</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#DIV/0!</v>
      </c>
      <c r="D46" s="1864" t="str">
        <f>C2</f>
        <v>万元</v>
      </c>
      <c r="E46" s="1858"/>
      <c r="F46" s="1858"/>
      <c r="I46" s="1865" t="s">
        <v>1515</v>
      </c>
      <c r="J46" s="1866"/>
      <c r="K46" s="1867"/>
      <c r="L46" s="1868">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3097</v>
      </c>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t="s">
        <v>3098</v>
      </c>
      <c r="K48" s="1881" t="s">
        <v>1525</v>
      </c>
      <c r="L48" s="1882">
        <f ca="1">INDIRECT("'数据-取费表'!f"&amp;$G$1)</f>
        <v>0</v>
      </c>
      <c r="O48" s="1876" t="s">
        <v>1037</v>
      </c>
      <c r="P48" s="1877" t="s">
        <v>1526</v>
      </c>
      <c r="Q48" s="1878">
        <f ca="1">J60</f>
        <v>0</v>
      </c>
      <c r="R48" s="1878" t="s">
        <v>1527</v>
      </c>
    </row>
    <row r="49" spans="1:18" s="1834" customFormat="1" ht="13.5" thickBot="1">
      <c r="A49" s="1194" t="s">
        <v>1132</v>
      </c>
      <c r="B49" s="1821" t="s">
        <v>1484</v>
      </c>
      <c r="C49" s="1364">
        <f ca="1">ROUND(F49*F51*F50*(1-F52)/10000,0)</f>
        <v>0</v>
      </c>
      <c r="D49" s="1276" t="s">
        <v>3030</v>
      </c>
      <c r="E49" s="1822" t="s">
        <v>1485</v>
      </c>
      <c r="F49" s="1281"/>
      <c r="G49" s="1883"/>
      <c r="H49" s="793"/>
      <c r="I49" s="1879" t="s">
        <v>1528</v>
      </c>
      <c r="J49" s="1884">
        <v>1999</v>
      </c>
      <c r="K49" s="1881" t="s">
        <v>1529</v>
      </c>
      <c r="L49" s="1885"/>
      <c r="O49" s="1886" t="s">
        <v>1038</v>
      </c>
      <c r="P49" s="1877" t="s">
        <v>1530</v>
      </c>
      <c r="Q49" s="1878">
        <f ca="1">C29</f>
        <v>0</v>
      </c>
      <c r="R49" s="1878" t="s">
        <v>1523</v>
      </c>
    </row>
    <row r="50" spans="1:18" s="1834" customFormat="1" ht="13.5" thickBot="1">
      <c r="A50" s="1195"/>
      <c r="B50" s="1198"/>
      <c r="C50" s="1368"/>
      <c r="D50" s="1172"/>
      <c r="E50" s="1277" t="s">
        <v>1400</v>
      </c>
      <c r="F50" s="1278">
        <f ca="1">F7</f>
        <v>0</v>
      </c>
      <c r="H50" s="793"/>
      <c r="I50" s="1879" t="s">
        <v>1531</v>
      </c>
      <c r="J50" s="1887">
        <f>SUMPRODUCT((I63:I65=J47)*(J62:L62=J48)*(J63:L65))</f>
        <v>50</v>
      </c>
      <c r="K50" s="1881" t="s">
        <v>1532</v>
      </c>
      <c r="L50" s="1885"/>
      <c r="M50" s="1888"/>
      <c r="O50" s="1886" t="s">
        <v>1039</v>
      </c>
      <c r="P50" s="1877" t="s">
        <v>1533</v>
      </c>
      <c r="Q50" s="1889">
        <f ca="1">J58</f>
        <v>0.58799999999999997</v>
      </c>
      <c r="R50" s="1878"/>
    </row>
    <row r="51" spans="1:18" s="1834" customFormat="1" ht="13.5" thickBot="1">
      <c r="A51" s="1196"/>
      <c r="B51" s="1198"/>
      <c r="C51" s="1199"/>
      <c r="D51" s="1172"/>
      <c r="E51" s="1200" t="s">
        <v>1401</v>
      </c>
      <c r="F51" s="348">
        <f ca="1">F8</f>
        <v>0</v>
      </c>
      <c r="I51" s="1890" t="s">
        <v>1534</v>
      </c>
      <c r="J51" s="1891">
        <f>IF(J49="",J50,J49+J50-YEAR('数据-取费表'!B2))</f>
        <v>29</v>
      </c>
      <c r="K51" s="1892" t="s">
        <v>1535</v>
      </c>
      <c r="L51" s="1893">
        <f ca="1">ROUND(-PV(INDIRECT("'数据-取费表'!h"&amp;$G$1),J51,(C39-C13*C76),0),0)</f>
        <v>0</v>
      </c>
      <c r="M51" s="1894"/>
      <c r="O51" s="1886" t="s">
        <v>1040</v>
      </c>
      <c r="P51" s="1877" t="s">
        <v>1536</v>
      </c>
      <c r="Q51" s="1889">
        <f>J52</f>
        <v>8.5000000000000006E-2</v>
      </c>
      <c r="R51" s="1878"/>
    </row>
    <row r="52" spans="1:18" s="1834" customFormat="1" ht="13.5" thickBot="1">
      <c r="A52" s="1196"/>
      <c r="B52" s="1198"/>
      <c r="C52" s="1199"/>
      <c r="D52" s="1172"/>
      <c r="E52" s="1200" t="s">
        <v>1402</v>
      </c>
      <c r="F52" s="1275"/>
      <c r="I52" s="1895" t="s">
        <v>1537</v>
      </c>
      <c r="J52" s="1896">
        <v>8.5000000000000006E-2</v>
      </c>
      <c r="K52" s="1895" t="s">
        <v>1538</v>
      </c>
      <c r="L52" s="1896"/>
      <c r="O52" s="1886" t="s">
        <v>1041</v>
      </c>
      <c r="P52" s="1877" t="s">
        <v>1539</v>
      </c>
      <c r="Q52" s="1878">
        <f ca="1">J53</f>
        <v>0</v>
      </c>
      <c r="R52" s="1878" t="s">
        <v>1540</v>
      </c>
    </row>
    <row r="53" spans="1:18" s="1834" customFormat="1" ht="24.75" thickBot="1">
      <c r="A53" s="1405" t="s">
        <v>1133</v>
      </c>
      <c r="B53" s="1823" t="s">
        <v>1403</v>
      </c>
      <c r="C53" s="361">
        <f ca="1">ROUND(IF(F53="押一",C49/12*F11,IF(F53="押二",C49/12*2*F11,IF(F53="押三",C49/12*3*F11,C54*F11))),0)</f>
        <v>0</v>
      </c>
      <c r="D53" s="1816" t="s">
        <v>3037</v>
      </c>
      <c r="E53" s="358" t="s">
        <v>1404</v>
      </c>
      <c r="F53" s="1366"/>
      <c r="I53" s="1897" t="s">
        <v>1541</v>
      </c>
      <c r="J53" s="2942">
        <f ca="1">IF(M47="住宅",IF(D1="——",MAX(J51,L48),MAX(J51,L48-'数据-取费表'!B24)),IF(D1="——",MIN(J51,L48),MIN(J51,L48-'数据-取费表'!B24)))</f>
        <v>0</v>
      </c>
      <c r="K53" s="3202" t="s">
        <v>1542</v>
      </c>
      <c r="L53" s="3203"/>
      <c r="O53" s="1876" t="s">
        <v>1042</v>
      </c>
      <c r="P53" s="1877" t="s">
        <v>1543</v>
      </c>
      <c r="Q53" s="1878" t="e">
        <f ca="1">Q47+Q48</f>
        <v>#DIV/0!</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f ca="1">ROUND(IF(J47="钢混",J57/J50,1-(1-2%)*(J50-J57)/J50),3)</f>
        <v>0.58799999999999997</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0</v>
      </c>
      <c r="D56" s="1905"/>
      <c r="E56" s="1906"/>
      <c r="F56" s="1898"/>
      <c r="I56" s="1907" t="s">
        <v>1548</v>
      </c>
      <c r="J56" s="1908" t="s">
        <v>3099</v>
      </c>
      <c r="K56" s="1879" t="s">
        <v>1549</v>
      </c>
      <c r="L56" s="1882" t="str">
        <f ca="1">IF(L48&lt;J51,"——",L48-J53)</f>
        <v>——</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29</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0</v>
      </c>
      <c r="D58" s="1179" t="s">
        <v>1419</v>
      </c>
      <c r="E58" s="1180"/>
      <c r="F58" s="1181"/>
      <c r="I58" s="1913" t="s">
        <v>1554</v>
      </c>
      <c r="J58" s="1915">
        <f ca="1">IF(J55&lt;0.4,0.4,J55)</f>
        <v>0.58799999999999997</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13" t="s">
        <v>1557</v>
      </c>
      <c r="J59" s="1914">
        <f ca="1">IF(OR(M47="住宅",J51&lt;L48,J56="是"),"——",ROUND(C29*J58,0))</f>
        <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6" t="s">
        <v>1559</v>
      </c>
      <c r="J60" s="1917">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ROUND(C48*F66,1)</f>
        <v>0</v>
      </c>
      <c r="D66" s="1183" t="s">
        <v>1499</v>
      </c>
      <c r="E66" s="1169" t="s">
        <v>1416</v>
      </c>
      <c r="F66" s="357">
        <f t="shared" ca="1" si="0"/>
        <v>0</v>
      </c>
      <c r="O66" s="1876" t="s">
        <v>1037</v>
      </c>
      <c r="P66" s="1877" t="s">
        <v>1552</v>
      </c>
      <c r="Q66" s="1878">
        <f ca="1">L60</f>
        <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c r="O70" s="1886" t="s">
        <v>1045</v>
      </c>
      <c r="P70" s="1925" t="s">
        <v>1579</v>
      </c>
      <c r="Q70" s="1878">
        <f ca="1">C13</f>
        <v>0</v>
      </c>
      <c r="R70" s="1878" t="s">
        <v>1523</v>
      </c>
    </row>
    <row r="71" spans="1:18" s="1834" customFormat="1" ht="13.5" thickBot="1">
      <c r="A71" s="1190" t="s">
        <v>1029</v>
      </c>
      <c r="B71" s="1191" t="s">
        <v>1481</v>
      </c>
      <c r="C71" s="382" t="e">
        <f ca="1">ROUND(C68*10000/F71,0)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204" t="s">
        <v>1397</v>
      </c>
      <c r="C6" s="1296">
        <f ca="1">ROUND(F6*F8*F7*(1-F9),0)</f>
        <v>0</v>
      </c>
      <c r="D6" s="164" t="s">
        <v>3026</v>
      </c>
      <c r="E6" s="347" t="s">
        <v>1399</v>
      </c>
      <c r="F6" s="348">
        <f ca="1">INDIRECT("'数据-取费表'!u"&amp;$G$1)</f>
        <v>0</v>
      </c>
      <c r="G6" s="1843"/>
      <c r="H6" s="1291" t="s">
        <v>1031</v>
      </c>
      <c r="I6" s="3204" t="s">
        <v>1397</v>
      </c>
      <c r="J6" s="346">
        <f ca="1">ROUND(M6*M8*M7*(1-M9),0)</f>
        <v>0</v>
      </c>
      <c r="K6" s="1826" t="s">
        <v>3027</v>
      </c>
      <c r="L6" s="347" t="s">
        <v>1399</v>
      </c>
      <c r="M6" s="348">
        <f ca="1">INDIRECT("'数据-取费表'!z"&amp;$G$1)</f>
        <v>0</v>
      </c>
    </row>
    <row r="7" spans="1:37" ht="18" customHeight="1">
      <c r="A7" s="1295"/>
      <c r="B7" s="3205"/>
      <c r="C7" s="1297"/>
      <c r="D7" s="352"/>
      <c r="E7" s="1298" t="s">
        <v>1400</v>
      </c>
      <c r="F7" s="348">
        <f ca="1">IF(INDIRECT("'数据-取费表'!ah"&amp;$G$1)="",INDIRECT("'数据-取费表'!k"&amp;$G$1),INDIRECT("'数据-取费表'!ah"&amp;$G$1))</f>
        <v>0</v>
      </c>
      <c r="G7" s="1843"/>
      <c r="H7" s="349"/>
      <c r="I7" s="3205"/>
      <c r="J7" s="351"/>
      <c r="K7" s="352"/>
      <c r="L7" s="347" t="s">
        <v>1400</v>
      </c>
      <c r="M7" s="348">
        <f ca="1">F7</f>
        <v>0</v>
      </c>
    </row>
    <row r="8" spans="1:37" ht="18" customHeight="1">
      <c r="A8" s="349"/>
      <c r="B8" s="3205"/>
      <c r="C8" s="351"/>
      <c r="D8" s="352"/>
      <c r="E8" s="347" t="s">
        <v>1401</v>
      </c>
      <c r="F8" s="348">
        <f ca="1">INDIRECT("'数据-取费表'!ai"&amp;$G$1)</f>
        <v>0</v>
      </c>
      <c r="G8" s="1843"/>
      <c r="H8" s="349"/>
      <c r="I8" s="3205"/>
      <c r="J8" s="351"/>
      <c r="K8" s="352"/>
      <c r="L8" s="347" t="s">
        <v>1401</v>
      </c>
      <c r="M8" s="348">
        <f ca="1">INDIRECT("'数据-取费表'!ai"&amp;$G$1)</f>
        <v>0</v>
      </c>
    </row>
    <row r="9" spans="1:37" ht="18" customHeight="1">
      <c r="A9" s="349"/>
      <c r="B9" s="3206"/>
      <c r="C9" s="351"/>
      <c r="D9" s="352"/>
      <c r="E9" s="347" t="s">
        <v>1402</v>
      </c>
      <c r="F9" s="357">
        <f ca="1">INDIRECT("'数据-取费表'!w"&amp;$G$1)</f>
        <v>0</v>
      </c>
      <c r="G9" s="1843"/>
      <c r="H9" s="349"/>
      <c r="I9" s="320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3037</v>
      </c>
      <c r="E10" s="358" t="s">
        <v>1404</v>
      </c>
      <c r="F10" s="1366"/>
      <c r="G10" s="1843"/>
      <c r="H10" s="1291" t="s">
        <v>1035</v>
      </c>
      <c r="I10" s="1815" t="s">
        <v>1403</v>
      </c>
      <c r="J10" s="346">
        <f ca="1">ROUND(IF(M10="押一",J6/12*M11,IF(M10="押二",J6/12*2*M11,IF(M10="押三",J6/12*3*M11,J11*M11))),0)</f>
        <v>0</v>
      </c>
      <c r="K10" s="1827" t="s">
        <v>3039</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3040</v>
      </c>
      <c r="E53" s="358" t="s">
        <v>1404</v>
      </c>
      <c r="F53" s="1366"/>
      <c r="I53" s="1897" t="s">
        <v>1541</v>
      </c>
      <c r="J53" s="2942">
        <f ca="1">IF(M47="住宅",IF(D1="——",MAX(J51,L48),MAX(J51,L48-'数据-取费表'!B24)),IF(D1="——",MIN(J51,L48),MIN(J51,L48-'数据-取费表'!B24)))</f>
        <v>0</v>
      </c>
      <c r="K53" s="3202" t="s">
        <v>1542</v>
      </c>
      <c r="L53" s="3203"/>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2525</v>
      </c>
      <c r="B1" s="2556"/>
      <c r="C1" s="2556"/>
      <c r="D1" s="2556"/>
      <c r="E1" s="2557"/>
    </row>
    <row r="2" spans="1:6" ht="15.75">
      <c r="A2" s="2558" t="s">
        <v>2326</v>
      </c>
      <c r="B2" s="2559">
        <f ca="1">SUMIF(B6:B13,"&lt;&gt;#ref!",B6:B13)</f>
        <v>0</v>
      </c>
      <c r="C2" s="2560" t="s">
        <v>2518</v>
      </c>
      <c r="D2" s="2561" t="s">
        <v>2519</v>
      </c>
      <c r="E2" s="2562">
        <f>SUM(E6:E13)</f>
        <v>0</v>
      </c>
    </row>
    <row r="3" spans="1:6" ht="15.75">
      <c r="A3" s="2558" t="s">
        <v>1389</v>
      </c>
      <c r="B3" s="2559" t="e">
        <f ca="1">ROUND(B2*10000/E2,0)</f>
        <v>#DIV/0!</v>
      </c>
      <c r="C3" s="2560" t="s">
        <v>2526</v>
      </c>
      <c r="D3" s="2563"/>
      <c r="E3" s="2564"/>
    </row>
    <row r="4" spans="1:6" ht="15.75">
      <c r="A4" s="2565"/>
      <c r="B4" s="2563"/>
      <c r="C4" s="2563"/>
      <c r="D4" s="2563"/>
      <c r="E4" s="2564"/>
    </row>
    <row r="5" spans="1:6" ht="15">
      <c r="A5" s="2566" t="s">
        <v>2520</v>
      </c>
      <c r="B5" s="3207" t="s">
        <v>2521</v>
      </c>
      <c r="C5" s="3207"/>
      <c r="D5" s="2567"/>
      <c r="E5" s="2568" t="s">
        <v>2522</v>
      </c>
      <c r="F5" s="2569" t="s">
        <v>2523</v>
      </c>
    </row>
    <row r="6" spans="1:6">
      <c r="A6" s="2570">
        <f>'数据-取费表'!AN6</f>
        <v>0</v>
      </c>
      <c r="B6" s="2569" t="e">
        <f ca="1">IF(F6="是",'数据-取费表'!AO6,0)</f>
        <v>#REF!</v>
      </c>
      <c r="C6" s="2560" t="s">
        <v>2518</v>
      </c>
      <c r="D6" s="2563"/>
      <c r="E6" s="2571">
        <f>IF(OR(A6=0,F6="否"),0,'数据-取费表'!K6+'数据-取费表'!S6)</f>
        <v>0</v>
      </c>
      <c r="F6" s="2572" t="s">
        <v>2524</v>
      </c>
    </row>
    <row r="7" spans="1:6">
      <c r="A7" s="2570">
        <f>'数据-取费表'!AN7</f>
        <v>0</v>
      </c>
      <c r="B7" s="2569" t="e">
        <f ca="1">IF(F7="是",'数据-取费表'!AO7,0)</f>
        <v>#REF!</v>
      </c>
      <c r="C7" s="2560" t="s">
        <v>2518</v>
      </c>
      <c r="D7" s="2563"/>
      <c r="E7" s="2571">
        <f>IF(OR(A7=0,F7="否"),0,'数据-取费表'!K7+'数据-取费表'!S7)</f>
        <v>0</v>
      </c>
      <c r="F7" s="2572" t="s">
        <v>2524</v>
      </c>
    </row>
    <row r="8" spans="1:6">
      <c r="A8" s="2570">
        <f>'数据-取费表'!AN8</f>
        <v>0</v>
      </c>
      <c r="B8" s="2569" t="e">
        <f ca="1">IF(F8="是",'数据-取费表'!AO8,0)</f>
        <v>#REF!</v>
      </c>
      <c r="C8" s="2560" t="s">
        <v>2518</v>
      </c>
      <c r="D8" s="2563"/>
      <c r="E8" s="2571">
        <f>IF(OR(A8=0,F8="否"),0,'数据-取费表'!K8+'数据-取费表'!S8)</f>
        <v>0</v>
      </c>
      <c r="F8" s="2572" t="s">
        <v>2524</v>
      </c>
    </row>
    <row r="9" spans="1:6">
      <c r="A9" s="2570">
        <f>'数据-取费表'!AN9</f>
        <v>0</v>
      </c>
      <c r="B9" s="2569" t="e">
        <f ca="1">IF(F9="是",'数据-取费表'!AO9,0)</f>
        <v>#REF!</v>
      </c>
      <c r="C9" s="2560" t="s">
        <v>2518</v>
      </c>
      <c r="D9" s="2563"/>
      <c r="E9" s="2571">
        <f>IF(OR(A9=0,F9="否"),0,'数据-取费表'!K9+'数据-取费表'!S9)</f>
        <v>0</v>
      </c>
      <c r="F9" s="2572" t="s">
        <v>2524</v>
      </c>
    </row>
    <row r="10" spans="1:6">
      <c r="A10" s="2570">
        <f>'数据-取费表'!AN10</f>
        <v>0</v>
      </c>
      <c r="B10" s="2569" t="e">
        <f ca="1">IF(F10="是",'数据-取费表'!AO10,0)</f>
        <v>#REF!</v>
      </c>
      <c r="C10" s="2560" t="s">
        <v>2518</v>
      </c>
      <c r="D10" s="2563"/>
      <c r="E10" s="2571">
        <f>IF(OR(A10=0,F10="否"),0,'数据-取费表'!K10+'数据-取费表'!S10)</f>
        <v>0</v>
      </c>
      <c r="F10" s="2572" t="s">
        <v>2524</v>
      </c>
    </row>
    <row r="11" spans="1:6">
      <c r="A11" s="2570">
        <f>'数据-取费表'!AN11</f>
        <v>0</v>
      </c>
      <c r="B11" s="2569" t="e">
        <f ca="1">IF(F11="是",'数据-取费表'!AO11,0)</f>
        <v>#REF!</v>
      </c>
      <c r="C11" s="2560" t="s">
        <v>2518</v>
      </c>
      <c r="D11" s="2563"/>
      <c r="E11" s="2571">
        <f>IF(OR(A11=0,F11="否"),0,'数据-取费表'!K11+'数据-取费表'!S11)</f>
        <v>0</v>
      </c>
      <c r="F11" s="2572" t="s">
        <v>2524</v>
      </c>
    </row>
    <row r="12" spans="1:6">
      <c r="A12" s="2570">
        <f>'数据-取费表'!AN12</f>
        <v>0</v>
      </c>
      <c r="B12" s="2569" t="e">
        <f ca="1">IF(F12="是",'数据-取费表'!AO12,0)</f>
        <v>#REF!</v>
      </c>
      <c r="C12" s="2560" t="s">
        <v>2518</v>
      </c>
      <c r="D12" s="2563"/>
      <c r="E12" s="2571">
        <f>IF(OR(A12=0,F12="否"),0,'数据-取费表'!K12+'数据-取费表'!S12)</f>
        <v>0</v>
      </c>
      <c r="F12" s="2572" t="s">
        <v>2524</v>
      </c>
    </row>
    <row r="13" spans="1:6" ht="15" thickBot="1">
      <c r="A13" s="2573">
        <f>'数据-取费表'!AN13</f>
        <v>0</v>
      </c>
      <c r="B13" s="2569" t="e">
        <f ca="1">IF(F13="是",'数据-取费表'!AO13,0)</f>
        <v>#REF!</v>
      </c>
      <c r="C13" s="2574" t="s">
        <v>2518</v>
      </c>
      <c r="D13" s="2575"/>
      <c r="E13" s="2571">
        <f>IF(OR(A13=0,F13="否"),0,'数据-取费表'!K13+'数据-取费表'!S13)</f>
        <v>0</v>
      </c>
      <c r="F13" s="257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4" t="s">
        <v>1072</v>
      </c>
      <c r="B1" s="3225"/>
      <c r="C1" s="3226"/>
      <c r="D1" s="3227">
        <f>SUM(I10,I15,I20,I21,I23)</f>
        <v>0</v>
      </c>
      <c r="E1" s="3227"/>
      <c r="F1" s="3227"/>
      <c r="G1" s="3227"/>
      <c r="H1" s="3227"/>
      <c r="I1" s="3228"/>
    </row>
    <row r="2" spans="1:9">
      <c r="A2" s="3214" t="s">
        <v>1073</v>
      </c>
      <c r="B2" s="3215" t="s">
        <v>1074</v>
      </c>
      <c r="C2" s="3215"/>
      <c r="D2" s="1301" t="s">
        <v>1075</v>
      </c>
      <c r="E2" s="1301" t="s">
        <v>1076</v>
      </c>
      <c r="F2" s="1301" t="s">
        <v>1077</v>
      </c>
      <c r="G2" s="1301" t="s">
        <v>1078</v>
      </c>
      <c r="H2" s="1301" t="s">
        <v>1079</v>
      </c>
      <c r="I2" s="1302" t="s">
        <v>1080</v>
      </c>
    </row>
    <row r="3" spans="1:9">
      <c r="A3" s="3214"/>
      <c r="B3" s="3215" t="s">
        <v>1081</v>
      </c>
      <c r="C3" s="3215"/>
      <c r="D3" s="1303"/>
      <c r="E3" s="1301"/>
      <c r="F3" s="1304"/>
      <c r="G3" s="1304"/>
      <c r="H3" s="1305"/>
      <c r="I3" s="1306">
        <f>ROUND(D3*E3*F3*G3*H3/10000,0)</f>
        <v>0</v>
      </c>
    </row>
    <row r="4" spans="1:9">
      <c r="A4" s="3214"/>
      <c r="B4" s="3215" t="s">
        <v>1082</v>
      </c>
      <c r="C4" s="3215"/>
      <c r="D4" s="1303"/>
      <c r="E4" s="1301"/>
      <c r="F4" s="1304"/>
      <c r="G4" s="1304"/>
      <c r="H4" s="1305"/>
      <c r="I4" s="1306">
        <f t="shared" ref="I4:I9" si="0">ROUND(D4*E4*F4*G4*H4/10000,0)</f>
        <v>0</v>
      </c>
    </row>
    <row r="5" spans="1:9">
      <c r="A5" s="3214"/>
      <c r="B5" s="3215" t="s">
        <v>1083</v>
      </c>
      <c r="C5" s="3215"/>
      <c r="D5" s="1303"/>
      <c r="E5" s="1301"/>
      <c r="F5" s="1304"/>
      <c r="G5" s="1304"/>
      <c r="H5" s="1305"/>
      <c r="I5" s="1306">
        <f t="shared" si="0"/>
        <v>0</v>
      </c>
    </row>
    <row r="6" spans="1:9">
      <c r="A6" s="3214"/>
      <c r="B6" s="3215" t="s">
        <v>1084</v>
      </c>
      <c r="C6" s="3215"/>
      <c r="D6" s="1303"/>
      <c r="E6" s="1301"/>
      <c r="F6" s="1304"/>
      <c r="G6" s="1304"/>
      <c r="H6" s="1305"/>
      <c r="I6" s="1306">
        <f t="shared" si="0"/>
        <v>0</v>
      </c>
    </row>
    <row r="7" spans="1:9">
      <c r="A7" s="3214"/>
      <c r="B7" s="3215" t="s">
        <v>1085</v>
      </c>
      <c r="C7" s="3215"/>
      <c r="D7" s="1303"/>
      <c r="E7" s="1301"/>
      <c r="F7" s="1304"/>
      <c r="G7" s="1304"/>
      <c r="H7" s="1305"/>
      <c r="I7" s="1306">
        <f t="shared" si="0"/>
        <v>0</v>
      </c>
    </row>
    <row r="8" spans="1:9">
      <c r="A8" s="3214"/>
      <c r="B8" s="3215" t="s">
        <v>1086</v>
      </c>
      <c r="C8" s="3215"/>
      <c r="D8" s="1303"/>
      <c r="E8" s="1301"/>
      <c r="F8" s="1304"/>
      <c r="G8" s="1304"/>
      <c r="H8" s="1305"/>
      <c r="I8" s="1306">
        <f t="shared" si="0"/>
        <v>0</v>
      </c>
    </row>
    <row r="9" spans="1:9">
      <c r="A9" s="3214"/>
      <c r="B9" s="3215" t="s">
        <v>1087</v>
      </c>
      <c r="C9" s="3215"/>
      <c r="D9" s="1303"/>
      <c r="E9" s="1301"/>
      <c r="F9" s="1304"/>
      <c r="G9" s="1304"/>
      <c r="H9" s="1305"/>
      <c r="I9" s="1306">
        <f t="shared" si="0"/>
        <v>0</v>
      </c>
    </row>
    <row r="10" spans="1:9">
      <c r="A10" s="3214"/>
      <c r="B10" s="3216" t="s">
        <v>1088</v>
      </c>
      <c r="C10" s="3216"/>
      <c r="D10" s="1307"/>
      <c r="E10" s="1307" t="e">
        <f>ROUND(D1*10000/D10/H9,0)</f>
        <v>#DIV/0!</v>
      </c>
      <c r="F10" s="1308"/>
      <c r="G10" s="1308"/>
      <c r="H10" s="1309"/>
      <c r="I10" s="1310">
        <f>SUM(I3:I9)</f>
        <v>0</v>
      </c>
    </row>
    <row r="11" spans="1:9" ht="14.25">
      <c r="A11" s="3214" t="s">
        <v>1089</v>
      </c>
      <c r="B11" s="3215" t="s">
        <v>1090</v>
      </c>
      <c r="C11" s="3215"/>
      <c r="D11" s="1303" t="s">
        <v>1091</v>
      </c>
      <c r="E11" s="1303" t="s">
        <v>1092</v>
      </c>
      <c r="F11" s="1304" t="s">
        <v>1093</v>
      </c>
      <c r="G11" s="1304" t="s">
        <v>1079</v>
      </c>
      <c r="H11" s="1311" t="s">
        <v>1094</v>
      </c>
      <c r="I11" s="1302" t="s">
        <v>1080</v>
      </c>
    </row>
    <row r="12" spans="1:9">
      <c r="A12" s="3214"/>
      <c r="B12" s="3215" t="s">
        <v>1095</v>
      </c>
      <c r="C12" s="3215"/>
      <c r="D12" s="1303"/>
      <c r="E12" s="1303"/>
      <c r="F12" s="1304"/>
      <c r="G12" s="1305"/>
      <c r="H12" s="1312"/>
      <c r="I12" s="1302">
        <f>ROUND(D12*E12*F12*G12/10000,0)</f>
        <v>0</v>
      </c>
    </row>
    <row r="13" spans="1:9">
      <c r="A13" s="3214"/>
      <c r="B13" s="3215" t="s">
        <v>1096</v>
      </c>
      <c r="C13" s="3215"/>
      <c r="D13" s="1303"/>
      <c r="E13" s="1303"/>
      <c r="F13" s="1304"/>
      <c r="G13" s="1305"/>
      <c r="H13" s="1312"/>
      <c r="I13" s="1302">
        <f>ROUND(D13*E13*F13*G13/10000,0)</f>
        <v>0</v>
      </c>
    </row>
    <row r="14" spans="1:9">
      <c r="A14" s="3214"/>
      <c r="B14" s="3215" t="s">
        <v>1097</v>
      </c>
      <c r="C14" s="3215"/>
      <c r="D14" s="1303"/>
      <c r="E14" s="1303"/>
      <c r="F14" s="1304"/>
      <c r="G14" s="1305"/>
      <c r="H14" s="1312"/>
      <c r="I14" s="1302">
        <f>ROUND(D14*E14*F14*G14/10000,0)</f>
        <v>0</v>
      </c>
    </row>
    <row r="15" spans="1:9">
      <c r="A15" s="3214"/>
      <c r="B15" s="3216" t="s">
        <v>1088</v>
      </c>
      <c r="C15" s="3216"/>
      <c r="D15" s="1307"/>
      <c r="E15" s="1307">
        <f>SUM(E12:E14)</f>
        <v>0</v>
      </c>
      <c r="F15" s="1308"/>
      <c r="G15" s="1305"/>
      <c r="H15" s="1312"/>
      <c r="I15" s="1313">
        <f>SUM(I12:I14)</f>
        <v>0</v>
      </c>
    </row>
    <row r="16" spans="1:9" ht="24">
      <c r="A16" s="3214" t="s">
        <v>1098</v>
      </c>
      <c r="B16" s="3215" t="s">
        <v>1099</v>
      </c>
      <c r="C16" s="3215"/>
      <c r="D16" s="1303" t="s">
        <v>1075</v>
      </c>
      <c r="E16" s="1314" t="s">
        <v>1100</v>
      </c>
      <c r="F16" s="1304" t="s">
        <v>1101</v>
      </c>
      <c r="G16" s="1305" t="s">
        <v>1079</v>
      </c>
      <c r="H16" s="1311" t="s">
        <v>1094</v>
      </c>
      <c r="I16" s="1302" t="s">
        <v>1080</v>
      </c>
    </row>
    <row r="17" spans="1:9" ht="14.25">
      <c r="A17" s="3214"/>
      <c r="B17" s="3215" t="s">
        <v>1102</v>
      </c>
      <c r="C17" s="3215"/>
      <c r="D17" s="1303"/>
      <c r="E17" s="1303"/>
      <c r="F17" s="1304"/>
      <c r="G17" s="1305"/>
      <c r="H17" s="1315"/>
      <c r="I17" s="1316">
        <f>ROUND(D17*E17*F17*G17/10000,0)</f>
        <v>0</v>
      </c>
    </row>
    <row r="18" spans="1:9" ht="14.25">
      <c r="A18" s="3214"/>
      <c r="B18" s="3215" t="s">
        <v>1103</v>
      </c>
      <c r="C18" s="3215"/>
      <c r="D18" s="1303"/>
      <c r="E18" s="1303"/>
      <c r="F18" s="1304"/>
      <c r="G18" s="1305"/>
      <c r="H18" s="1315"/>
      <c r="I18" s="1316">
        <f>ROUND(D18*E18*F18*G18/10000,0)</f>
        <v>0</v>
      </c>
    </row>
    <row r="19" spans="1:9" ht="14.25">
      <c r="A19" s="3214"/>
      <c r="B19" s="3215" t="s">
        <v>1104</v>
      </c>
      <c r="C19" s="3215"/>
      <c r="D19" s="1303"/>
      <c r="E19" s="1303"/>
      <c r="F19" s="1304"/>
      <c r="G19" s="1305"/>
      <c r="H19" s="1315"/>
      <c r="I19" s="1316">
        <f>ROUND(D19*E19*F19*G19/10000,0)</f>
        <v>0</v>
      </c>
    </row>
    <row r="20" spans="1:9">
      <c r="A20" s="3214"/>
      <c r="B20" s="3216" t="s">
        <v>1088</v>
      </c>
      <c r="C20" s="3216"/>
      <c r="D20" s="1307">
        <f>SUM(D17:D19)</f>
        <v>0</v>
      </c>
      <c r="E20" s="1307"/>
      <c r="F20" s="1308"/>
      <c r="G20" s="1305"/>
      <c r="H20" s="1312"/>
      <c r="I20" s="1313">
        <f>SUM(I17:I19)</f>
        <v>0</v>
      </c>
    </row>
    <row r="21" spans="1:9">
      <c r="A21" s="3214" t="s">
        <v>1105</v>
      </c>
      <c r="B21" s="3217"/>
      <c r="C21" s="3217"/>
      <c r="D21" s="3217"/>
      <c r="E21" s="3217"/>
      <c r="F21" s="3217"/>
      <c r="G21" s="3217"/>
      <c r="H21" s="1757">
        <v>0.1</v>
      </c>
      <c r="I21" s="1310">
        <f>ROUND(I10*H21,0)</f>
        <v>0</v>
      </c>
    </row>
    <row r="22" spans="1:9" ht="14.25">
      <c r="A22" s="3218" t="s">
        <v>1106</v>
      </c>
      <c r="B22" s="3219"/>
      <c r="C22" s="3220"/>
      <c r="D22" s="1317" t="s">
        <v>1107</v>
      </c>
      <c r="E22" s="1317" t="s">
        <v>1108</v>
      </c>
      <c r="F22" s="1318" t="s">
        <v>1109</v>
      </c>
      <c r="G22" s="1318" t="s">
        <v>1110</v>
      </c>
      <c r="H22" s="1311" t="s">
        <v>1111</v>
      </c>
      <c r="I22" s="1302" t="s">
        <v>1112</v>
      </c>
    </row>
    <row r="23" spans="1:9" ht="14.25" thickBot="1">
      <c r="A23" s="3221"/>
      <c r="B23" s="3222"/>
      <c r="C23" s="3223"/>
      <c r="D23" s="1319"/>
      <c r="E23" s="1319"/>
      <c r="F23" s="1319"/>
      <c r="G23" s="1320"/>
      <c r="H23" s="1321"/>
      <c r="I23" s="1322">
        <f>ROUND(E23*D23*F23*(1-G23)/10000,0)</f>
        <v>0</v>
      </c>
    </row>
    <row r="26" spans="1:9">
      <c r="A26" s="1323" t="s">
        <v>1113</v>
      </c>
      <c r="B26" s="1323"/>
      <c r="C26" s="1323"/>
      <c r="D26" s="1323"/>
      <c r="E26" s="3211">
        <f>C27-C30-C31-C32</f>
        <v>0</v>
      </c>
      <c r="F26" s="3211"/>
      <c r="G26" s="3211"/>
      <c r="H26" s="1737" t="s">
        <v>1335</v>
      </c>
    </row>
    <row r="27" spans="1:9">
      <c r="A27" s="1324">
        <v>1</v>
      </c>
      <c r="B27" s="1325" t="s">
        <v>1114</v>
      </c>
      <c r="C27" s="1325">
        <f>C28+C29</f>
        <v>0</v>
      </c>
      <c r="D27" s="1325"/>
      <c r="E27" s="3212"/>
      <c r="F27" s="3212"/>
      <c r="G27" s="3212"/>
    </row>
    <row r="28" spans="1:9">
      <c r="A28" s="1326" t="s">
        <v>1115</v>
      </c>
      <c r="B28" s="1325" t="s">
        <v>1116</v>
      </c>
      <c r="C28" s="1325"/>
      <c r="D28" s="1325"/>
      <c r="E28" s="3212"/>
      <c r="F28" s="3212"/>
      <c r="G28" s="321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13"/>
      <c r="F32" s="3213"/>
      <c r="G32" s="3213"/>
    </row>
    <row r="33" spans="1:7" hidden="1">
      <c r="A33" s="3208" t="s">
        <v>1125</v>
      </c>
      <c r="B33" s="3209"/>
      <c r="C33" s="3209"/>
      <c r="D33" s="3210"/>
      <c r="E33" s="3211"/>
      <c r="F33" s="3211"/>
      <c r="G33" s="3211"/>
    </row>
    <row r="34" spans="1:7" hidden="1">
      <c r="A34" s="1328">
        <v>1</v>
      </c>
      <c r="B34" s="1325" t="s">
        <v>1126</v>
      </c>
      <c r="C34" s="1325"/>
      <c r="D34" s="1325"/>
      <c r="E34" s="3212"/>
      <c r="F34" s="3212"/>
      <c r="G34" s="3212"/>
    </row>
    <row r="35" spans="1:7" hidden="1">
      <c r="A35" s="1328">
        <v>2</v>
      </c>
      <c r="B35" s="1325" t="s">
        <v>1127</v>
      </c>
      <c r="C35" s="1325"/>
      <c r="D35" s="1325"/>
      <c r="E35" s="3212"/>
      <c r="F35" s="3212"/>
      <c r="G35" s="3212"/>
    </row>
    <row r="36" spans="1:7" hidden="1">
      <c r="A36" s="1328">
        <v>3</v>
      </c>
      <c r="B36" s="1325" t="s">
        <v>1128</v>
      </c>
      <c r="C36" s="1325"/>
      <c r="D36" s="1325"/>
      <c r="E36" s="3212"/>
      <c r="F36" s="3212"/>
      <c r="G36" s="3212"/>
    </row>
    <row r="37" spans="1:7" hidden="1">
      <c r="A37" s="1328">
        <v>4</v>
      </c>
      <c r="B37" s="1325" t="s">
        <v>1129</v>
      </c>
      <c r="C37" s="1325"/>
      <c r="D37" s="1325"/>
      <c r="E37" s="3212"/>
      <c r="F37" s="3212"/>
      <c r="G37" s="3212"/>
    </row>
    <row r="38" spans="1:7" hidden="1">
      <c r="A38" s="3208" t="s">
        <v>1130</v>
      </c>
      <c r="B38" s="3209"/>
      <c r="C38" s="3209"/>
      <c r="D38" s="3210"/>
      <c r="E38" s="3211"/>
      <c r="F38" s="3211"/>
      <c r="G38" s="32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2641</v>
      </c>
      <c r="C1" s="1634" t="s">
        <v>2529</v>
      </c>
      <c r="D1" s="1621"/>
      <c r="E1" s="2649"/>
      <c r="F1" s="2578"/>
      <c r="G1" s="1631" t="s">
        <v>2642</v>
      </c>
      <c r="H1" s="1630"/>
      <c r="I1" s="1630"/>
      <c r="J1" s="1630"/>
      <c r="K1" s="1632"/>
      <c r="L1" s="1633"/>
      <c r="M1" s="1634"/>
      <c r="N1" s="1634"/>
      <c r="O1" s="1634"/>
      <c r="P1" s="2650"/>
      <c r="Q1" s="2651"/>
      <c r="R1" s="2651"/>
      <c r="S1" s="2651"/>
      <c r="T1" s="2651"/>
      <c r="U1" s="2651"/>
      <c r="V1" s="2651"/>
      <c r="W1" s="2651"/>
      <c r="X1" s="2651"/>
      <c r="Y1" s="2651"/>
      <c r="Z1" s="2651"/>
      <c r="AA1" s="2651"/>
      <c r="AB1" s="2651"/>
      <c r="AC1" s="2652"/>
    </row>
    <row r="2" spans="1:29" s="398" customFormat="1" ht="28.5" customHeight="1" thickTop="1">
      <c r="A2" s="1617" t="s">
        <v>2326</v>
      </c>
      <c r="B2" s="1418" t="e">
        <f ca="1">IF(C2="——",ROUND(C49*D3/10000,0),ROUND(C49*D3/10000,0)-D2)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2653"/>
      <c r="Q2" s="1129"/>
      <c r="R2" s="1129"/>
      <c r="S2" s="1129"/>
      <c r="T2" s="1129"/>
      <c r="U2" s="1129"/>
      <c r="V2" s="1129"/>
      <c r="W2" s="1129"/>
      <c r="X2" s="1129"/>
      <c r="Y2" s="1129"/>
      <c r="Z2" s="1129"/>
      <c r="AA2" s="1129"/>
      <c r="AB2" s="1129"/>
      <c r="AC2" s="2654"/>
    </row>
    <row r="3" spans="1:29" s="398" customFormat="1" ht="28.5" customHeight="1" thickBot="1">
      <c r="A3" s="247" t="s">
        <v>2328</v>
      </c>
      <c r="B3" s="609" t="e">
        <f ca="1">IF(C2="——",C49,ROUND(B2*10000/D3,0))</f>
        <v>#DIV/0!</v>
      </c>
      <c r="C3" s="400" t="s">
        <v>2643</v>
      </c>
      <c r="D3" s="399">
        <f>IF(D1="",'数据-汇总表'!E3,SUMIF('数据-汇总表'!$C19:$C33,D1,'数据-汇总表'!$E19:$E33))</f>
        <v>232.53</v>
      </c>
      <c r="E3" s="2655"/>
      <c r="F3" s="1126"/>
      <c r="G3" s="1125"/>
      <c r="H3" s="1125"/>
      <c r="I3" s="1125"/>
      <c r="J3" s="1125"/>
      <c r="K3" s="1127"/>
      <c r="L3" s="1128"/>
      <c r="M3" s="1129"/>
      <c r="N3" s="1129"/>
      <c r="O3" s="1129"/>
      <c r="P3" s="2653"/>
      <c r="Q3" s="1129"/>
      <c r="R3" s="1129"/>
      <c r="S3" s="1129"/>
      <c r="T3" s="1129"/>
      <c r="U3" s="1129"/>
      <c r="V3" s="1129"/>
      <c r="W3" s="1129"/>
      <c r="X3" s="1129"/>
      <c r="Y3" s="1129"/>
      <c r="Z3" s="1129"/>
      <c r="AA3" s="1129"/>
      <c r="AB3" s="1129"/>
      <c r="AC3" s="2655"/>
    </row>
    <row r="4" spans="1:29" ht="15">
      <c r="A4" s="401" t="s">
        <v>2644</v>
      </c>
      <c r="B4" s="402"/>
      <c r="C4" s="3171" t="s">
        <v>2645</v>
      </c>
      <c r="D4" s="3172"/>
      <c r="E4" s="3173" t="s">
        <v>2646</v>
      </c>
      <c r="F4" s="3174"/>
      <c r="G4" s="3171" t="s">
        <v>2647</v>
      </c>
      <c r="H4" s="3172"/>
      <c r="I4" s="3171" t="s">
        <v>2648</v>
      </c>
      <c r="J4" s="3172"/>
      <c r="K4" s="610" t="s">
        <v>2649</v>
      </c>
      <c r="L4" s="1130"/>
      <c r="M4" s="1131"/>
      <c r="N4" s="1131"/>
      <c r="O4" s="1131"/>
      <c r="P4" s="3175" t="s">
        <v>2650</v>
      </c>
      <c r="Q4" s="3176"/>
      <c r="R4" s="3181" t="s">
        <v>2646</v>
      </c>
      <c r="S4" s="3182"/>
      <c r="T4" s="3181" t="s">
        <v>2647</v>
      </c>
      <c r="U4" s="3182"/>
      <c r="V4" s="3187" t="s">
        <v>2648</v>
      </c>
      <c r="W4" s="3187"/>
      <c r="X4" s="1805"/>
      <c r="Y4" s="3181" t="s">
        <v>2650</v>
      </c>
      <c r="Z4" s="3182"/>
      <c r="AA4" s="3168" t="s">
        <v>2646</v>
      </c>
      <c r="AB4" s="3187" t="s">
        <v>2647</v>
      </c>
      <c r="AC4" s="3168" t="s">
        <v>2648</v>
      </c>
    </row>
    <row r="5" spans="1:29" ht="15">
      <c r="A5" s="404"/>
      <c r="B5" s="405"/>
      <c r="C5" s="3190" t="s">
        <v>2541</v>
      </c>
      <c r="D5" s="3191"/>
      <c r="E5" s="3197" t="s">
        <v>2542</v>
      </c>
      <c r="F5" s="3198"/>
      <c r="G5" s="3190" t="s">
        <v>2543</v>
      </c>
      <c r="H5" s="3191"/>
      <c r="I5" s="3190" t="s">
        <v>2544</v>
      </c>
      <c r="J5" s="3191"/>
      <c r="K5" s="610"/>
      <c r="L5" s="1130"/>
      <c r="M5" s="1131"/>
      <c r="N5" s="1131"/>
      <c r="O5" s="1131"/>
      <c r="P5" s="3177"/>
      <c r="Q5" s="3178"/>
      <c r="R5" s="3183"/>
      <c r="S5" s="3184"/>
      <c r="T5" s="3183"/>
      <c r="U5" s="3184"/>
      <c r="V5" s="3187"/>
      <c r="W5" s="3187"/>
      <c r="X5" s="1805"/>
      <c r="Y5" s="3183"/>
      <c r="Z5" s="3184"/>
      <c r="AA5" s="3169"/>
      <c r="AB5" s="3187"/>
      <c r="AC5" s="3169"/>
    </row>
    <row r="6" spans="1:29" ht="15.75" thickBot="1">
      <c r="A6" s="406"/>
      <c r="B6" s="407"/>
      <c r="C6" s="3188" t="s">
        <v>2545</v>
      </c>
      <c r="D6" s="3189"/>
      <c r="E6" s="3195" t="s">
        <v>2545</v>
      </c>
      <c r="F6" s="3196"/>
      <c r="G6" s="3188" t="s">
        <v>2545</v>
      </c>
      <c r="H6" s="3189"/>
      <c r="I6" s="3188" t="s">
        <v>2545</v>
      </c>
      <c r="J6" s="3189"/>
      <c r="K6" s="610" t="s">
        <v>2546</v>
      </c>
      <c r="L6" s="1130"/>
      <c r="M6" s="1131"/>
      <c r="N6" s="1131"/>
      <c r="O6" s="1131"/>
      <c r="P6" s="3179"/>
      <c r="Q6" s="3180"/>
      <c r="R6" s="3183"/>
      <c r="S6" s="3184"/>
      <c r="T6" s="3185"/>
      <c r="U6" s="3186"/>
      <c r="V6" s="3187"/>
      <c r="W6" s="3187"/>
      <c r="X6" s="1805"/>
      <c r="Y6" s="3185"/>
      <c r="Z6" s="3186"/>
      <c r="AA6" s="3170"/>
      <c r="AB6" s="3187"/>
      <c r="AC6" s="3170"/>
    </row>
    <row r="7" spans="1:29" s="117" customFormat="1" ht="15.75" thickBot="1">
      <c r="A7" s="408" t="s">
        <v>2547</v>
      </c>
      <c r="B7" s="409"/>
      <c r="C7" s="410">
        <f>'数据-取费表'!B2</f>
        <v>44032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2" t="s">
        <v>2548</v>
      </c>
      <c r="Q7" s="3194"/>
      <c r="R7" s="770" t="s">
        <v>17</v>
      </c>
      <c r="S7" s="771">
        <f t="shared" ref="S7:S15" si="0">F7</f>
        <v>0</v>
      </c>
      <c r="T7" s="770" t="s">
        <v>17</v>
      </c>
      <c r="U7" s="771">
        <f t="shared" ref="U7:U15" si="1">H7</f>
        <v>0</v>
      </c>
      <c r="V7" s="770" t="s">
        <v>17</v>
      </c>
      <c r="W7" s="771">
        <f t="shared" ref="W7:W15" si="2">J7</f>
        <v>0</v>
      </c>
      <c r="X7" s="772"/>
      <c r="Y7" s="3192" t="s">
        <v>2548</v>
      </c>
      <c r="Z7" s="3193"/>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2" t="s">
        <v>2551</v>
      </c>
      <c r="Q8" s="3193"/>
      <c r="R8" s="770" t="s">
        <v>17</v>
      </c>
      <c r="S8" s="771">
        <f t="shared" si="0"/>
        <v>0</v>
      </c>
      <c r="T8" s="770" t="s">
        <v>17</v>
      </c>
      <c r="U8" s="771">
        <f t="shared" si="1"/>
        <v>0</v>
      </c>
      <c r="V8" s="770" t="s">
        <v>17</v>
      </c>
      <c r="W8" s="771">
        <f t="shared" si="2"/>
        <v>0</v>
      </c>
      <c r="X8" s="772"/>
      <c r="Y8" s="3192" t="s">
        <v>2551</v>
      </c>
      <c r="Z8" s="3193"/>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67" t="s">
        <v>2554</v>
      </c>
      <c r="Q9" s="1787"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67"/>
      <c r="Q10" s="178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67"/>
      <c r="Q11" s="178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67"/>
      <c r="Q12" s="178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67"/>
      <c r="Q13" s="178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67"/>
      <c r="Q14" s="178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2558</v>
      </c>
      <c r="B15" s="69" t="s">
        <v>2652</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65" t="s">
        <v>2559</v>
      </c>
      <c r="Q15" s="1802" t="str">
        <f t="shared" si="6"/>
        <v>商业繁华度</v>
      </c>
      <c r="R15" s="774" t="s">
        <v>17</v>
      </c>
      <c r="S15" s="775">
        <f t="shared" si="0"/>
        <v>100</v>
      </c>
      <c r="T15" s="774" t="s">
        <v>17</v>
      </c>
      <c r="U15" s="775">
        <f t="shared" si="1"/>
        <v>100</v>
      </c>
      <c r="V15" s="774" t="s">
        <v>17</v>
      </c>
      <c r="W15" s="775">
        <f t="shared" si="2"/>
        <v>100</v>
      </c>
      <c r="X15" s="1805"/>
      <c r="Y15" s="3158" t="s">
        <v>2559</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166"/>
      <c r="Q16" s="1802"/>
      <c r="R16" s="774"/>
      <c r="S16" s="775"/>
      <c r="T16" s="774"/>
      <c r="U16" s="775"/>
      <c r="V16" s="774"/>
      <c r="W16" s="775"/>
      <c r="X16" s="1805"/>
      <c r="Y16" s="3159"/>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66"/>
      <c r="Q17" s="1802" t="str">
        <f>B17</f>
        <v>交通便捷度</v>
      </c>
      <c r="R17" s="774" t="s">
        <v>17</v>
      </c>
      <c r="S17" s="775">
        <f>F17</f>
        <v>100</v>
      </c>
      <c r="T17" s="774" t="s">
        <v>17</v>
      </c>
      <c r="U17" s="775">
        <f>H17</f>
        <v>100</v>
      </c>
      <c r="V17" s="774" t="s">
        <v>17</v>
      </c>
      <c r="W17" s="775">
        <f>J17</f>
        <v>100</v>
      </c>
      <c r="X17" s="1805"/>
      <c r="Y17" s="3159"/>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166"/>
      <c r="Q18" s="1802"/>
      <c r="R18" s="774"/>
      <c r="S18" s="775"/>
      <c r="T18" s="774"/>
      <c r="U18" s="775"/>
      <c r="V18" s="774"/>
      <c r="W18" s="775"/>
      <c r="X18" s="1805"/>
      <c r="Y18" s="3159"/>
      <c r="Z18" s="1806"/>
      <c r="AA18" s="1803">
        <v>1</v>
      </c>
      <c r="AB18" s="1803">
        <v>1</v>
      </c>
      <c r="AC18" s="1803">
        <v>1</v>
      </c>
    </row>
    <row r="19" spans="1:29" ht="42.75">
      <c r="A19" s="428"/>
      <c r="B19" s="451" t="s">
        <v>2653</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66"/>
      <c r="Q19" s="1802" t="str">
        <f>B19</f>
        <v>公共配套设施</v>
      </c>
      <c r="R19" s="774" t="s">
        <v>17</v>
      </c>
      <c r="S19" s="775">
        <f>F19</f>
        <v>100</v>
      </c>
      <c r="T19" s="774" t="s">
        <v>17</v>
      </c>
      <c r="U19" s="775">
        <f>H19</f>
        <v>100</v>
      </c>
      <c r="V19" s="774" t="s">
        <v>17</v>
      </c>
      <c r="W19" s="775">
        <f>J19</f>
        <v>100</v>
      </c>
      <c r="X19" s="1805"/>
      <c r="Y19" s="3159"/>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166"/>
      <c r="Q20" s="1802"/>
      <c r="R20" s="774"/>
      <c r="S20" s="775"/>
      <c r="T20" s="774"/>
      <c r="U20" s="775"/>
      <c r="V20" s="774"/>
      <c r="W20" s="775"/>
      <c r="X20" s="1805"/>
      <c r="Y20" s="3159"/>
      <c r="Z20" s="1806"/>
      <c r="AA20" s="1803">
        <v>1</v>
      </c>
      <c r="AB20" s="1803">
        <v>1</v>
      </c>
      <c r="AC20" s="1803">
        <v>1</v>
      </c>
    </row>
    <row r="21" spans="1:29" ht="28.5">
      <c r="A21" s="428"/>
      <c r="B21" s="1384" t="s">
        <v>2654</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66"/>
      <c r="Q21" s="1802" t="str">
        <f>B21</f>
        <v>基础设施水平</v>
      </c>
      <c r="R21" s="774" t="s">
        <v>17</v>
      </c>
      <c r="S21" s="775">
        <f>F21</f>
        <v>100</v>
      </c>
      <c r="T21" s="774" t="s">
        <v>17</v>
      </c>
      <c r="U21" s="775">
        <f>H21</f>
        <v>100</v>
      </c>
      <c r="V21" s="774" t="s">
        <v>17</v>
      </c>
      <c r="W21" s="775">
        <f>J21</f>
        <v>100</v>
      </c>
      <c r="X21" s="1805"/>
      <c r="Y21" s="3159"/>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166"/>
      <c r="Q22" s="1802"/>
      <c r="R22" s="774"/>
      <c r="S22" s="775"/>
      <c r="T22" s="774"/>
      <c r="U22" s="775"/>
      <c r="V22" s="774"/>
      <c r="W22" s="775"/>
      <c r="X22" s="1805"/>
      <c r="Y22" s="3159"/>
      <c r="Z22" s="1806"/>
      <c r="AA22" s="1803">
        <v>1</v>
      </c>
      <c r="AB22" s="1803">
        <v>1</v>
      </c>
      <c r="AC22" s="1803">
        <v>1</v>
      </c>
    </row>
    <row r="23" spans="1:29" ht="57">
      <c r="A23" s="428"/>
      <c r="B23" s="451" t="s">
        <v>2100</v>
      </c>
      <c r="C23" s="265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66"/>
      <c r="Q23" s="1802" t="str">
        <f>B23</f>
        <v>自然及人文环境</v>
      </c>
      <c r="R23" s="774" t="s">
        <v>17</v>
      </c>
      <c r="S23" s="775">
        <f>F23</f>
        <v>100</v>
      </c>
      <c r="T23" s="774" t="s">
        <v>17</v>
      </c>
      <c r="U23" s="775">
        <f>H23</f>
        <v>100</v>
      </c>
      <c r="V23" s="774" t="s">
        <v>17</v>
      </c>
      <c r="W23" s="775">
        <f>J23</f>
        <v>100</v>
      </c>
      <c r="X23" s="1805"/>
      <c r="Y23" s="3159"/>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166"/>
      <c r="Q24" s="1802"/>
      <c r="R24" s="774"/>
      <c r="S24" s="775"/>
      <c r="T24" s="774"/>
      <c r="U24" s="775"/>
      <c r="V24" s="774"/>
      <c r="W24" s="775"/>
      <c r="X24" s="1805"/>
      <c r="Y24" s="3159"/>
      <c r="Z24" s="1806"/>
      <c r="AA24" s="1803">
        <v>1</v>
      </c>
      <c r="AB24" s="1803">
        <v>1</v>
      </c>
      <c r="AC24" s="180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66"/>
      <c r="Q25" s="1802" t="str">
        <f t="shared" ref="Q25:Q46" si="11">B25</f>
        <v>临街状况</v>
      </c>
      <c r="R25" s="774" t="s">
        <v>17</v>
      </c>
      <c r="S25" s="775">
        <f>F25</f>
        <v>100</v>
      </c>
      <c r="T25" s="774" t="s">
        <v>17</v>
      </c>
      <c r="U25" s="775">
        <f>H25</f>
        <v>100</v>
      </c>
      <c r="V25" s="774" t="s">
        <v>17</v>
      </c>
      <c r="W25" s="775">
        <f>J25</f>
        <v>100</v>
      </c>
      <c r="X25" s="1805"/>
      <c r="Y25" s="3159"/>
      <c r="Z25" s="1806" t="str">
        <f>Q25</f>
        <v>临街状况</v>
      </c>
      <c r="AA25" s="1803">
        <f t="shared" si="3"/>
        <v>1</v>
      </c>
      <c r="AB25" s="1803">
        <f t="shared" si="4"/>
        <v>1</v>
      </c>
      <c r="AC25" s="1803">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66"/>
      <c r="Q26" s="1802" t="str">
        <f t="shared" si="11"/>
        <v>平面位置/可视性</v>
      </c>
      <c r="R26" s="774" t="s">
        <v>17</v>
      </c>
      <c r="S26" s="775">
        <f>F26</f>
        <v>100</v>
      </c>
      <c r="T26" s="774" t="s">
        <v>17</v>
      </c>
      <c r="U26" s="775">
        <f>H26</f>
        <v>100</v>
      </c>
      <c r="V26" s="774" t="s">
        <v>17</v>
      </c>
      <c r="W26" s="775">
        <f>J26</f>
        <v>100</v>
      </c>
      <c r="X26" s="1805"/>
      <c r="Y26" s="3159"/>
      <c r="Z26" s="1806" t="str">
        <f>Q26</f>
        <v>平面位置/可视性</v>
      </c>
      <c r="AA26" s="1803">
        <f t="shared" si="3"/>
        <v>1</v>
      </c>
      <c r="AB26" s="1803">
        <f t="shared" si="4"/>
        <v>1</v>
      </c>
      <c r="AC26" s="1803">
        <f t="shared" si="5"/>
        <v>1</v>
      </c>
    </row>
    <row r="27" spans="1:29" s="117" customFormat="1" ht="15">
      <c r="A27" s="431"/>
      <c r="B27" s="451" t="s">
        <v>2657</v>
      </c>
      <c r="C27" s="2657"/>
      <c r="D27" s="462">
        <v>100</v>
      </c>
      <c r="E27" s="2657"/>
      <c r="F27" s="464">
        <f>SUMIF(90:90,E27,91:91)-SUMIF(90:90,C27,91:91)+100</f>
        <v>100</v>
      </c>
      <c r="G27" s="2657"/>
      <c r="H27" s="462">
        <f>SUMIF(90:90,G27,91:91)-SUMIF(90:90,C27,91:91)+100</f>
        <v>100</v>
      </c>
      <c r="I27" s="2657"/>
      <c r="J27" s="462">
        <f>SUMIF(90:90,I27,91:91)-SUMIF(90:90,C27,91:91)+100</f>
        <v>100</v>
      </c>
      <c r="K27" s="612"/>
      <c r="L27" s="1132"/>
      <c r="M27" s="1133"/>
      <c r="N27" s="1133"/>
      <c r="O27" s="1133"/>
      <c r="P27" s="3166"/>
      <c r="Q27" s="1787" t="str">
        <f t="shared" si="11"/>
        <v>人流量</v>
      </c>
      <c r="R27" s="770" t="s">
        <v>17</v>
      </c>
      <c r="S27" s="771">
        <f>F27</f>
        <v>100</v>
      </c>
      <c r="T27" s="770" t="s">
        <v>17</v>
      </c>
      <c r="U27" s="771">
        <f>H27</f>
        <v>100</v>
      </c>
      <c r="V27" s="770" t="s">
        <v>17</v>
      </c>
      <c r="W27" s="771">
        <f>J27</f>
        <v>100</v>
      </c>
      <c r="X27" s="772"/>
      <c r="Y27" s="3159"/>
      <c r="Z27" s="55" t="str">
        <f>Q27</f>
        <v>人流量</v>
      </c>
      <c r="AA27" s="1803">
        <f>D27/F27</f>
        <v>1</v>
      </c>
      <c r="AB27" s="1803">
        <f>D27/H27</f>
        <v>1</v>
      </c>
      <c r="AC27" s="180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66"/>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159"/>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66"/>
      <c r="Q29" s="1802">
        <f t="shared" si="11"/>
        <v>111</v>
      </c>
      <c r="R29" s="774" t="s">
        <v>17</v>
      </c>
      <c r="S29" s="775">
        <f t="shared" si="12"/>
        <v>100</v>
      </c>
      <c r="T29" s="774" t="s">
        <v>17</v>
      </c>
      <c r="U29" s="775">
        <f t="shared" si="13"/>
        <v>100</v>
      </c>
      <c r="V29" s="774" t="s">
        <v>17</v>
      </c>
      <c r="W29" s="775">
        <f t="shared" si="14"/>
        <v>100</v>
      </c>
      <c r="X29" s="1805"/>
      <c r="Y29" s="3159"/>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66"/>
      <c r="Q30" s="1802">
        <f t="shared" si="11"/>
        <v>111</v>
      </c>
      <c r="R30" s="774" t="s">
        <v>17</v>
      </c>
      <c r="S30" s="775">
        <f t="shared" si="12"/>
        <v>100</v>
      </c>
      <c r="T30" s="774" t="s">
        <v>17</v>
      </c>
      <c r="U30" s="775">
        <f t="shared" si="13"/>
        <v>100</v>
      </c>
      <c r="V30" s="774" t="s">
        <v>17</v>
      </c>
      <c r="W30" s="775">
        <f t="shared" si="14"/>
        <v>100</v>
      </c>
      <c r="X30" s="1805"/>
      <c r="Y30" s="3159"/>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66"/>
      <c r="Q31" s="1802">
        <f t="shared" si="11"/>
        <v>111</v>
      </c>
      <c r="R31" s="774" t="s">
        <v>17</v>
      </c>
      <c r="S31" s="775">
        <f t="shared" si="12"/>
        <v>100</v>
      </c>
      <c r="T31" s="774" t="s">
        <v>17</v>
      </c>
      <c r="U31" s="775">
        <f t="shared" si="13"/>
        <v>100</v>
      </c>
      <c r="V31" s="774" t="s">
        <v>17</v>
      </c>
      <c r="W31" s="775">
        <f t="shared" si="14"/>
        <v>100</v>
      </c>
      <c r="X31" s="1805"/>
      <c r="Y31" s="3159"/>
      <c r="Z31" s="1806">
        <f t="shared" si="15"/>
        <v>111</v>
      </c>
      <c r="AA31" s="1803">
        <f t="shared" si="3"/>
        <v>1</v>
      </c>
      <c r="AB31" s="1803">
        <f t="shared" si="4"/>
        <v>1</v>
      </c>
      <c r="AC31" s="1803">
        <f t="shared" si="5"/>
        <v>1</v>
      </c>
    </row>
    <row r="32" spans="1:29" ht="15">
      <c r="A32" s="440" t="s">
        <v>2562</v>
      </c>
      <c r="B32" s="71" t="s">
        <v>2659</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160" t="s">
        <v>2564</v>
      </c>
      <c r="Q32" s="1802" t="str">
        <f t="shared" si="11"/>
        <v>商业类型</v>
      </c>
      <c r="R32" s="774" t="s">
        <v>17</v>
      </c>
      <c r="S32" s="775">
        <f t="shared" si="12"/>
        <v>100</v>
      </c>
      <c r="T32" s="774" t="s">
        <v>17</v>
      </c>
      <c r="U32" s="775">
        <f t="shared" si="13"/>
        <v>100</v>
      </c>
      <c r="V32" s="774" t="s">
        <v>17</v>
      </c>
      <c r="W32" s="775">
        <f t="shared" si="14"/>
        <v>100</v>
      </c>
      <c r="X32" s="1805"/>
      <c r="Y32" s="3163" t="s">
        <v>2564</v>
      </c>
      <c r="Z32" s="1806" t="str">
        <f t="shared" si="15"/>
        <v>商业类型</v>
      </c>
      <c r="AA32" s="1803">
        <f t="shared" si="3"/>
        <v>1</v>
      </c>
      <c r="AB32" s="1803">
        <f t="shared" si="4"/>
        <v>1</v>
      </c>
      <c r="AC32" s="180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61"/>
      <c r="Q33" s="776" t="str">
        <f t="shared" si="11"/>
        <v>项目建筑规模</v>
      </c>
      <c r="R33" s="777" t="s">
        <v>17</v>
      </c>
      <c r="S33" s="778" t="e">
        <f t="shared" si="12"/>
        <v>#N/A</v>
      </c>
      <c r="T33" s="777" t="s">
        <v>17</v>
      </c>
      <c r="U33" s="778" t="e">
        <f t="shared" si="13"/>
        <v>#N/A</v>
      </c>
      <c r="V33" s="777" t="s">
        <v>17</v>
      </c>
      <c r="W33" s="778" t="e">
        <f t="shared" si="14"/>
        <v>#N/A</v>
      </c>
      <c r="X33" s="779"/>
      <c r="Y33" s="3163"/>
      <c r="Z33" s="780" t="str">
        <f t="shared" si="15"/>
        <v>项目建筑规模</v>
      </c>
      <c r="AA33" s="1803" t="e">
        <f t="shared" si="3"/>
        <v>#N/A</v>
      </c>
      <c r="AB33" s="1803" t="e">
        <f t="shared" si="4"/>
        <v>#N/A</v>
      </c>
      <c r="AC33" s="1803" t="e">
        <f t="shared" si="5"/>
        <v>#N/A</v>
      </c>
    </row>
    <row r="34" spans="1:29" ht="15">
      <c r="A34" s="472"/>
      <c r="B34" s="422" t="s">
        <v>2566</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161"/>
      <c r="Q34" s="1802" t="str">
        <f t="shared" si="11"/>
        <v>建筑结构</v>
      </c>
      <c r="R34" s="774" t="s">
        <v>17</v>
      </c>
      <c r="S34" s="775">
        <f t="shared" si="12"/>
        <v>100</v>
      </c>
      <c r="T34" s="774" t="s">
        <v>17</v>
      </c>
      <c r="U34" s="775">
        <f t="shared" si="13"/>
        <v>100</v>
      </c>
      <c r="V34" s="774" t="s">
        <v>17</v>
      </c>
      <c r="W34" s="775">
        <f t="shared" si="14"/>
        <v>100</v>
      </c>
      <c r="X34" s="1805"/>
      <c r="Y34" s="3163"/>
      <c r="Z34" s="1806" t="str">
        <f t="shared" si="15"/>
        <v>建筑结构</v>
      </c>
      <c r="AA34" s="1803">
        <f t="shared" si="3"/>
        <v>1</v>
      </c>
      <c r="AB34" s="1803">
        <f t="shared" si="4"/>
        <v>1</v>
      </c>
      <c r="AC34" s="1803">
        <f t="shared" si="5"/>
        <v>1</v>
      </c>
    </row>
    <row r="35" spans="1:29" ht="15">
      <c r="A35" s="472"/>
      <c r="B35" s="422" t="s">
        <v>2660</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161"/>
      <c r="Q35" s="1802" t="str">
        <f t="shared" si="11"/>
        <v>公共部分装修</v>
      </c>
      <c r="R35" s="774" t="s">
        <v>17</v>
      </c>
      <c r="S35" s="775">
        <f t="shared" si="12"/>
        <v>100</v>
      </c>
      <c r="T35" s="774" t="s">
        <v>17</v>
      </c>
      <c r="U35" s="775">
        <f t="shared" si="13"/>
        <v>100</v>
      </c>
      <c r="V35" s="774" t="s">
        <v>17</v>
      </c>
      <c r="W35" s="775">
        <f t="shared" si="14"/>
        <v>100</v>
      </c>
      <c r="X35" s="1805"/>
      <c r="Y35" s="3163"/>
      <c r="Z35" s="1806" t="str">
        <f t="shared" si="15"/>
        <v>公共部分装修</v>
      </c>
      <c r="AA35" s="1803">
        <f t="shared" si="3"/>
        <v>1</v>
      </c>
      <c r="AB35" s="1803">
        <f t="shared" si="4"/>
        <v>1</v>
      </c>
      <c r="AC35" s="180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61"/>
      <c r="Q36" s="1802" t="str">
        <f t="shared" si="11"/>
        <v>成新度</v>
      </c>
      <c r="R36" s="774" t="s">
        <v>17</v>
      </c>
      <c r="S36" s="775" t="e">
        <f t="shared" si="12"/>
        <v>#N/A</v>
      </c>
      <c r="T36" s="774" t="s">
        <v>17</v>
      </c>
      <c r="U36" s="775" t="e">
        <f t="shared" si="13"/>
        <v>#N/A</v>
      </c>
      <c r="V36" s="774" t="s">
        <v>17</v>
      </c>
      <c r="W36" s="775" t="e">
        <f t="shared" si="14"/>
        <v>#N/A</v>
      </c>
      <c r="X36" s="1805"/>
      <c r="Y36" s="3163"/>
      <c r="Z36" s="1806" t="str">
        <f t="shared" si="15"/>
        <v>成新度</v>
      </c>
      <c r="AA36" s="1803" t="e">
        <f t="shared" si="3"/>
        <v>#N/A</v>
      </c>
      <c r="AB36" s="1803" t="e">
        <f t="shared" si="4"/>
        <v>#N/A</v>
      </c>
      <c r="AC36" s="1803" t="e">
        <f t="shared" si="5"/>
        <v>#N/A</v>
      </c>
    </row>
    <row r="37" spans="1:29" s="117" customFormat="1" ht="15">
      <c r="A37" s="473"/>
      <c r="B37" s="422" t="s">
        <v>2662</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161"/>
      <c r="Q37" s="1787" t="str">
        <f t="shared" si="11"/>
        <v>市政基础设施</v>
      </c>
      <c r="R37" s="770" t="s">
        <v>17</v>
      </c>
      <c r="S37" s="771">
        <f t="shared" si="12"/>
        <v>100</v>
      </c>
      <c r="T37" s="770" t="s">
        <v>17</v>
      </c>
      <c r="U37" s="771">
        <f t="shared" si="13"/>
        <v>100</v>
      </c>
      <c r="V37" s="770" t="s">
        <v>17</v>
      </c>
      <c r="W37" s="771">
        <f t="shared" si="14"/>
        <v>100</v>
      </c>
      <c r="X37" s="772"/>
      <c r="Y37" s="3163"/>
      <c r="Z37" s="55" t="str">
        <f t="shared" si="15"/>
        <v>市政基础设施</v>
      </c>
      <c r="AA37" s="773">
        <f t="shared" si="3"/>
        <v>1</v>
      </c>
      <c r="AB37" s="773">
        <f t="shared" si="4"/>
        <v>1</v>
      </c>
      <c r="AC37" s="773">
        <f t="shared" si="5"/>
        <v>1</v>
      </c>
    </row>
    <row r="38" spans="1:29" ht="15">
      <c r="A38" s="472"/>
      <c r="B38" s="422" t="s">
        <v>2663</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161" t="s">
        <v>2564</v>
      </c>
      <c r="Q38" s="1802" t="str">
        <f t="shared" si="11"/>
        <v>业态</v>
      </c>
      <c r="R38" s="774" t="s">
        <v>17</v>
      </c>
      <c r="S38" s="775">
        <f t="shared" si="12"/>
        <v>100</v>
      </c>
      <c r="T38" s="774" t="s">
        <v>17</v>
      </c>
      <c r="U38" s="775">
        <f t="shared" si="13"/>
        <v>100</v>
      </c>
      <c r="V38" s="774" t="s">
        <v>17</v>
      </c>
      <c r="W38" s="775">
        <f t="shared" si="14"/>
        <v>100</v>
      </c>
      <c r="X38" s="1805"/>
      <c r="Y38" s="3163" t="s">
        <v>2564</v>
      </c>
      <c r="Z38" s="1806" t="str">
        <f t="shared" si="15"/>
        <v>业态</v>
      </c>
      <c r="AA38" s="1803">
        <f t="shared" si="3"/>
        <v>1</v>
      </c>
      <c r="AB38" s="1803">
        <f t="shared" si="4"/>
        <v>1</v>
      </c>
      <c r="AC38" s="1803">
        <f t="shared" si="5"/>
        <v>1</v>
      </c>
    </row>
    <row r="39" spans="1:29" ht="15">
      <c r="A39" s="472"/>
      <c r="B39" s="422" t="s">
        <v>2664</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161"/>
      <c r="Q39" s="1802" t="str">
        <f t="shared" si="11"/>
        <v>层高</v>
      </c>
      <c r="R39" s="774" t="s">
        <v>17</v>
      </c>
      <c r="S39" s="775">
        <f t="shared" si="12"/>
        <v>100</v>
      </c>
      <c r="T39" s="774" t="s">
        <v>17</v>
      </c>
      <c r="U39" s="775">
        <f t="shared" si="13"/>
        <v>100</v>
      </c>
      <c r="V39" s="774" t="s">
        <v>17</v>
      </c>
      <c r="W39" s="775">
        <f t="shared" si="14"/>
        <v>100</v>
      </c>
      <c r="X39" s="1805"/>
      <c r="Y39" s="3163"/>
      <c r="Z39" s="1806" t="str">
        <f t="shared" si="15"/>
        <v>层高</v>
      </c>
      <c r="AA39" s="1803">
        <f t="shared" si="3"/>
        <v>1</v>
      </c>
      <c r="AB39" s="1803">
        <f t="shared" si="4"/>
        <v>1</v>
      </c>
      <c r="AC39" s="180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61"/>
      <c r="Q40" s="1802" t="str">
        <f t="shared" si="11"/>
        <v>单套建筑面积</v>
      </c>
      <c r="R40" s="774" t="s">
        <v>17</v>
      </c>
      <c r="S40" s="775">
        <f t="shared" si="12"/>
        <v>100</v>
      </c>
      <c r="T40" s="774" t="s">
        <v>17</v>
      </c>
      <c r="U40" s="775">
        <f t="shared" si="13"/>
        <v>100</v>
      </c>
      <c r="V40" s="774" t="s">
        <v>17</v>
      </c>
      <c r="W40" s="775">
        <f t="shared" si="14"/>
        <v>100</v>
      </c>
      <c r="X40" s="1805"/>
      <c r="Y40" s="3163"/>
      <c r="Z40" s="1806" t="str">
        <f t="shared" si="15"/>
        <v>单套建筑面积</v>
      </c>
      <c r="AA40" s="1803">
        <f t="shared" si="3"/>
        <v>1</v>
      </c>
      <c r="AB40" s="1803">
        <f t="shared" si="4"/>
        <v>1</v>
      </c>
      <c r="AC40" s="1803">
        <f t="shared" si="5"/>
        <v>1</v>
      </c>
    </row>
    <row r="41" spans="1:29" s="471" customFormat="1" ht="15">
      <c r="A41" s="468"/>
      <c r="B41" s="180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61"/>
      <c r="Q41" s="776" t="str">
        <f t="shared" si="11"/>
        <v>进深比</v>
      </c>
      <c r="R41" s="777" t="s">
        <v>17</v>
      </c>
      <c r="S41" s="778">
        <f t="shared" si="12"/>
        <v>100</v>
      </c>
      <c r="T41" s="777" t="s">
        <v>17</v>
      </c>
      <c r="U41" s="778">
        <f t="shared" si="13"/>
        <v>100</v>
      </c>
      <c r="V41" s="777" t="s">
        <v>17</v>
      </c>
      <c r="W41" s="778">
        <f t="shared" si="14"/>
        <v>100</v>
      </c>
      <c r="X41" s="779"/>
      <c r="Y41" s="3163"/>
      <c r="Z41" s="780" t="str">
        <f t="shared" si="15"/>
        <v>进深比</v>
      </c>
      <c r="AA41" s="1803">
        <f t="shared" si="3"/>
        <v>1</v>
      </c>
      <c r="AB41" s="1803">
        <f t="shared" si="4"/>
        <v>1</v>
      </c>
      <c r="AC41" s="1803">
        <f t="shared" si="5"/>
        <v>1</v>
      </c>
    </row>
    <row r="42" spans="1:29" ht="15">
      <c r="A42" s="472"/>
      <c r="B42" s="422" t="s">
        <v>2667</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161"/>
      <c r="Q42" s="1802" t="str">
        <f t="shared" si="11"/>
        <v>内部装修</v>
      </c>
      <c r="R42" s="774" t="s">
        <v>17</v>
      </c>
      <c r="S42" s="775">
        <f t="shared" si="12"/>
        <v>100</v>
      </c>
      <c r="T42" s="774" t="s">
        <v>17</v>
      </c>
      <c r="U42" s="775">
        <f t="shared" si="13"/>
        <v>100</v>
      </c>
      <c r="V42" s="774" t="s">
        <v>17</v>
      </c>
      <c r="W42" s="775">
        <f t="shared" si="14"/>
        <v>100</v>
      </c>
      <c r="X42" s="1805"/>
      <c r="Y42" s="3163"/>
      <c r="Z42" s="1806" t="str">
        <f t="shared" si="15"/>
        <v>内部装修</v>
      </c>
      <c r="AA42" s="1803">
        <f t="shared" si="3"/>
        <v>1</v>
      </c>
      <c r="AB42" s="1803">
        <f t="shared" si="4"/>
        <v>1</v>
      </c>
      <c r="AC42" s="1803">
        <f t="shared" si="5"/>
        <v>1</v>
      </c>
    </row>
    <row r="43" spans="1:29" ht="15">
      <c r="A43" s="472"/>
      <c r="B43" s="422" t="s">
        <v>2575</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161"/>
      <c r="Q43" s="1802" t="str">
        <f t="shared" si="11"/>
        <v>内部装修维护情况</v>
      </c>
      <c r="R43" s="774" t="s">
        <v>17</v>
      </c>
      <c r="S43" s="775">
        <f t="shared" si="12"/>
        <v>100</v>
      </c>
      <c r="T43" s="774" t="s">
        <v>17</v>
      </c>
      <c r="U43" s="775">
        <f t="shared" si="13"/>
        <v>100</v>
      </c>
      <c r="V43" s="774" t="s">
        <v>17</v>
      </c>
      <c r="W43" s="775">
        <f t="shared" si="14"/>
        <v>100</v>
      </c>
      <c r="X43" s="1805"/>
      <c r="Y43" s="3163"/>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61"/>
      <c r="Q44" s="1787">
        <f t="shared" si="11"/>
        <v>111</v>
      </c>
      <c r="R44" s="770" t="s">
        <v>17</v>
      </c>
      <c r="S44" s="771">
        <f t="shared" si="12"/>
        <v>100</v>
      </c>
      <c r="T44" s="770" t="s">
        <v>17</v>
      </c>
      <c r="U44" s="771">
        <f t="shared" si="13"/>
        <v>100</v>
      </c>
      <c r="V44" s="770" t="s">
        <v>17</v>
      </c>
      <c r="W44" s="771">
        <f t="shared" si="14"/>
        <v>100</v>
      </c>
      <c r="X44" s="772"/>
      <c r="Y44" s="316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61"/>
      <c r="Q45" s="1802">
        <f t="shared" si="11"/>
        <v>111</v>
      </c>
      <c r="R45" s="774" t="s">
        <v>17</v>
      </c>
      <c r="S45" s="775">
        <f t="shared" si="12"/>
        <v>100</v>
      </c>
      <c r="T45" s="774" t="s">
        <v>17</v>
      </c>
      <c r="U45" s="775">
        <f t="shared" si="13"/>
        <v>100</v>
      </c>
      <c r="V45" s="774" t="s">
        <v>17</v>
      </c>
      <c r="W45" s="775">
        <f t="shared" si="14"/>
        <v>100</v>
      </c>
      <c r="X45" s="1805"/>
      <c r="Y45" s="3163"/>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62"/>
      <c r="Q46" s="1802">
        <f t="shared" si="11"/>
        <v>111</v>
      </c>
      <c r="R46" s="774" t="s">
        <v>17</v>
      </c>
      <c r="S46" s="775">
        <f t="shared" si="12"/>
        <v>100</v>
      </c>
      <c r="T46" s="774" t="s">
        <v>17</v>
      </c>
      <c r="U46" s="775">
        <f t="shared" si="13"/>
        <v>100</v>
      </c>
      <c r="V46" s="774" t="s">
        <v>17</v>
      </c>
      <c r="W46" s="775">
        <f t="shared" si="14"/>
        <v>100</v>
      </c>
      <c r="X46" s="1805"/>
      <c r="Y46" s="3164"/>
      <c r="Z46" s="1806">
        <f t="shared" si="15"/>
        <v>111</v>
      </c>
      <c r="AA46" s="1803">
        <f t="shared" si="3"/>
        <v>1</v>
      </c>
      <c r="AB46" s="1803">
        <f t="shared" si="4"/>
        <v>1</v>
      </c>
      <c r="AC46" s="1803">
        <f t="shared" si="5"/>
        <v>1</v>
      </c>
    </row>
    <row r="47" spans="1:29" ht="15">
      <c r="A47" s="479" t="s">
        <v>2576</v>
      </c>
      <c r="B47" s="480"/>
      <c r="C47" s="1407" t="s">
        <v>1</v>
      </c>
      <c r="D47" s="1408"/>
      <c r="E47" s="1409"/>
      <c r="F47" s="1410"/>
      <c r="G47" s="1411"/>
      <c r="H47" s="1412"/>
      <c r="I47" s="1409"/>
      <c r="J47" s="1412"/>
      <c r="K47" s="783"/>
      <c r="L47" s="1143"/>
      <c r="M47" s="1144"/>
      <c r="N47" s="1131"/>
      <c r="O47" s="1144"/>
      <c r="P47" s="3156" t="str">
        <f>A47</f>
        <v>成交单价（元/平方米）</v>
      </c>
      <c r="Q47" s="3156"/>
      <c r="R47" s="3187">
        <f>E47</f>
        <v>0</v>
      </c>
      <c r="S47" s="3187"/>
      <c r="T47" s="3187">
        <f>G47</f>
        <v>0</v>
      </c>
      <c r="U47" s="3187"/>
      <c r="V47" s="3187">
        <f>I47</f>
        <v>0</v>
      </c>
      <c r="W47" s="3187"/>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56" t="str">
        <f>A48</f>
        <v>比较价值（元/平方米）</v>
      </c>
      <c r="Q48" s="3156"/>
      <c r="R48" s="3157" t="e">
        <f>IF(F1="售价",ROUND(PRODUCT(R47,AA7:AA46),0),ROUND(PRODUCT(R47,AA7:AA46),1))</f>
        <v>#DIV/0!</v>
      </c>
      <c r="S48" s="3157"/>
      <c r="T48" s="3157" t="e">
        <f>IF(F1="售价",ROUND(PRODUCT(T47,AB7:AB46),0),ROUND(PRODUCT(T47,AB7:AB46),1))</f>
        <v>#DIV/0!</v>
      </c>
      <c r="U48" s="3157"/>
      <c r="V48" s="3157" t="e">
        <f>IF(F1="售价",ROUND(PRODUCT(V47,AC7:AC46),0),ROUND(PRODUCT(V47,AC7:AC46),1))</f>
        <v>#DIV/0!</v>
      </c>
      <c r="W48" s="3157"/>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53" t="str">
        <f>A49</f>
        <v>估价对象XX用房的比较价值（楼面单价，元/平方米）</v>
      </c>
      <c r="Q49" s="3154"/>
      <c r="R49" s="3155" t="e">
        <f>IF(F1="售价",ROUND(AVERAGE(R48:V48),0),ROUND(AVERAGE(R48:V48),1))</f>
        <v>#DIV/0!</v>
      </c>
      <c r="S49" s="3155"/>
      <c r="T49" s="3155"/>
      <c r="U49" s="3155"/>
      <c r="V49" s="3155"/>
      <c r="W49" s="31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59"/>
      <c r="Q57" s="2660"/>
      <c r="R57" s="759"/>
      <c r="S57" s="759"/>
      <c r="T57" s="759"/>
      <c r="U57" s="759"/>
      <c r="V57" s="759"/>
      <c r="W57" s="759"/>
      <c r="X57" s="759"/>
      <c r="Y57" s="759"/>
      <c r="Z57" s="759"/>
      <c r="AA57" s="759"/>
      <c r="AB57" s="759"/>
      <c r="AC57" s="759"/>
    </row>
    <row r="58" spans="1:29" s="508" customFormat="1" ht="15">
      <c r="A58" s="505" t="s">
        <v>2547</v>
      </c>
      <c r="B58" s="506"/>
      <c r="C58" s="1574" t="str">
        <f>YEAR(C7)&amp;"-"&amp;MONTH(C7)</f>
        <v>2020-7</v>
      </c>
      <c r="D58" s="1575">
        <f>EDATE(C58,-1)</f>
        <v>43983</v>
      </c>
      <c r="E58" s="1575">
        <f t="shared" ref="E58:N58" si="16">EDATE(D58,-1)</f>
        <v>43952</v>
      </c>
      <c r="F58" s="1575">
        <f t="shared" si="16"/>
        <v>43922</v>
      </c>
      <c r="G58" s="1575">
        <f t="shared" si="16"/>
        <v>43891</v>
      </c>
      <c r="H58" s="1575">
        <f t="shared" si="16"/>
        <v>43862</v>
      </c>
      <c r="I58" s="1575">
        <f t="shared" si="16"/>
        <v>43831</v>
      </c>
      <c r="J58" s="1575">
        <f t="shared" si="16"/>
        <v>43800</v>
      </c>
      <c r="K58" s="1575">
        <f t="shared" si="16"/>
        <v>43770</v>
      </c>
      <c r="L58" s="1575">
        <f t="shared" si="16"/>
        <v>43739</v>
      </c>
      <c r="M58" s="1575">
        <f t="shared" si="16"/>
        <v>43709</v>
      </c>
      <c r="N58" s="1575">
        <f t="shared" si="16"/>
        <v>43678</v>
      </c>
      <c r="O58" s="1575">
        <f>EDATE(N58,-1)</f>
        <v>43647</v>
      </c>
      <c r="P58" s="1570"/>
    </row>
    <row r="59" spans="1:29" s="117" customFormat="1" ht="15">
      <c r="A59" s="509"/>
      <c r="B59" s="510"/>
      <c r="C59" s="1573">
        <v>100</v>
      </c>
      <c r="D59" s="512"/>
      <c r="E59" s="512"/>
      <c r="F59" s="512"/>
      <c r="G59" s="512"/>
      <c r="H59" s="512"/>
      <c r="I59" s="512"/>
      <c r="J59" s="512"/>
      <c r="K59" s="512"/>
      <c r="L59" s="512"/>
      <c r="M59" s="513"/>
      <c r="N59" s="512"/>
      <c r="O59" s="513"/>
      <c r="P59" s="2620"/>
    </row>
    <row r="60" spans="1:29" s="117" customFormat="1" ht="15.75" thickBot="1">
      <c r="A60" s="515" t="s">
        <v>2584</v>
      </c>
      <c r="B60" s="516"/>
      <c r="C60" s="517"/>
      <c r="D60" s="518"/>
      <c r="E60" s="518"/>
      <c r="F60" s="518"/>
      <c r="G60" s="518"/>
      <c r="H60" s="518"/>
      <c r="I60" s="518"/>
      <c r="J60" s="518"/>
      <c r="K60" s="518"/>
      <c r="L60" s="518"/>
      <c r="M60" s="519"/>
      <c r="N60" s="518"/>
      <c r="O60" s="519"/>
      <c r="P60" s="2620"/>
      <c r="Q60" s="504"/>
    </row>
    <row r="61" spans="1:29" s="117" customFormat="1" ht="15">
      <c r="A61" s="521" t="s">
        <v>2549</v>
      </c>
      <c r="B61" s="510"/>
      <c r="C61" s="522" t="s">
        <v>2651</v>
      </c>
      <c r="D61" s="523"/>
      <c r="E61" s="523"/>
      <c r="F61" s="523"/>
      <c r="G61" s="523"/>
      <c r="H61" s="523"/>
      <c r="I61" s="523"/>
      <c r="J61" s="523"/>
      <c r="K61" s="523"/>
      <c r="L61" s="524"/>
      <c r="M61" s="525"/>
      <c r="N61" s="1151"/>
      <c r="O61" s="1151"/>
      <c r="P61" s="2621"/>
      <c r="Q61" s="504"/>
    </row>
    <row r="62" spans="1:29" s="117" customFormat="1" ht="15.75" thickBot="1">
      <c r="A62" s="521"/>
      <c r="B62" s="510"/>
      <c r="C62" s="511">
        <v>100</v>
      </c>
      <c r="D62" s="512"/>
      <c r="E62" s="512"/>
      <c r="F62" s="512"/>
      <c r="G62" s="512"/>
      <c r="H62" s="512"/>
      <c r="I62" s="512"/>
      <c r="J62" s="512"/>
      <c r="K62" s="512"/>
      <c r="L62" s="512"/>
      <c r="M62" s="514"/>
      <c r="N62" s="1151"/>
      <c r="O62" s="1151"/>
      <c r="P62" s="2620"/>
      <c r="Q62" s="504"/>
    </row>
    <row r="63" spans="1:29">
      <c r="A63" s="527" t="s">
        <v>2587</v>
      </c>
      <c r="B63" s="528" t="s">
        <v>2553</v>
      </c>
      <c r="C63" s="529">
        <f>C9</f>
        <v>0</v>
      </c>
      <c r="D63" s="530"/>
      <c r="E63" s="530"/>
      <c r="F63" s="530"/>
      <c r="G63" s="530"/>
      <c r="H63" s="530"/>
      <c r="I63" s="530"/>
      <c r="J63" s="530"/>
      <c r="K63" s="531"/>
      <c r="L63" s="532"/>
      <c r="M63" s="533"/>
      <c r="N63" s="1152"/>
      <c r="O63" s="1152"/>
      <c r="P63" s="2622"/>
      <c r="Q63" s="504"/>
    </row>
    <row r="64" spans="1:29" ht="15.75" thickBot="1">
      <c r="A64" s="534"/>
      <c r="B64" s="535"/>
      <c r="C64" s="536">
        <v>100</v>
      </c>
      <c r="D64" s="536"/>
      <c r="E64" s="536"/>
      <c r="F64" s="536"/>
      <c r="G64" s="536"/>
      <c r="H64" s="536"/>
      <c r="I64" s="536"/>
      <c r="J64" s="536"/>
      <c r="K64" s="536"/>
      <c r="L64" s="536"/>
      <c r="M64" s="537"/>
      <c r="N64" s="1153"/>
      <c r="O64" s="1153"/>
      <c r="P64" s="262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2"/>
      <c r="Q67" s="504"/>
    </row>
    <row r="68" spans="1:17" ht="15">
      <c r="A68" s="534"/>
      <c r="B68" s="548"/>
      <c r="C68" s="549"/>
      <c r="D68" s="549"/>
      <c r="E68" s="549"/>
      <c r="F68" s="549"/>
      <c r="G68" s="549"/>
      <c r="H68" s="549"/>
      <c r="I68" s="549"/>
      <c r="J68" s="549"/>
      <c r="K68" s="550"/>
      <c r="L68" s="551"/>
      <c r="M68" s="552"/>
      <c r="N68" s="1152"/>
      <c r="O68" s="1152"/>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2"/>
      <c r="Q69" s="504"/>
    </row>
    <row r="70" spans="1:17" s="471" customFormat="1" ht="15.75" thickTop="1">
      <c r="A70" s="553"/>
      <c r="B70" s="538">
        <f>B12</f>
        <v>111</v>
      </c>
      <c r="C70" s="554"/>
      <c r="D70" s="554"/>
      <c r="E70" s="554"/>
      <c r="F70" s="554"/>
      <c r="G70" s="554"/>
      <c r="H70" s="555"/>
      <c r="I70" s="555"/>
      <c r="J70" s="555"/>
      <c r="K70" s="555"/>
      <c r="L70" s="556"/>
      <c r="M70" s="557"/>
      <c r="N70" s="1154"/>
      <c r="O70" s="1154"/>
      <c r="P70" s="2623"/>
      <c r="Q70" s="559"/>
    </row>
    <row r="71" spans="1:17" s="471" customFormat="1" ht="15.75" thickBot="1">
      <c r="A71" s="553"/>
      <c r="B71" s="543"/>
      <c r="C71" s="560"/>
      <c r="D71" s="536"/>
      <c r="E71" s="536"/>
      <c r="F71" s="536"/>
      <c r="G71" s="536"/>
      <c r="H71" s="536"/>
      <c r="I71" s="536"/>
      <c r="J71" s="536"/>
      <c r="K71" s="536"/>
      <c r="L71" s="536"/>
      <c r="M71" s="537"/>
      <c r="N71" s="1153"/>
      <c r="O71" s="1153"/>
      <c r="P71" s="2623"/>
      <c r="Q71" s="559"/>
    </row>
    <row r="72" spans="1:17" s="471" customFormat="1" ht="15.75" thickTop="1">
      <c r="A72" s="553"/>
      <c r="B72" s="538">
        <f>B13</f>
        <v>111</v>
      </c>
      <c r="C72" s="554"/>
      <c r="D72" s="554"/>
      <c r="E72" s="554"/>
      <c r="F72" s="554"/>
      <c r="G72" s="554"/>
      <c r="H72" s="555"/>
      <c r="I72" s="555"/>
      <c r="J72" s="555"/>
      <c r="K72" s="555"/>
      <c r="L72" s="556"/>
      <c r="M72" s="557"/>
      <c r="N72" s="1154"/>
      <c r="O72" s="1154"/>
      <c r="P72" s="2624"/>
      <c r="Q72" s="561"/>
    </row>
    <row r="73" spans="1:17" s="471" customFormat="1" ht="15.75" thickBot="1">
      <c r="A73" s="553"/>
      <c r="B73" s="543"/>
      <c r="C73" s="560"/>
      <c r="D73" s="536"/>
      <c r="E73" s="536"/>
      <c r="F73" s="536"/>
      <c r="G73" s="560"/>
      <c r="H73" s="562"/>
      <c r="I73" s="562"/>
      <c r="J73" s="562"/>
      <c r="K73" s="562"/>
      <c r="L73" s="562"/>
      <c r="M73" s="563"/>
      <c r="N73" s="1154"/>
      <c r="O73" s="1154"/>
      <c r="P73" s="2623"/>
      <c r="Q73" s="559"/>
    </row>
    <row r="74" spans="1:17" s="471" customFormat="1" ht="15.75" thickTop="1">
      <c r="A74" s="553"/>
      <c r="B74" s="546">
        <f>B14</f>
        <v>111</v>
      </c>
      <c r="C74" s="554"/>
      <c r="D74" s="554"/>
      <c r="E74" s="554"/>
      <c r="F74" s="554"/>
      <c r="G74" s="523"/>
      <c r="H74" s="564"/>
      <c r="I74" s="564"/>
      <c r="J74" s="564"/>
      <c r="K74" s="564"/>
      <c r="L74" s="565"/>
      <c r="M74" s="566"/>
      <c r="N74" s="1154"/>
      <c r="O74" s="1154"/>
      <c r="P74" s="2625"/>
      <c r="Q74" s="559"/>
    </row>
    <row r="75" spans="1:17" s="471" customFormat="1" ht="15.75" thickBot="1">
      <c r="A75" s="568"/>
      <c r="B75" s="569"/>
      <c r="C75" s="570"/>
      <c r="D75" s="570"/>
      <c r="E75" s="570"/>
      <c r="F75" s="570"/>
      <c r="G75" s="570"/>
      <c r="H75" s="571"/>
      <c r="I75" s="571"/>
      <c r="J75" s="571"/>
      <c r="K75" s="571"/>
      <c r="L75" s="571"/>
      <c r="M75" s="572"/>
      <c r="N75" s="1154"/>
      <c r="O75" s="1154"/>
      <c r="P75" s="262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2"/>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2"/>
      <c r="Q85" s="504"/>
    </row>
    <row r="86" spans="1:17" s="117" customFormat="1" ht="15.75" thickTop="1">
      <c r="A86" s="579"/>
      <c r="B86" s="538" t="s">
        <v>2679</v>
      </c>
      <c r="C86" s="554"/>
      <c r="D86" s="554"/>
      <c r="E86" s="554"/>
      <c r="F86" s="554"/>
      <c r="G86" s="554"/>
      <c r="H86" s="554"/>
      <c r="I86" s="554"/>
      <c r="J86" s="554"/>
      <c r="K86" s="554"/>
      <c r="L86" s="580"/>
      <c r="M86" s="581"/>
      <c r="N86" s="1151"/>
      <c r="O86" s="1151"/>
      <c r="P86" s="262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2"/>
      <c r="Q87" s="504"/>
    </row>
    <row r="88" spans="1:17" s="117" customFormat="1" ht="15.75" thickTop="1">
      <c r="A88" s="579"/>
      <c r="B88" s="538" t="str">
        <f>B26</f>
        <v>平面位置/可视性</v>
      </c>
      <c r="C88" s="554"/>
      <c r="D88" s="554"/>
      <c r="E88" s="554"/>
      <c r="F88" s="2627"/>
      <c r="G88" s="554"/>
      <c r="H88" s="554"/>
      <c r="I88" s="554"/>
      <c r="J88" s="554"/>
      <c r="K88" s="554"/>
      <c r="L88" s="554"/>
      <c r="M88" s="581"/>
      <c r="N88" s="1151"/>
      <c r="O88" s="1151"/>
      <c r="P88" s="2622"/>
      <c r="Q88" s="504"/>
    </row>
    <row r="89" spans="1:17" s="117" customFormat="1" ht="15.75" thickBot="1">
      <c r="A89" s="579"/>
      <c r="B89" s="543"/>
      <c r="C89" s="560"/>
      <c r="D89" s="536"/>
      <c r="E89" s="536"/>
      <c r="F89" s="536"/>
      <c r="G89" s="536"/>
      <c r="H89" s="536"/>
      <c r="I89" s="536"/>
      <c r="J89" s="536"/>
      <c r="K89" s="536"/>
      <c r="L89" s="536"/>
      <c r="M89" s="536"/>
      <c r="N89" s="1153"/>
      <c r="O89" s="1153"/>
      <c r="P89" s="262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3"/>
      <c r="Q91" s="559"/>
    </row>
    <row r="92" spans="1:17" ht="15.75" thickTop="1">
      <c r="A92" s="534"/>
      <c r="B92" s="538" t="str">
        <f>B28</f>
        <v>楼层</v>
      </c>
      <c r="C92" s="554"/>
      <c r="D92" s="554"/>
      <c r="E92" s="554"/>
      <c r="F92" s="554"/>
      <c r="G92" s="554"/>
      <c r="H92" s="554"/>
      <c r="I92" s="554"/>
      <c r="J92" s="554"/>
      <c r="K92" s="554"/>
      <c r="L92" s="580"/>
      <c r="M92" s="581"/>
      <c r="N92" s="1152"/>
      <c r="O92" s="1152"/>
      <c r="P92" s="2622"/>
      <c r="Q92" s="504"/>
    </row>
    <row r="93" spans="1:17" ht="15.75" thickBot="1">
      <c r="A93" s="534"/>
      <c r="B93" s="543"/>
      <c r="C93" s="536"/>
      <c r="D93" s="536"/>
      <c r="E93" s="536"/>
      <c r="F93" s="536"/>
      <c r="G93" s="536"/>
      <c r="H93" s="536"/>
      <c r="I93" s="536"/>
      <c r="J93" s="536"/>
      <c r="K93" s="536"/>
      <c r="L93" s="536"/>
      <c r="M93" s="537"/>
      <c r="N93" s="1153"/>
      <c r="O93" s="1153"/>
      <c r="P93" s="2622"/>
      <c r="Q93" s="504"/>
    </row>
    <row r="94" spans="1:17" ht="15.75" thickTop="1">
      <c r="A94" s="534"/>
      <c r="B94" s="538">
        <f>B29</f>
        <v>111</v>
      </c>
      <c r="C94" s="554"/>
      <c r="D94" s="554"/>
      <c r="E94" s="554"/>
      <c r="F94" s="554"/>
      <c r="G94" s="583"/>
      <c r="H94" s="583"/>
      <c r="I94" s="583"/>
      <c r="J94" s="583"/>
      <c r="K94" s="584"/>
      <c r="L94" s="585"/>
      <c r="M94" s="586"/>
      <c r="N94" s="1152"/>
      <c r="O94" s="1152"/>
      <c r="P94" s="2622"/>
      <c r="Q94" s="504"/>
    </row>
    <row r="95" spans="1:17" ht="15.75" thickBot="1">
      <c r="A95" s="534"/>
      <c r="B95" s="543"/>
      <c r="C95" s="560"/>
      <c r="D95" s="536"/>
      <c r="E95" s="536"/>
      <c r="F95" s="536"/>
      <c r="G95" s="536"/>
      <c r="H95" s="536"/>
      <c r="I95" s="536"/>
      <c r="J95" s="536"/>
      <c r="K95" s="536"/>
      <c r="L95" s="536"/>
      <c r="M95" s="537"/>
      <c r="N95" s="1153"/>
      <c r="O95" s="1153"/>
      <c r="P95" s="2622"/>
      <c r="Q95" s="504"/>
    </row>
    <row r="96" spans="1:17" ht="15.75" thickTop="1">
      <c r="A96" s="534"/>
      <c r="B96" s="538">
        <f>B30</f>
        <v>111</v>
      </c>
      <c r="C96" s="554"/>
      <c r="D96" s="554"/>
      <c r="E96" s="554"/>
      <c r="F96" s="554"/>
      <c r="G96" s="583"/>
      <c r="H96" s="583"/>
      <c r="I96" s="583"/>
      <c r="J96" s="583"/>
      <c r="K96" s="584"/>
      <c r="L96" s="585"/>
      <c r="M96" s="586"/>
      <c r="N96" s="1152"/>
      <c r="O96" s="1152"/>
      <c r="P96" s="2622"/>
      <c r="Q96" s="504"/>
    </row>
    <row r="97" spans="1:17" ht="15.75" thickBot="1">
      <c r="A97" s="534"/>
      <c r="B97" s="543"/>
      <c r="C97" s="560"/>
      <c r="D97" s="536"/>
      <c r="E97" s="536"/>
      <c r="F97" s="536"/>
      <c r="G97" s="536"/>
      <c r="H97" s="536"/>
      <c r="I97" s="536"/>
      <c r="J97" s="536"/>
      <c r="K97" s="536"/>
      <c r="L97" s="536"/>
      <c r="M97" s="537"/>
      <c r="N97" s="1153"/>
      <c r="O97" s="1153"/>
      <c r="P97" s="2622"/>
      <c r="Q97" s="504"/>
    </row>
    <row r="98" spans="1:17" ht="15.75" thickTop="1">
      <c r="A98" s="534"/>
      <c r="B98" s="546">
        <f>B31</f>
        <v>111</v>
      </c>
      <c r="C98" s="554"/>
      <c r="D98" s="554"/>
      <c r="E98" s="554"/>
      <c r="F98" s="554"/>
      <c r="G98" s="587"/>
      <c r="H98" s="587"/>
      <c r="I98" s="587"/>
      <c r="J98" s="587"/>
      <c r="K98" s="588"/>
      <c r="L98" s="589"/>
      <c r="M98" s="590"/>
      <c r="N98" s="1152"/>
      <c r="O98" s="1152"/>
      <c r="P98" s="2622"/>
      <c r="Q98" s="504"/>
    </row>
    <row r="99" spans="1:17" ht="15.75" thickBot="1">
      <c r="A99" s="2628"/>
      <c r="B99" s="569"/>
      <c r="C99" s="570"/>
      <c r="D99" s="570"/>
      <c r="E99" s="570"/>
      <c r="F99" s="570"/>
      <c r="G99" s="591"/>
      <c r="H99" s="591"/>
      <c r="I99" s="591"/>
      <c r="J99" s="591"/>
      <c r="K99" s="591"/>
      <c r="L99" s="591"/>
      <c r="M99" s="592"/>
      <c r="N99" s="1153"/>
      <c r="O99" s="1153"/>
      <c r="P99" s="2622"/>
      <c r="Q99" s="504"/>
    </row>
    <row r="100" spans="1:17">
      <c r="A100" s="527" t="s">
        <v>2562</v>
      </c>
      <c r="B100" s="528" t="s">
        <v>2680</v>
      </c>
      <c r="C100" s="530"/>
      <c r="D100" s="530"/>
      <c r="E100" s="530"/>
      <c r="F100" s="530"/>
      <c r="G100" s="530"/>
      <c r="H100" s="530"/>
      <c r="I100" s="530"/>
      <c r="J100" s="530"/>
      <c r="K100" s="531"/>
      <c r="L100" s="532"/>
      <c r="M100" s="533"/>
      <c r="N100" s="1152"/>
      <c r="O100" s="1152"/>
      <c r="P100" s="262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2"/>
      <c r="Q102" s="504"/>
    </row>
    <row r="103" spans="1:17" s="471" customFormat="1">
      <c r="A103" s="593"/>
      <c r="B103" s="594"/>
      <c r="C103" s="595"/>
      <c r="D103" s="595"/>
      <c r="E103" s="595"/>
      <c r="F103" s="595"/>
      <c r="G103" s="595"/>
      <c r="H103" s="595"/>
      <c r="I103" s="595"/>
      <c r="J103" s="596"/>
      <c r="K103" s="596"/>
      <c r="L103" s="597"/>
      <c r="M103" s="598"/>
      <c r="N103" s="1154"/>
      <c r="O103" s="1154"/>
      <c r="P103" s="262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3"/>
      <c r="Q104" s="559"/>
    </row>
    <row r="105" spans="1:17" ht="15" thickTop="1">
      <c r="A105" s="599"/>
      <c r="B105" s="538" t="s">
        <v>2613</v>
      </c>
      <c r="C105" s="554"/>
      <c r="D105" s="554"/>
      <c r="E105" s="583"/>
      <c r="F105" s="583"/>
      <c r="G105" s="583"/>
      <c r="H105" s="583"/>
      <c r="I105" s="583"/>
      <c r="J105" s="583"/>
      <c r="K105" s="584"/>
      <c r="L105" s="585"/>
      <c r="M105" s="586"/>
      <c r="N105" s="1152"/>
      <c r="O105" s="1152"/>
      <c r="P105" s="262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2"/>
      <c r="Q106" s="504"/>
    </row>
    <row r="107" spans="1:17" ht="15" thickTop="1">
      <c r="A107" s="599"/>
      <c r="B107" s="538" t="s">
        <v>2615</v>
      </c>
      <c r="C107" s="554"/>
      <c r="D107" s="554"/>
      <c r="E107" s="554"/>
      <c r="F107" s="583"/>
      <c r="G107" s="583"/>
      <c r="H107" s="583"/>
      <c r="I107" s="583"/>
      <c r="J107" s="583"/>
      <c r="K107" s="584"/>
      <c r="L107" s="585"/>
      <c r="M107" s="586"/>
      <c r="N107" s="1152"/>
      <c r="O107" s="1152"/>
      <c r="P107" s="262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2"/>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3"/>
      <c r="Q113" s="559"/>
    </row>
    <row r="114" spans="1:17" ht="15" thickTop="1">
      <c r="A114" s="599"/>
      <c r="B114" s="538" t="s">
        <v>2681</v>
      </c>
      <c r="C114" s="554"/>
      <c r="D114" s="554"/>
      <c r="E114" s="583"/>
      <c r="F114" s="583"/>
      <c r="G114" s="583"/>
      <c r="H114" s="583"/>
      <c r="I114" s="583"/>
      <c r="J114" s="583"/>
      <c r="K114" s="584"/>
      <c r="L114" s="585"/>
      <c r="M114" s="586"/>
      <c r="N114" s="1152"/>
      <c r="O114" s="1152"/>
      <c r="P114" s="262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2"/>
      <c r="Q115" s="504"/>
    </row>
    <row r="116" spans="1:17" ht="15" thickTop="1">
      <c r="A116" s="599"/>
      <c r="B116" s="538" t="s">
        <v>2682</v>
      </c>
      <c r="C116" s="554"/>
      <c r="D116" s="554"/>
      <c r="E116" s="554"/>
      <c r="F116" s="554"/>
      <c r="G116" s="554"/>
      <c r="H116" s="583"/>
      <c r="I116" s="583"/>
      <c r="J116" s="583"/>
      <c r="K116" s="584"/>
      <c r="L116" s="585"/>
      <c r="M116" s="586"/>
      <c r="N116" s="1152"/>
      <c r="O116" s="1152"/>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2"/>
      <c r="Q117" s="504"/>
    </row>
    <row r="118" spans="1:17" ht="15" thickTop="1">
      <c r="A118" s="599"/>
      <c r="B118" s="538" t="s">
        <v>2683</v>
      </c>
      <c r="C118" s="627"/>
      <c r="D118" s="627"/>
      <c r="E118" s="627"/>
      <c r="F118" s="627"/>
      <c r="G118" s="627"/>
      <c r="H118" s="555"/>
      <c r="I118" s="555"/>
      <c r="J118" s="555"/>
      <c r="K118" s="555"/>
      <c r="L118" s="556"/>
      <c r="M118" s="557"/>
      <c r="N118" s="1152"/>
      <c r="O118" s="1152"/>
      <c r="P118" s="2622"/>
      <c r="Q118" s="504"/>
    </row>
    <row r="119" spans="1:17" ht="15.75" thickBot="1">
      <c r="A119" s="534"/>
      <c r="B119" s="543"/>
      <c r="C119" s="560"/>
      <c r="D119" s="536"/>
      <c r="E119" s="536"/>
      <c r="F119" s="536"/>
      <c r="G119" s="536"/>
      <c r="H119" s="536"/>
      <c r="I119" s="536"/>
      <c r="J119" s="536"/>
      <c r="K119" s="536"/>
      <c r="L119" s="536"/>
      <c r="M119" s="537"/>
      <c r="N119" s="1153"/>
      <c r="O119" s="1153"/>
      <c r="P119" s="2622"/>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3"/>
      <c r="Q121" s="559"/>
    </row>
    <row r="122" spans="1:17" ht="15" thickTop="1">
      <c r="A122" s="599"/>
      <c r="B122" s="538" t="s">
        <v>2619</v>
      </c>
      <c r="C122" s="554"/>
      <c r="D122" s="554"/>
      <c r="E122" s="554"/>
      <c r="F122" s="583"/>
      <c r="G122" s="583"/>
      <c r="H122" s="583"/>
      <c r="I122" s="583"/>
      <c r="J122" s="583"/>
      <c r="K122" s="584"/>
      <c r="L122" s="585"/>
      <c r="M122" s="586"/>
      <c r="N122" s="1152"/>
      <c r="O122" s="1152"/>
      <c r="P122" s="262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3"/>
      <c r="Q127" s="559"/>
    </row>
    <row r="128" spans="1:17" ht="15" thickTop="1">
      <c r="A128" s="599"/>
      <c r="B128" s="538">
        <f>B45</f>
        <v>111</v>
      </c>
      <c r="C128" s="554"/>
      <c r="D128" s="554"/>
      <c r="E128" s="554"/>
      <c r="F128" s="554"/>
      <c r="G128" s="583"/>
      <c r="H128" s="583"/>
      <c r="I128" s="583"/>
      <c r="J128" s="583"/>
      <c r="K128" s="584"/>
      <c r="L128" s="585"/>
      <c r="M128" s="586"/>
      <c r="N128" s="1152"/>
      <c r="O128" s="1152"/>
      <c r="P128" s="2622"/>
      <c r="Q128" s="504"/>
    </row>
    <row r="129" spans="1:17" ht="15.75" thickBot="1">
      <c r="A129" s="534"/>
      <c r="B129" s="543"/>
      <c r="C129" s="560"/>
      <c r="D129" s="536"/>
      <c r="E129" s="536"/>
      <c r="F129" s="536"/>
      <c r="G129" s="536"/>
      <c r="H129" s="536"/>
      <c r="I129" s="536"/>
      <c r="J129" s="536"/>
      <c r="K129" s="536"/>
      <c r="L129" s="536"/>
      <c r="M129" s="537"/>
      <c r="N129" s="1153"/>
      <c r="O129" s="1153"/>
      <c r="P129" s="2622"/>
      <c r="Q129" s="504"/>
    </row>
    <row r="130" spans="1:17" ht="15" thickTop="1">
      <c r="A130" s="599"/>
      <c r="B130" s="546">
        <f>B46</f>
        <v>111</v>
      </c>
      <c r="C130" s="554"/>
      <c r="D130" s="554"/>
      <c r="E130" s="554"/>
      <c r="F130" s="554"/>
      <c r="G130" s="587"/>
      <c r="H130" s="587"/>
      <c r="I130" s="587"/>
      <c r="J130" s="587"/>
      <c r="K130" s="523"/>
      <c r="L130" s="524"/>
      <c r="M130" s="590"/>
      <c r="N130" s="1152"/>
      <c r="O130" s="1152"/>
      <c r="P130" s="2622"/>
      <c r="Q130" s="504"/>
    </row>
    <row r="131" spans="1:17" ht="15.75" thickBot="1">
      <c r="A131" s="2628"/>
      <c r="B131" s="569"/>
      <c r="C131" s="570"/>
      <c r="D131" s="570"/>
      <c r="E131" s="570"/>
      <c r="F131" s="570"/>
      <c r="G131" s="591"/>
      <c r="H131" s="591"/>
      <c r="I131" s="591"/>
      <c r="J131" s="591"/>
      <c r="K131" s="591"/>
      <c r="L131" s="591"/>
      <c r="M131" s="592"/>
      <c r="N131" s="1153"/>
      <c r="O131" s="1153"/>
      <c r="P131" s="262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1" t="s">
        <v>2685</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232.53</v>
      </c>
      <c r="E3" s="265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71" t="s">
        <v>2645</v>
      </c>
      <c r="D4" s="3172"/>
      <c r="E4" s="3173" t="s">
        <v>2646</v>
      </c>
      <c r="F4" s="3174"/>
      <c r="G4" s="3171" t="s">
        <v>2647</v>
      </c>
      <c r="H4" s="3172"/>
      <c r="I4" s="3171" t="s">
        <v>2648</v>
      </c>
      <c r="J4" s="3172"/>
      <c r="K4" s="610" t="s">
        <v>2649</v>
      </c>
      <c r="L4" s="1130"/>
      <c r="M4" s="1131"/>
      <c r="N4" s="1131"/>
      <c r="O4" s="1131"/>
      <c r="P4" s="3235" t="s">
        <v>2650</v>
      </c>
      <c r="Q4" s="3236"/>
      <c r="R4" s="3239" t="s">
        <v>2646</v>
      </c>
      <c r="S4" s="3240"/>
      <c r="T4" s="3239" t="s">
        <v>2647</v>
      </c>
      <c r="U4" s="3240"/>
      <c r="V4" s="3241" t="s">
        <v>2648</v>
      </c>
      <c r="W4" s="3241"/>
      <c r="X4" s="2662"/>
      <c r="Y4" s="3239" t="s">
        <v>2650</v>
      </c>
      <c r="Z4" s="3240"/>
      <c r="AA4" s="3243" t="s">
        <v>2646</v>
      </c>
      <c r="AB4" s="3243" t="s">
        <v>2647</v>
      </c>
      <c r="AC4" s="3232" t="s">
        <v>2648</v>
      </c>
    </row>
    <row r="5" spans="1:29" ht="15">
      <c r="A5" s="404"/>
      <c r="B5" s="405"/>
      <c r="C5" s="3190" t="s">
        <v>2541</v>
      </c>
      <c r="D5" s="3191"/>
      <c r="E5" s="3197" t="s">
        <v>2542</v>
      </c>
      <c r="F5" s="3198"/>
      <c r="G5" s="3190" t="s">
        <v>2543</v>
      </c>
      <c r="H5" s="3191"/>
      <c r="I5" s="3190" t="s">
        <v>2544</v>
      </c>
      <c r="J5" s="3191"/>
      <c r="K5" s="610"/>
      <c r="L5" s="1130"/>
      <c r="M5" s="1131"/>
      <c r="N5" s="1131"/>
      <c r="O5" s="1131"/>
      <c r="P5" s="3237"/>
      <c r="Q5" s="3178"/>
      <c r="R5" s="3183"/>
      <c r="S5" s="3184"/>
      <c r="T5" s="3183"/>
      <c r="U5" s="3184"/>
      <c r="V5" s="3187"/>
      <c r="W5" s="3187"/>
      <c r="X5" s="1805"/>
      <c r="Y5" s="3183"/>
      <c r="Z5" s="3184"/>
      <c r="AA5" s="3169"/>
      <c r="AB5" s="3169"/>
      <c r="AC5" s="3233"/>
    </row>
    <row r="6" spans="1:29" ht="15.75" thickBot="1">
      <c r="A6" s="406"/>
      <c r="B6" s="407"/>
      <c r="C6" s="3188" t="s">
        <v>2545</v>
      </c>
      <c r="D6" s="3189"/>
      <c r="E6" s="3195" t="s">
        <v>2545</v>
      </c>
      <c r="F6" s="3196"/>
      <c r="G6" s="3188" t="s">
        <v>2545</v>
      </c>
      <c r="H6" s="3189"/>
      <c r="I6" s="3188" t="s">
        <v>2545</v>
      </c>
      <c r="J6" s="3189"/>
      <c r="K6" s="610" t="s">
        <v>2546</v>
      </c>
      <c r="L6" s="1130"/>
      <c r="M6" s="1131"/>
      <c r="N6" s="1131"/>
      <c r="O6" s="1131"/>
      <c r="P6" s="3238"/>
      <c r="Q6" s="3180"/>
      <c r="R6" s="3183"/>
      <c r="S6" s="3184"/>
      <c r="T6" s="3185"/>
      <c r="U6" s="3186"/>
      <c r="V6" s="3187"/>
      <c r="W6" s="3187"/>
      <c r="X6" s="1805"/>
      <c r="Y6" s="3185"/>
      <c r="Z6" s="3186"/>
      <c r="AA6" s="3170"/>
      <c r="AB6" s="3170"/>
      <c r="AC6" s="3234"/>
    </row>
    <row r="7" spans="1:29" s="117" customFormat="1" ht="15.75" thickBot="1">
      <c r="A7" s="408" t="s">
        <v>2547</v>
      </c>
      <c r="B7" s="409"/>
      <c r="C7" s="410">
        <f>'数据-取费表'!B2</f>
        <v>44032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2" t="s">
        <v>2548</v>
      </c>
      <c r="Q7" s="3194"/>
      <c r="R7" s="770" t="s">
        <v>17</v>
      </c>
      <c r="S7" s="771">
        <f t="shared" ref="S7:S15" si="0">F7</f>
        <v>0</v>
      </c>
      <c r="T7" s="770" t="s">
        <v>17</v>
      </c>
      <c r="U7" s="771">
        <f t="shared" ref="U7:U15" si="1">H7</f>
        <v>0</v>
      </c>
      <c r="V7" s="770" t="s">
        <v>17</v>
      </c>
      <c r="W7" s="771">
        <f t="shared" ref="W7:W15" si="2">J7</f>
        <v>0</v>
      </c>
      <c r="X7" s="772"/>
      <c r="Y7" s="3192" t="s">
        <v>2548</v>
      </c>
      <c r="Z7" s="3193"/>
      <c r="AA7" s="773" t="e">
        <f>D7/F7</f>
        <v>#DIV/0!</v>
      </c>
      <c r="AB7" s="773" t="e">
        <f>D7/H7</f>
        <v>#DIV/0!</v>
      </c>
      <c r="AC7" s="266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2" t="s">
        <v>2551</v>
      </c>
      <c r="Q8" s="3193"/>
      <c r="R8" s="770" t="s">
        <v>17</v>
      </c>
      <c r="S8" s="771">
        <f t="shared" si="0"/>
        <v>0</v>
      </c>
      <c r="T8" s="770" t="s">
        <v>17</v>
      </c>
      <c r="U8" s="771">
        <f t="shared" si="1"/>
        <v>0</v>
      </c>
      <c r="V8" s="770" t="s">
        <v>17</v>
      </c>
      <c r="W8" s="771">
        <f t="shared" si="2"/>
        <v>0</v>
      </c>
      <c r="X8" s="772"/>
      <c r="Y8" s="3192" t="s">
        <v>2551</v>
      </c>
      <c r="Z8" s="3193"/>
      <c r="AA8" s="773" t="e">
        <f t="shared" ref="AA8:AA47" si="3">D8/F8</f>
        <v>#DIV/0!</v>
      </c>
      <c r="AB8" s="773" t="e">
        <f t="shared" ref="AB8:AB47" si="4">D8/H8</f>
        <v>#DIV/0!</v>
      </c>
      <c r="AC8" s="266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67" t="s">
        <v>2554</v>
      </c>
      <c r="Q9" s="1787"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266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67"/>
      <c r="Q10" s="178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6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67"/>
      <c r="Q11" s="178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63" t="e">
        <f t="shared" si="5"/>
        <v>#N/A</v>
      </c>
    </row>
    <row r="12" spans="1:29" s="117" customFormat="1" ht="15">
      <c r="A12" s="431"/>
      <c r="B12" s="2594">
        <v>111</v>
      </c>
      <c r="C12" s="432"/>
      <c r="D12" s="433">
        <v>100</v>
      </c>
      <c r="E12" s="432"/>
      <c r="F12" s="136">
        <f>SUMIF(71:71,E12,72:72)-SUMIF(71:71,C12,72:72)+100</f>
        <v>100</v>
      </c>
      <c r="G12" s="2664"/>
      <c r="H12" s="136">
        <f>SUMIF(71:71,G12,72:72)-SUMIF(71:71,C12,72:72)+100</f>
        <v>100</v>
      </c>
      <c r="I12" s="432"/>
      <c r="J12" s="136">
        <f>SUMIF(71:71,I12,72:72)-SUMIF(71:71,C12,72:72)+100</f>
        <v>100</v>
      </c>
      <c r="K12" s="613"/>
      <c r="L12" s="1132"/>
      <c r="M12" s="1133"/>
      <c r="N12" s="1133"/>
      <c r="O12" s="1133"/>
      <c r="P12" s="3167"/>
      <c r="Q12" s="178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63">
        <f>D12/J12</f>
        <v>1</v>
      </c>
    </row>
    <row r="13" spans="1:29" ht="15">
      <c r="A13" s="428"/>
      <c r="B13" s="2594">
        <v>111</v>
      </c>
      <c r="C13" s="434"/>
      <c r="D13" s="435">
        <v>100</v>
      </c>
      <c r="E13" s="432"/>
      <c r="F13" s="136">
        <f>SUMIF(73:73,E13,74:74)-SUMIF(73:73,C13,74:74)+100</f>
        <v>100</v>
      </c>
      <c r="G13" s="2664"/>
      <c r="H13" s="435">
        <f>SUMIF(73:73,G13,74:74)-SUMIF(73:73,C13,74:74)+100</f>
        <v>100</v>
      </c>
      <c r="I13" s="432"/>
      <c r="J13" s="435">
        <f>SUMIF(73:73,I13,74:74)-SUMIF(73:73,C13,74:74)+100</f>
        <v>100</v>
      </c>
      <c r="K13" s="613"/>
      <c r="L13" s="1140"/>
      <c r="M13" s="1131"/>
      <c r="N13" s="1131"/>
      <c r="O13" s="1131"/>
      <c r="P13" s="3167"/>
      <c r="Q13" s="178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63">
        <f t="shared" si="5"/>
        <v>1</v>
      </c>
    </row>
    <row r="14" spans="1:29" ht="15.75" thickBot="1">
      <c r="A14" s="436"/>
      <c r="B14" s="2596">
        <v>111</v>
      </c>
      <c r="C14" s="437"/>
      <c r="D14" s="438">
        <v>100</v>
      </c>
      <c r="E14" s="628"/>
      <c r="F14" s="438">
        <f>SUMIF(75:75,E14,76:76)-SUMIF(75:75,C14,76:76)+100</f>
        <v>100</v>
      </c>
      <c r="G14" s="2664"/>
      <c r="H14" s="438">
        <f>SUMIF(75:75,G14,76:76)-SUMIF(75:75,C14,76:76)+100</f>
        <v>100</v>
      </c>
      <c r="I14" s="432"/>
      <c r="J14" s="438">
        <f>SUMIF(75:75,I14,76:76)-SUMIF(75:75,C14,76:76)+100</f>
        <v>100</v>
      </c>
      <c r="K14" s="613"/>
      <c r="L14" s="1140"/>
      <c r="M14" s="1131"/>
      <c r="N14" s="1131"/>
      <c r="O14" s="1131"/>
      <c r="P14" s="3167"/>
      <c r="Q14" s="178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63">
        <f t="shared" si="5"/>
        <v>1</v>
      </c>
    </row>
    <row r="15" spans="1:29" ht="71.25">
      <c r="A15" s="440" t="s">
        <v>2558</v>
      </c>
      <c r="B15" s="629" t="s">
        <v>2686</v>
      </c>
      <c r="C15" s="266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65" t="s">
        <v>2559</v>
      </c>
      <c r="Q15" s="1802" t="str">
        <f t="shared" si="6"/>
        <v>办公集聚程度</v>
      </c>
      <c r="R15" s="774" t="s">
        <v>17</v>
      </c>
      <c r="S15" s="775">
        <f t="shared" si="0"/>
        <v>100</v>
      </c>
      <c r="T15" s="774" t="s">
        <v>17</v>
      </c>
      <c r="U15" s="775">
        <f t="shared" si="1"/>
        <v>100</v>
      </c>
      <c r="V15" s="774" t="s">
        <v>17</v>
      </c>
      <c r="W15" s="775">
        <f t="shared" si="2"/>
        <v>100</v>
      </c>
      <c r="X15" s="1805"/>
      <c r="Y15" s="3158" t="s">
        <v>2559</v>
      </c>
      <c r="Z15" s="1806" t="str">
        <f t="shared" si="7"/>
        <v>办公集聚程度</v>
      </c>
      <c r="AA15" s="1803">
        <f t="shared" si="3"/>
        <v>1</v>
      </c>
      <c r="AB15" s="1803">
        <f t="shared" si="4"/>
        <v>1</v>
      </c>
      <c r="AC15" s="2666">
        <f t="shared" si="5"/>
        <v>1</v>
      </c>
    </row>
    <row r="16" spans="1:29" ht="15">
      <c r="A16" s="428"/>
      <c r="B16" s="630"/>
      <c r="C16" s="2605"/>
      <c r="D16" s="448"/>
      <c r="E16" s="447"/>
      <c r="F16" s="448"/>
      <c r="G16" s="2605"/>
      <c r="H16" s="450"/>
      <c r="I16" s="447"/>
      <c r="J16" s="448"/>
      <c r="K16" s="615"/>
      <c r="L16" s="1140"/>
      <c r="M16" s="1131"/>
      <c r="N16" s="1131"/>
      <c r="O16" s="1131"/>
      <c r="P16" s="3166"/>
      <c r="Q16" s="1802"/>
      <c r="R16" s="774"/>
      <c r="S16" s="775"/>
      <c r="T16" s="774"/>
      <c r="U16" s="775"/>
      <c r="V16" s="774"/>
      <c r="W16" s="775"/>
      <c r="X16" s="1805"/>
      <c r="Y16" s="3159"/>
      <c r="Z16" s="1806"/>
      <c r="AA16" s="1803">
        <v>1</v>
      </c>
      <c r="AB16" s="1803">
        <v>1</v>
      </c>
      <c r="AC16" s="2666">
        <v>1</v>
      </c>
    </row>
    <row r="17" spans="1:29" ht="71.25">
      <c r="A17" s="428"/>
      <c r="B17" s="631" t="s">
        <v>2095</v>
      </c>
      <c r="C17" s="266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66"/>
      <c r="Q17" s="1802" t="str">
        <f>B17</f>
        <v>交通便捷度</v>
      </c>
      <c r="R17" s="774" t="s">
        <v>17</v>
      </c>
      <c r="S17" s="775">
        <f>F17</f>
        <v>100</v>
      </c>
      <c r="T17" s="774" t="s">
        <v>17</v>
      </c>
      <c r="U17" s="775">
        <f>H17</f>
        <v>100</v>
      </c>
      <c r="V17" s="774" t="s">
        <v>17</v>
      </c>
      <c r="W17" s="775">
        <f>J17</f>
        <v>100</v>
      </c>
      <c r="X17" s="1805"/>
      <c r="Y17" s="3159"/>
      <c r="Z17" s="1806" t="str">
        <f>Q17</f>
        <v>交通便捷度</v>
      </c>
      <c r="AA17" s="1803">
        <f t="shared" si="3"/>
        <v>1</v>
      </c>
      <c r="AB17" s="1803">
        <f t="shared" si="4"/>
        <v>1</v>
      </c>
      <c r="AC17" s="2666">
        <f t="shared" si="5"/>
        <v>1</v>
      </c>
    </row>
    <row r="18" spans="1:29" ht="15">
      <c r="A18" s="428"/>
      <c r="B18" s="632"/>
      <c r="C18" s="2668"/>
      <c r="D18" s="450"/>
      <c r="E18" s="2603"/>
      <c r="F18" s="450"/>
      <c r="G18" s="2604"/>
      <c r="H18" s="448"/>
      <c r="I18" s="2604"/>
      <c r="J18" s="448"/>
      <c r="K18" s="615"/>
      <c r="L18" s="1140"/>
      <c r="M18" s="1131"/>
      <c r="N18" s="1131"/>
      <c r="O18" s="1131"/>
      <c r="P18" s="3166"/>
      <c r="Q18" s="1802"/>
      <c r="R18" s="774"/>
      <c r="S18" s="775"/>
      <c r="T18" s="774"/>
      <c r="U18" s="775"/>
      <c r="V18" s="774"/>
      <c r="W18" s="775"/>
      <c r="X18" s="1805"/>
      <c r="Y18" s="3159"/>
      <c r="Z18" s="1806"/>
      <c r="AA18" s="1803">
        <v>1</v>
      </c>
      <c r="AB18" s="1803">
        <v>1</v>
      </c>
      <c r="AC18" s="2666">
        <v>1</v>
      </c>
    </row>
    <row r="19" spans="1:29" ht="42.75">
      <c r="A19" s="428"/>
      <c r="B19" s="631" t="s">
        <v>2687</v>
      </c>
      <c r="C19" s="266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66"/>
      <c r="Q19" s="1802" t="str">
        <f>B19</f>
        <v>公共配套设施</v>
      </c>
      <c r="R19" s="774" t="s">
        <v>17</v>
      </c>
      <c r="S19" s="775">
        <f>F19</f>
        <v>100</v>
      </c>
      <c r="T19" s="774" t="s">
        <v>17</v>
      </c>
      <c r="U19" s="775">
        <f>H19</f>
        <v>100</v>
      </c>
      <c r="V19" s="774" t="s">
        <v>17</v>
      </c>
      <c r="W19" s="775">
        <f>J19</f>
        <v>100</v>
      </c>
      <c r="X19" s="1805"/>
      <c r="Y19" s="3159"/>
      <c r="Z19" s="1806" t="str">
        <f>Q19</f>
        <v>公共配套设施</v>
      </c>
      <c r="AA19" s="1803">
        <f t="shared" si="3"/>
        <v>1</v>
      </c>
      <c r="AB19" s="1803">
        <f t="shared" si="4"/>
        <v>1</v>
      </c>
      <c r="AC19" s="2666">
        <f t="shared" si="5"/>
        <v>1</v>
      </c>
    </row>
    <row r="20" spans="1:29" ht="15">
      <c r="A20" s="428"/>
      <c r="B20" s="632"/>
      <c r="C20" s="2605"/>
      <c r="D20" s="448"/>
      <c r="E20" s="2598"/>
      <c r="F20" s="448"/>
      <c r="G20" s="2599"/>
      <c r="H20" s="448"/>
      <c r="I20" s="2599"/>
      <c r="J20" s="448"/>
      <c r="K20" s="615"/>
      <c r="L20" s="1140"/>
      <c r="M20" s="1131"/>
      <c r="N20" s="1131"/>
      <c r="O20" s="1131"/>
      <c r="P20" s="3166"/>
      <c r="Q20" s="1802"/>
      <c r="R20" s="774"/>
      <c r="S20" s="775"/>
      <c r="T20" s="774"/>
      <c r="U20" s="775"/>
      <c r="V20" s="774"/>
      <c r="W20" s="775"/>
      <c r="X20" s="1805"/>
      <c r="Y20" s="3159"/>
      <c r="Z20" s="1806"/>
      <c r="AA20" s="1803">
        <v>1</v>
      </c>
      <c r="AB20" s="1803">
        <v>1</v>
      </c>
      <c r="AC20" s="2666">
        <v>1</v>
      </c>
    </row>
    <row r="21" spans="1:29" ht="28.5">
      <c r="A21" s="428"/>
      <c r="B21" s="633" t="s">
        <v>2688</v>
      </c>
      <c r="C21" s="266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66"/>
      <c r="Q21" s="1802" t="str">
        <f>B21</f>
        <v>基础设施水平</v>
      </c>
      <c r="R21" s="774" t="s">
        <v>17</v>
      </c>
      <c r="S21" s="775">
        <f>F21</f>
        <v>100</v>
      </c>
      <c r="T21" s="774" t="s">
        <v>17</v>
      </c>
      <c r="U21" s="775">
        <f>H21</f>
        <v>100</v>
      </c>
      <c r="V21" s="774" t="s">
        <v>17</v>
      </c>
      <c r="W21" s="775">
        <f>J21</f>
        <v>100</v>
      </c>
      <c r="X21" s="1805"/>
      <c r="Y21" s="3159"/>
      <c r="Z21" s="1806" t="str">
        <f>Q21</f>
        <v>基础设施水平</v>
      </c>
      <c r="AA21" s="1803">
        <f t="shared" ref="AA21" si="8">D21/F21</f>
        <v>1</v>
      </c>
      <c r="AB21" s="1803">
        <f t="shared" ref="AB21" si="9">D21/H21</f>
        <v>1</v>
      </c>
      <c r="AC21" s="2666">
        <f t="shared" ref="AC21" si="10">D21/J21</f>
        <v>1</v>
      </c>
    </row>
    <row r="22" spans="1:29" ht="15">
      <c r="A22" s="428"/>
      <c r="B22" s="633"/>
      <c r="C22" s="2668"/>
      <c r="D22" s="448"/>
      <c r="E22" s="447"/>
      <c r="F22" s="448"/>
      <c r="G22" s="2605"/>
      <c r="H22" s="448"/>
      <c r="I22" s="2605"/>
      <c r="J22" s="448"/>
      <c r="K22" s="1383"/>
      <c r="L22" s="1140"/>
      <c r="M22" s="1131"/>
      <c r="N22" s="1131"/>
      <c r="O22" s="1131"/>
      <c r="P22" s="3166"/>
      <c r="Q22" s="1802"/>
      <c r="R22" s="774"/>
      <c r="S22" s="775"/>
      <c r="T22" s="774"/>
      <c r="U22" s="775"/>
      <c r="V22" s="774"/>
      <c r="W22" s="775"/>
      <c r="X22" s="1805"/>
      <c r="Y22" s="3159"/>
      <c r="Z22" s="1806"/>
      <c r="AA22" s="1803">
        <v>1</v>
      </c>
      <c r="AB22" s="1803">
        <v>1</v>
      </c>
      <c r="AC22" s="2666">
        <v>1</v>
      </c>
    </row>
    <row r="23" spans="1:29" ht="42.75">
      <c r="A23" s="428"/>
      <c r="B23" s="631" t="s">
        <v>2689</v>
      </c>
      <c r="C23" s="266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66"/>
      <c r="Q23" s="1802" t="str">
        <f>B23</f>
        <v>环境质量</v>
      </c>
      <c r="R23" s="774" t="s">
        <v>17</v>
      </c>
      <c r="S23" s="775">
        <f>F23</f>
        <v>100</v>
      </c>
      <c r="T23" s="774" t="s">
        <v>17</v>
      </c>
      <c r="U23" s="775">
        <f>H23</f>
        <v>100</v>
      </c>
      <c r="V23" s="774" t="s">
        <v>17</v>
      </c>
      <c r="W23" s="775">
        <f>J23</f>
        <v>100</v>
      </c>
      <c r="X23" s="1805"/>
      <c r="Y23" s="3159"/>
      <c r="Z23" s="1806" t="str">
        <f>Q23</f>
        <v>环境质量</v>
      </c>
      <c r="AA23" s="1803">
        <f t="shared" si="3"/>
        <v>1</v>
      </c>
      <c r="AB23" s="1803">
        <f t="shared" si="4"/>
        <v>1</v>
      </c>
      <c r="AC23" s="2666">
        <f t="shared" si="5"/>
        <v>1</v>
      </c>
    </row>
    <row r="24" spans="1:29" ht="15">
      <c r="A24" s="428"/>
      <c r="B24" s="633"/>
      <c r="C24" s="2605"/>
      <c r="D24" s="448"/>
      <c r="E24" s="2598"/>
      <c r="F24" s="448"/>
      <c r="G24" s="2599"/>
      <c r="H24" s="448"/>
      <c r="I24" s="2599"/>
      <c r="J24" s="448"/>
      <c r="K24" s="615"/>
      <c r="L24" s="1140"/>
      <c r="M24" s="1131"/>
      <c r="N24" s="1131"/>
      <c r="O24" s="1131"/>
      <c r="P24" s="3166"/>
      <c r="Q24" s="1802"/>
      <c r="R24" s="774"/>
      <c r="S24" s="775"/>
      <c r="T24" s="774"/>
      <c r="U24" s="775"/>
      <c r="V24" s="774"/>
      <c r="W24" s="775"/>
      <c r="X24" s="1805"/>
      <c r="Y24" s="3159"/>
      <c r="Z24" s="1806"/>
      <c r="AA24" s="1803">
        <v>1</v>
      </c>
      <c r="AB24" s="1803">
        <v>1</v>
      </c>
      <c r="AC24" s="2666">
        <v>1</v>
      </c>
    </row>
    <row r="25" spans="1:29" ht="27">
      <c r="A25" s="404"/>
      <c r="B25" s="631" t="s">
        <v>2690</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166"/>
      <c r="Q25" s="1802" t="str">
        <f>B25</f>
        <v>毗邻道路的类型与等级</v>
      </c>
      <c r="R25" s="774" t="s">
        <v>17</v>
      </c>
      <c r="S25" s="775">
        <f>F25</f>
        <v>100</v>
      </c>
      <c r="T25" s="774" t="s">
        <v>17</v>
      </c>
      <c r="U25" s="775">
        <f>H25</f>
        <v>100</v>
      </c>
      <c r="V25" s="774" t="s">
        <v>17</v>
      </c>
      <c r="W25" s="775">
        <f>J25</f>
        <v>100</v>
      </c>
      <c r="X25" s="1805"/>
      <c r="Y25" s="3159"/>
      <c r="Z25" s="1806" t="str">
        <f>Q25</f>
        <v>毗邻道路的类型与等级</v>
      </c>
      <c r="AA25" s="1803">
        <f t="shared" si="3"/>
        <v>1</v>
      </c>
      <c r="AB25" s="1803">
        <f t="shared" si="4"/>
        <v>1</v>
      </c>
      <c r="AC25" s="2666">
        <f t="shared" si="5"/>
        <v>1</v>
      </c>
    </row>
    <row r="26" spans="1:29" ht="15">
      <c r="A26" s="404"/>
      <c r="B26" s="632"/>
      <c r="C26" s="634"/>
      <c r="D26" s="435"/>
      <c r="E26" s="616"/>
      <c r="F26" s="435"/>
      <c r="G26" s="634"/>
      <c r="H26" s="435"/>
      <c r="I26" s="616"/>
      <c r="J26" s="435"/>
      <c r="K26" s="615"/>
      <c r="L26" s="1140"/>
      <c r="M26" s="1131"/>
      <c r="N26" s="1131"/>
      <c r="O26" s="1131"/>
      <c r="P26" s="3166"/>
      <c r="Q26" s="1802"/>
      <c r="R26" s="774"/>
      <c r="S26" s="775"/>
      <c r="T26" s="774"/>
      <c r="U26" s="775"/>
      <c r="V26" s="774"/>
      <c r="W26" s="775"/>
      <c r="X26" s="1805"/>
      <c r="Y26" s="3159"/>
      <c r="Z26" s="1806"/>
      <c r="AA26" s="1803">
        <v>1</v>
      </c>
      <c r="AB26" s="1803">
        <v>1</v>
      </c>
      <c r="AC26" s="266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66"/>
      <c r="Q27" s="1802" t="str">
        <f t="shared" ref="Q27:Q47" si="11">B27</f>
        <v>楼层</v>
      </c>
      <c r="R27" s="774" t="s">
        <v>17</v>
      </c>
      <c r="S27" s="775">
        <f>F27</f>
        <v>100</v>
      </c>
      <c r="T27" s="774" t="s">
        <v>17</v>
      </c>
      <c r="U27" s="775">
        <f>H27</f>
        <v>100</v>
      </c>
      <c r="V27" s="774" t="s">
        <v>17</v>
      </c>
      <c r="W27" s="775">
        <f>J27</f>
        <v>100</v>
      </c>
      <c r="X27" s="1805"/>
      <c r="Y27" s="3159"/>
      <c r="Z27" s="1806" t="str">
        <f>Q27</f>
        <v>楼层</v>
      </c>
      <c r="AA27" s="1803">
        <f t="shared" si="3"/>
        <v>1</v>
      </c>
      <c r="AB27" s="1803">
        <f t="shared" si="4"/>
        <v>1</v>
      </c>
      <c r="AC27" s="2666">
        <f t="shared" si="5"/>
        <v>1</v>
      </c>
    </row>
    <row r="28" spans="1:29" s="117" customFormat="1" ht="15">
      <c r="A28" s="431"/>
      <c r="B28" s="631" t="s">
        <v>2691</v>
      </c>
      <c r="C28" s="2669"/>
      <c r="D28" s="462">
        <v>100</v>
      </c>
      <c r="E28" s="2657"/>
      <c r="F28" s="462">
        <f>SUMIF(91:91,E28,92:92)-SUMIF(91:91,C28,92:92)+100</f>
        <v>100</v>
      </c>
      <c r="G28" s="2669"/>
      <c r="H28" s="462">
        <f>SUMIF(91:91,G28,92:92)-SUMIF(91:91,C28,92:92)+100</f>
        <v>100</v>
      </c>
      <c r="I28" s="2657"/>
      <c r="J28" s="462">
        <f>SUMIF(91:91,I28,92:92)-SUMIF(91:91,C28,92:92)+100</f>
        <v>100</v>
      </c>
      <c r="K28" s="612"/>
      <c r="L28" s="1132"/>
      <c r="M28" s="1133"/>
      <c r="N28" s="1133"/>
      <c r="O28" s="1133"/>
      <c r="P28" s="3166"/>
      <c r="Q28" s="1787" t="str">
        <f t="shared" si="11"/>
        <v>朝向</v>
      </c>
      <c r="R28" s="770" t="s">
        <v>17</v>
      </c>
      <c r="S28" s="771">
        <f>F28</f>
        <v>100</v>
      </c>
      <c r="T28" s="770" t="s">
        <v>17</v>
      </c>
      <c r="U28" s="771">
        <f>H28</f>
        <v>100</v>
      </c>
      <c r="V28" s="770" t="s">
        <v>17</v>
      </c>
      <c r="W28" s="771">
        <f>J28</f>
        <v>100</v>
      </c>
      <c r="X28" s="772"/>
      <c r="Y28" s="3159"/>
      <c r="Z28" s="55" t="str">
        <f>Q28</f>
        <v>朝向</v>
      </c>
      <c r="AA28" s="1803">
        <f>D28/F28</f>
        <v>1</v>
      </c>
      <c r="AB28" s="1803">
        <f>D28/H28</f>
        <v>1</v>
      </c>
      <c r="AC28" s="2666">
        <f>D28/J28</f>
        <v>1</v>
      </c>
    </row>
    <row r="29" spans="1:29" ht="15">
      <c r="A29" s="428"/>
      <c r="B29" s="2670">
        <v>111</v>
      </c>
      <c r="C29" s="2609"/>
      <c r="D29" s="435">
        <v>100</v>
      </c>
      <c r="E29" s="432"/>
      <c r="F29" s="435">
        <f>SUMIF(93:93,E29,94:94)-SUMIF(93:93,C29,94:94)+100</f>
        <v>100</v>
      </c>
      <c r="G29" s="2664"/>
      <c r="H29" s="435">
        <f>SUMIF(93:93,G29,94:94)-SUMIF(93:93,C29,94:94)+100</f>
        <v>100</v>
      </c>
      <c r="I29" s="432"/>
      <c r="J29" s="435">
        <f>SUMIF(93:93,I29,94:94)-SUMIF(93:93,C29,94:94)+100</f>
        <v>100</v>
      </c>
      <c r="K29" s="613"/>
      <c r="L29" s="1140"/>
      <c r="M29" s="1131"/>
      <c r="N29" s="1131"/>
      <c r="O29" s="1131"/>
      <c r="P29" s="3166"/>
      <c r="Q29" s="1802">
        <f t="shared" si="11"/>
        <v>111</v>
      </c>
      <c r="R29" s="774" t="s">
        <v>17</v>
      </c>
      <c r="S29" s="775">
        <f t="shared" ref="S29:S47" si="12">F29</f>
        <v>100</v>
      </c>
      <c r="T29" s="774" t="s">
        <v>17</v>
      </c>
      <c r="U29" s="775">
        <f t="shared" ref="U29:U47" si="13">H29</f>
        <v>100</v>
      </c>
      <c r="V29" s="774" t="s">
        <v>17</v>
      </c>
      <c r="W29" s="775">
        <f t="shared" ref="W29:W47" si="14">J29</f>
        <v>100</v>
      </c>
      <c r="X29" s="1805"/>
      <c r="Y29" s="3159"/>
      <c r="Z29" s="1806">
        <f t="shared" ref="Z29:Z47" si="15">Q29</f>
        <v>111</v>
      </c>
      <c r="AA29" s="1803">
        <f t="shared" si="3"/>
        <v>1</v>
      </c>
      <c r="AB29" s="1803">
        <f t="shared" si="4"/>
        <v>1</v>
      </c>
      <c r="AC29" s="2666">
        <f t="shared" si="5"/>
        <v>1</v>
      </c>
    </row>
    <row r="30" spans="1:29" ht="15">
      <c r="A30" s="428"/>
      <c r="B30" s="2670">
        <v>111</v>
      </c>
      <c r="C30" s="2609"/>
      <c r="D30" s="435">
        <v>100</v>
      </c>
      <c r="E30" s="432"/>
      <c r="F30" s="435">
        <f>SUMIF(95:95,E30,96:96)-SUMIF(95:95,C30,96:96)+100</f>
        <v>100</v>
      </c>
      <c r="G30" s="2664"/>
      <c r="H30" s="435">
        <f>SUMIF(95:95,G30,96:96)-SUMIF(95:95,C30,96:96)+100</f>
        <v>100</v>
      </c>
      <c r="I30" s="432"/>
      <c r="J30" s="435">
        <f>SUMIF(95:95,I30,96:96)-SUMIF(95:95,C30,96:96)+100</f>
        <v>100</v>
      </c>
      <c r="K30" s="613"/>
      <c r="L30" s="1140"/>
      <c r="M30" s="1131"/>
      <c r="N30" s="1131"/>
      <c r="O30" s="1131"/>
      <c r="P30" s="3166"/>
      <c r="Q30" s="1802">
        <f t="shared" si="11"/>
        <v>111</v>
      </c>
      <c r="R30" s="774" t="s">
        <v>17</v>
      </c>
      <c r="S30" s="775">
        <f t="shared" si="12"/>
        <v>100</v>
      </c>
      <c r="T30" s="774" t="s">
        <v>17</v>
      </c>
      <c r="U30" s="775">
        <f t="shared" si="13"/>
        <v>100</v>
      </c>
      <c r="V30" s="774" t="s">
        <v>17</v>
      </c>
      <c r="W30" s="775">
        <f t="shared" si="14"/>
        <v>100</v>
      </c>
      <c r="X30" s="1805"/>
      <c r="Y30" s="3159"/>
      <c r="Z30" s="1806">
        <f t="shared" si="15"/>
        <v>111</v>
      </c>
      <c r="AA30" s="1803">
        <f t="shared" si="3"/>
        <v>1</v>
      </c>
      <c r="AB30" s="1803">
        <f t="shared" si="4"/>
        <v>1</v>
      </c>
      <c r="AC30" s="2666">
        <f t="shared" si="5"/>
        <v>1</v>
      </c>
    </row>
    <row r="31" spans="1:29" ht="15">
      <c r="A31" s="428"/>
      <c r="B31" s="2670">
        <v>111</v>
      </c>
      <c r="C31" s="2609"/>
      <c r="D31" s="435">
        <v>100</v>
      </c>
      <c r="E31" s="432"/>
      <c r="F31" s="435">
        <f>SUMIF(97:97,E31,98:98)-SUMIF(97:97,C31,98:98)+100</f>
        <v>100</v>
      </c>
      <c r="G31" s="2664"/>
      <c r="H31" s="435">
        <f>SUMIF(97:97,G31,98:98)-SUMIF(97:97,C31,98:98)+100</f>
        <v>100</v>
      </c>
      <c r="I31" s="432"/>
      <c r="J31" s="435">
        <f>SUMIF(97:97,I31,98:98)-SUMIF(97:97,C31,98:98)+100</f>
        <v>100</v>
      </c>
      <c r="K31" s="613"/>
      <c r="L31" s="1140"/>
      <c r="M31" s="1131"/>
      <c r="N31" s="1131"/>
      <c r="O31" s="1131"/>
      <c r="P31" s="3166"/>
      <c r="Q31" s="1802">
        <f t="shared" si="11"/>
        <v>111</v>
      </c>
      <c r="R31" s="774" t="s">
        <v>17</v>
      </c>
      <c r="S31" s="775">
        <f t="shared" si="12"/>
        <v>100</v>
      </c>
      <c r="T31" s="774" t="s">
        <v>17</v>
      </c>
      <c r="U31" s="775">
        <f t="shared" si="13"/>
        <v>100</v>
      </c>
      <c r="V31" s="774" t="s">
        <v>17</v>
      </c>
      <c r="W31" s="775">
        <f t="shared" si="14"/>
        <v>100</v>
      </c>
      <c r="X31" s="1805"/>
      <c r="Y31" s="3159"/>
      <c r="Z31" s="1806">
        <f t="shared" si="15"/>
        <v>111</v>
      </c>
      <c r="AA31" s="1803">
        <f t="shared" si="3"/>
        <v>1</v>
      </c>
      <c r="AB31" s="1803">
        <f t="shared" si="4"/>
        <v>1</v>
      </c>
      <c r="AC31" s="2666">
        <f t="shared" si="5"/>
        <v>1</v>
      </c>
    </row>
    <row r="32" spans="1:29" ht="15.75" thickBot="1">
      <c r="A32" s="436"/>
      <c r="B32" s="635">
        <v>111</v>
      </c>
      <c r="C32" s="2610"/>
      <c r="D32" s="438">
        <v>100</v>
      </c>
      <c r="E32" s="628"/>
      <c r="F32" s="438">
        <f>SUMIF(99:99,E32,100:100)-SUMIF(99:99,C32,100:100)+100</f>
        <v>100</v>
      </c>
      <c r="G32" s="2664"/>
      <c r="H32" s="438">
        <f>SUMIF(99:99,G32,100:100)-SUMIF(99:99,C32,100:100)+100</f>
        <v>100</v>
      </c>
      <c r="I32" s="432"/>
      <c r="J32" s="438">
        <f>SUMIF(99:99,I32,100:100)-SUMIF(99:99,C32,100:100)+100</f>
        <v>100</v>
      </c>
      <c r="K32" s="613"/>
      <c r="L32" s="1140"/>
      <c r="M32" s="1131"/>
      <c r="N32" s="1131"/>
      <c r="O32" s="1131"/>
      <c r="P32" s="3166"/>
      <c r="Q32" s="1802">
        <f t="shared" si="11"/>
        <v>111</v>
      </c>
      <c r="R32" s="774" t="s">
        <v>17</v>
      </c>
      <c r="S32" s="775">
        <f t="shared" si="12"/>
        <v>100</v>
      </c>
      <c r="T32" s="774" t="s">
        <v>17</v>
      </c>
      <c r="U32" s="775">
        <f t="shared" si="13"/>
        <v>100</v>
      </c>
      <c r="V32" s="774" t="s">
        <v>17</v>
      </c>
      <c r="W32" s="775">
        <f t="shared" si="14"/>
        <v>100</v>
      </c>
      <c r="X32" s="1805"/>
      <c r="Y32" s="3159"/>
      <c r="Z32" s="1806">
        <f t="shared" si="15"/>
        <v>111</v>
      </c>
      <c r="AA32" s="1803">
        <f t="shared" si="3"/>
        <v>1</v>
      </c>
      <c r="AB32" s="1803">
        <f t="shared" si="4"/>
        <v>1</v>
      </c>
      <c r="AC32" s="2666">
        <f t="shared" si="5"/>
        <v>1</v>
      </c>
    </row>
    <row r="33" spans="1:29" ht="15">
      <c r="A33" s="440" t="s">
        <v>2562</v>
      </c>
      <c r="B33" s="71" t="s">
        <v>2692</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40"/>
      <c r="M33" s="1131"/>
      <c r="N33" s="1131"/>
      <c r="O33" s="1131"/>
      <c r="P33" s="3160" t="s">
        <v>2564</v>
      </c>
      <c r="Q33" s="1802" t="str">
        <f t="shared" si="11"/>
        <v>建筑类型</v>
      </c>
      <c r="R33" s="774" t="s">
        <v>17</v>
      </c>
      <c r="S33" s="775">
        <f t="shared" si="12"/>
        <v>100</v>
      </c>
      <c r="T33" s="774" t="s">
        <v>17</v>
      </c>
      <c r="U33" s="775">
        <f t="shared" si="13"/>
        <v>100</v>
      </c>
      <c r="V33" s="774" t="s">
        <v>17</v>
      </c>
      <c r="W33" s="775">
        <f t="shared" si="14"/>
        <v>100</v>
      </c>
      <c r="X33" s="1805"/>
      <c r="Y33" s="3163" t="s">
        <v>2564</v>
      </c>
      <c r="Z33" s="1806" t="str">
        <f t="shared" si="15"/>
        <v>建筑类型</v>
      </c>
      <c r="AA33" s="1803">
        <f t="shared" si="3"/>
        <v>1</v>
      </c>
      <c r="AB33" s="1803">
        <f t="shared" si="4"/>
        <v>1</v>
      </c>
      <c r="AC33" s="266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61"/>
      <c r="Q34" s="776" t="str">
        <f t="shared" si="11"/>
        <v>项目建筑规模</v>
      </c>
      <c r="R34" s="777" t="s">
        <v>17</v>
      </c>
      <c r="S34" s="778" t="e">
        <f t="shared" si="12"/>
        <v>#N/A</v>
      </c>
      <c r="T34" s="777" t="s">
        <v>17</v>
      </c>
      <c r="U34" s="778" t="e">
        <f t="shared" si="13"/>
        <v>#N/A</v>
      </c>
      <c r="V34" s="777" t="s">
        <v>17</v>
      </c>
      <c r="W34" s="778" t="e">
        <f t="shared" si="14"/>
        <v>#N/A</v>
      </c>
      <c r="X34" s="779"/>
      <c r="Y34" s="3163"/>
      <c r="Z34" s="780" t="str">
        <f t="shared" si="15"/>
        <v>项目建筑规模</v>
      </c>
      <c r="AA34" s="1803" t="e">
        <f t="shared" si="3"/>
        <v>#N/A</v>
      </c>
      <c r="AB34" s="1803" t="e">
        <f t="shared" si="4"/>
        <v>#N/A</v>
      </c>
      <c r="AC34" s="266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61"/>
      <c r="Q35" s="1802" t="str">
        <f t="shared" si="11"/>
        <v>建筑结构</v>
      </c>
      <c r="R35" s="774" t="s">
        <v>17</v>
      </c>
      <c r="S35" s="775">
        <f t="shared" si="12"/>
        <v>100</v>
      </c>
      <c r="T35" s="774" t="s">
        <v>17</v>
      </c>
      <c r="U35" s="775">
        <f t="shared" si="13"/>
        <v>100</v>
      </c>
      <c r="V35" s="774" t="s">
        <v>17</v>
      </c>
      <c r="W35" s="775">
        <f t="shared" si="14"/>
        <v>100</v>
      </c>
      <c r="X35" s="1805"/>
      <c r="Y35" s="3163"/>
      <c r="Z35" s="1806" t="str">
        <f t="shared" si="15"/>
        <v>建筑结构</v>
      </c>
      <c r="AA35" s="1803">
        <f t="shared" si="3"/>
        <v>1</v>
      </c>
      <c r="AB35" s="1803">
        <f t="shared" si="4"/>
        <v>1</v>
      </c>
      <c r="AC35" s="266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61"/>
      <c r="Q36" s="1802" t="str">
        <f t="shared" si="11"/>
        <v>公共部分装修</v>
      </c>
      <c r="R36" s="774" t="s">
        <v>17</v>
      </c>
      <c r="S36" s="775">
        <f t="shared" si="12"/>
        <v>100</v>
      </c>
      <c r="T36" s="774" t="s">
        <v>17</v>
      </c>
      <c r="U36" s="775">
        <f t="shared" si="13"/>
        <v>100</v>
      </c>
      <c r="V36" s="774" t="s">
        <v>17</v>
      </c>
      <c r="W36" s="775">
        <f t="shared" si="14"/>
        <v>100</v>
      </c>
      <c r="X36" s="1805"/>
      <c r="Y36" s="3163"/>
      <c r="Z36" s="1806" t="str">
        <f t="shared" si="15"/>
        <v>公共部分装修</v>
      </c>
      <c r="AA36" s="1803">
        <f t="shared" si="3"/>
        <v>1</v>
      </c>
      <c r="AB36" s="1803">
        <f t="shared" si="4"/>
        <v>1</v>
      </c>
      <c r="AC36" s="266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61"/>
      <c r="Q37" s="1802" t="str">
        <f t="shared" si="11"/>
        <v>成新度</v>
      </c>
      <c r="R37" s="774" t="s">
        <v>17</v>
      </c>
      <c r="S37" s="775" t="e">
        <f t="shared" si="12"/>
        <v>#N/A</v>
      </c>
      <c r="T37" s="774" t="s">
        <v>17</v>
      </c>
      <c r="U37" s="775" t="e">
        <f t="shared" si="13"/>
        <v>#N/A</v>
      </c>
      <c r="V37" s="774" t="s">
        <v>17</v>
      </c>
      <c r="W37" s="775" t="e">
        <f t="shared" si="14"/>
        <v>#N/A</v>
      </c>
      <c r="X37" s="1805"/>
      <c r="Y37" s="3163"/>
      <c r="Z37" s="1806" t="str">
        <f t="shared" si="15"/>
        <v>成新度</v>
      </c>
      <c r="AA37" s="1803" t="e">
        <f t="shared" si="3"/>
        <v>#N/A</v>
      </c>
      <c r="AB37" s="1803" t="e">
        <f t="shared" si="4"/>
        <v>#N/A</v>
      </c>
      <c r="AC37" s="266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61"/>
      <c r="Q38" s="1787" t="str">
        <f t="shared" si="11"/>
        <v>写字楼等级</v>
      </c>
      <c r="R38" s="770" t="s">
        <v>17</v>
      </c>
      <c r="S38" s="771">
        <f t="shared" si="12"/>
        <v>100</v>
      </c>
      <c r="T38" s="770" t="s">
        <v>17</v>
      </c>
      <c r="U38" s="771">
        <f t="shared" si="13"/>
        <v>100</v>
      </c>
      <c r="V38" s="770" t="s">
        <v>17</v>
      </c>
      <c r="W38" s="771">
        <f t="shared" si="14"/>
        <v>100</v>
      </c>
      <c r="X38" s="772"/>
      <c r="Y38" s="3163"/>
      <c r="Z38" s="55" t="str">
        <f t="shared" si="15"/>
        <v>写字楼等级</v>
      </c>
      <c r="AA38" s="773">
        <f t="shared" si="3"/>
        <v>1</v>
      </c>
      <c r="AB38" s="773">
        <f t="shared" si="4"/>
        <v>1</v>
      </c>
      <c r="AC38" s="266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61" t="s">
        <v>2564</v>
      </c>
      <c r="Q39" s="1802" t="str">
        <f t="shared" si="11"/>
        <v>物业管理</v>
      </c>
      <c r="R39" s="774" t="s">
        <v>17</v>
      </c>
      <c r="S39" s="775">
        <f t="shared" si="12"/>
        <v>100</v>
      </c>
      <c r="T39" s="774" t="s">
        <v>17</v>
      </c>
      <c r="U39" s="775">
        <f t="shared" si="13"/>
        <v>100</v>
      </c>
      <c r="V39" s="774" t="s">
        <v>17</v>
      </c>
      <c r="W39" s="775">
        <f t="shared" si="14"/>
        <v>100</v>
      </c>
      <c r="X39" s="1805"/>
      <c r="Y39" s="3163" t="s">
        <v>2564</v>
      </c>
      <c r="Z39" s="1806" t="str">
        <f t="shared" si="15"/>
        <v>物业管理</v>
      </c>
      <c r="AA39" s="1803">
        <f t="shared" si="3"/>
        <v>1</v>
      </c>
      <c r="AB39" s="1803">
        <f t="shared" si="4"/>
        <v>1</v>
      </c>
      <c r="AC39" s="266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61"/>
      <c r="Q40" s="1802" t="str">
        <f t="shared" si="11"/>
        <v>市政基础设施</v>
      </c>
      <c r="R40" s="774" t="s">
        <v>17</v>
      </c>
      <c r="S40" s="775">
        <f t="shared" si="12"/>
        <v>100</v>
      </c>
      <c r="T40" s="774" t="s">
        <v>17</v>
      </c>
      <c r="U40" s="775">
        <f t="shared" si="13"/>
        <v>100</v>
      </c>
      <c r="V40" s="774" t="s">
        <v>17</v>
      </c>
      <c r="W40" s="775">
        <f t="shared" si="14"/>
        <v>100</v>
      </c>
      <c r="X40" s="1805"/>
      <c r="Y40" s="3163"/>
      <c r="Z40" s="1806" t="str">
        <f t="shared" si="15"/>
        <v>市政基础设施</v>
      </c>
      <c r="AA40" s="1803">
        <f t="shared" si="3"/>
        <v>1</v>
      </c>
      <c r="AB40" s="1803">
        <f t="shared" si="4"/>
        <v>1</v>
      </c>
      <c r="AC40" s="266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61"/>
      <c r="Q41" s="1802" t="str">
        <f t="shared" si="11"/>
        <v>层高</v>
      </c>
      <c r="R41" s="774" t="s">
        <v>17</v>
      </c>
      <c r="S41" s="775">
        <f t="shared" si="12"/>
        <v>100</v>
      </c>
      <c r="T41" s="774" t="s">
        <v>17</v>
      </c>
      <c r="U41" s="775">
        <f t="shared" si="13"/>
        <v>100</v>
      </c>
      <c r="V41" s="774" t="s">
        <v>17</v>
      </c>
      <c r="W41" s="775">
        <f t="shared" si="14"/>
        <v>100</v>
      </c>
      <c r="X41" s="1805"/>
      <c r="Y41" s="3163"/>
      <c r="Z41" s="1806" t="str">
        <f t="shared" si="15"/>
        <v>层高</v>
      </c>
      <c r="AA41" s="1803">
        <f t="shared" si="3"/>
        <v>1</v>
      </c>
      <c r="AB41" s="1803">
        <f t="shared" si="4"/>
        <v>1</v>
      </c>
      <c r="AC41" s="2666">
        <f t="shared" si="5"/>
        <v>1</v>
      </c>
    </row>
    <row r="42" spans="1:29" s="471" customFormat="1" ht="15">
      <c r="A42" s="468"/>
      <c r="B42" s="180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61"/>
      <c r="Q42" s="776" t="str">
        <f t="shared" si="11"/>
        <v>单套建筑面积</v>
      </c>
      <c r="R42" s="777" t="s">
        <v>17</v>
      </c>
      <c r="S42" s="778">
        <f t="shared" si="12"/>
        <v>100</v>
      </c>
      <c r="T42" s="777" t="s">
        <v>17</v>
      </c>
      <c r="U42" s="778">
        <f t="shared" si="13"/>
        <v>100</v>
      </c>
      <c r="V42" s="777" t="s">
        <v>17</v>
      </c>
      <c r="W42" s="778">
        <f t="shared" si="14"/>
        <v>100</v>
      </c>
      <c r="X42" s="779"/>
      <c r="Y42" s="3163"/>
      <c r="Z42" s="780" t="str">
        <f t="shared" si="15"/>
        <v>单套建筑面积</v>
      </c>
      <c r="AA42" s="1803">
        <f t="shared" si="3"/>
        <v>1</v>
      </c>
      <c r="AB42" s="1803">
        <f t="shared" si="4"/>
        <v>1</v>
      </c>
      <c r="AC42" s="266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61"/>
      <c r="Q43" s="1802" t="str">
        <f t="shared" si="11"/>
        <v>内部装修</v>
      </c>
      <c r="R43" s="774" t="s">
        <v>17</v>
      </c>
      <c r="S43" s="775">
        <f t="shared" si="12"/>
        <v>100</v>
      </c>
      <c r="T43" s="774" t="s">
        <v>17</v>
      </c>
      <c r="U43" s="775">
        <f t="shared" si="13"/>
        <v>100</v>
      </c>
      <c r="V43" s="774" t="s">
        <v>17</v>
      </c>
      <c r="W43" s="775">
        <f t="shared" si="14"/>
        <v>100</v>
      </c>
      <c r="X43" s="1805"/>
      <c r="Y43" s="3163"/>
      <c r="Z43" s="1806" t="str">
        <f t="shared" si="15"/>
        <v>内部装修</v>
      </c>
      <c r="AA43" s="1803">
        <f t="shared" si="3"/>
        <v>1</v>
      </c>
      <c r="AB43" s="1803">
        <f t="shared" si="4"/>
        <v>1</v>
      </c>
      <c r="AC43" s="2666">
        <f t="shared" si="5"/>
        <v>1</v>
      </c>
    </row>
    <row r="44" spans="1:29" ht="15">
      <c r="A44" s="472"/>
      <c r="B44" s="422" t="s">
        <v>2575</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161"/>
      <c r="Q44" s="1802" t="str">
        <f t="shared" si="11"/>
        <v>内部装修维护情况</v>
      </c>
      <c r="R44" s="774" t="s">
        <v>17</v>
      </c>
      <c r="S44" s="775">
        <f t="shared" si="12"/>
        <v>100</v>
      </c>
      <c r="T44" s="774" t="s">
        <v>17</v>
      </c>
      <c r="U44" s="775">
        <f t="shared" si="13"/>
        <v>100</v>
      </c>
      <c r="V44" s="774" t="s">
        <v>17</v>
      </c>
      <c r="W44" s="775">
        <f t="shared" si="14"/>
        <v>100</v>
      </c>
      <c r="X44" s="1805"/>
      <c r="Y44" s="3163"/>
      <c r="Z44" s="1806" t="str">
        <f t="shared" si="15"/>
        <v>内部装修维护情况</v>
      </c>
      <c r="AA44" s="1803">
        <f t="shared" si="3"/>
        <v>1</v>
      </c>
      <c r="AB44" s="1803">
        <f t="shared" si="4"/>
        <v>1</v>
      </c>
      <c r="AC44" s="266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61"/>
      <c r="Q45" s="1787">
        <f t="shared" si="11"/>
        <v>111</v>
      </c>
      <c r="R45" s="770" t="s">
        <v>17</v>
      </c>
      <c r="S45" s="771">
        <f t="shared" si="12"/>
        <v>100</v>
      </c>
      <c r="T45" s="770" t="s">
        <v>17</v>
      </c>
      <c r="U45" s="771">
        <f t="shared" si="13"/>
        <v>100</v>
      </c>
      <c r="V45" s="770" t="s">
        <v>17</v>
      </c>
      <c r="W45" s="771">
        <f t="shared" si="14"/>
        <v>100</v>
      </c>
      <c r="X45" s="772"/>
      <c r="Y45" s="3163"/>
      <c r="Z45" s="55">
        <f t="shared" si="15"/>
        <v>111</v>
      </c>
      <c r="AA45" s="773">
        <f t="shared" si="3"/>
        <v>1</v>
      </c>
      <c r="AB45" s="773">
        <f t="shared" si="4"/>
        <v>1</v>
      </c>
      <c r="AC45" s="266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61"/>
      <c r="Q46" s="1802">
        <f t="shared" si="11"/>
        <v>111</v>
      </c>
      <c r="R46" s="774" t="s">
        <v>17</v>
      </c>
      <c r="S46" s="775">
        <f t="shared" si="12"/>
        <v>100</v>
      </c>
      <c r="T46" s="774" t="s">
        <v>17</v>
      </c>
      <c r="U46" s="775">
        <f t="shared" si="13"/>
        <v>100</v>
      </c>
      <c r="V46" s="774" t="s">
        <v>17</v>
      </c>
      <c r="W46" s="775">
        <f t="shared" si="14"/>
        <v>100</v>
      </c>
      <c r="X46" s="1805"/>
      <c r="Y46" s="3163"/>
      <c r="Z46" s="1806">
        <f t="shared" si="15"/>
        <v>111</v>
      </c>
      <c r="AA46" s="1803">
        <f t="shared" si="3"/>
        <v>1</v>
      </c>
      <c r="AB46" s="1803">
        <f t="shared" si="4"/>
        <v>1</v>
      </c>
      <c r="AC46" s="2666">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62"/>
      <c r="Q47" s="1802">
        <f t="shared" si="11"/>
        <v>111</v>
      </c>
      <c r="R47" s="774" t="s">
        <v>17</v>
      </c>
      <c r="S47" s="775">
        <f t="shared" si="12"/>
        <v>100</v>
      </c>
      <c r="T47" s="774" t="s">
        <v>17</v>
      </c>
      <c r="U47" s="775">
        <f t="shared" si="13"/>
        <v>100</v>
      </c>
      <c r="V47" s="774" t="s">
        <v>17</v>
      </c>
      <c r="W47" s="775">
        <f t="shared" si="14"/>
        <v>100</v>
      </c>
      <c r="X47" s="1805"/>
      <c r="Y47" s="3164"/>
      <c r="Z47" s="1806">
        <f t="shared" si="15"/>
        <v>111</v>
      </c>
      <c r="AA47" s="1803">
        <f t="shared" si="3"/>
        <v>1</v>
      </c>
      <c r="AB47" s="1803">
        <f t="shared" si="4"/>
        <v>1</v>
      </c>
      <c r="AC47" s="2666">
        <f t="shared" si="5"/>
        <v>1</v>
      </c>
    </row>
    <row r="48" spans="1:29" ht="15">
      <c r="A48" s="479" t="s">
        <v>2576</v>
      </c>
      <c r="B48" s="480"/>
      <c r="C48" s="1407" t="s">
        <v>1</v>
      </c>
      <c r="D48" s="1408"/>
      <c r="E48" s="1409"/>
      <c r="F48" s="1410"/>
      <c r="G48" s="1411"/>
      <c r="H48" s="1412"/>
      <c r="I48" s="1409"/>
      <c r="J48" s="485"/>
      <c r="K48" s="783"/>
      <c r="L48" s="1143"/>
      <c r="M48" s="1131"/>
      <c r="N48" s="1131"/>
      <c r="O48" s="1131"/>
      <c r="P48" s="3167" t="str">
        <f>A48</f>
        <v>成交单价（元/平方米）</v>
      </c>
      <c r="Q48" s="3156"/>
      <c r="R48" s="3157">
        <f>E48</f>
        <v>0</v>
      </c>
      <c r="S48" s="3157"/>
      <c r="T48" s="3157">
        <f>G48</f>
        <v>0</v>
      </c>
      <c r="U48" s="3157"/>
      <c r="V48" s="3157">
        <f>I48</f>
        <v>0</v>
      </c>
      <c r="W48" s="3157"/>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67" t="str">
        <f>A49</f>
        <v>比较价值（元/平方米）</v>
      </c>
      <c r="Q49" s="3156"/>
      <c r="R49" s="3157" t="e">
        <f>IF(F1="售价",ROUND(PRODUCT(R48,AA7:AA47),0),ROUND(PRODUCT(R48,AA7:AA47),1))</f>
        <v>#DIV/0!</v>
      </c>
      <c r="S49" s="3157"/>
      <c r="T49" s="3157" t="e">
        <f>IF(F1="售价",ROUND(PRODUCT(T48,AB7:AB47),0),ROUND(PRODUCT(T48,AB7:AB47),1))</f>
        <v>#DIV/0!</v>
      </c>
      <c r="U49" s="3157"/>
      <c r="V49" s="3157" t="e">
        <f>IF(F1="售价",ROUND(PRODUCT(V48,AC7:AC47),0),ROUND(PRODUCT(V48,AC7:AC47),1))</f>
        <v>#DIV/0!</v>
      </c>
      <c r="W49" s="3157"/>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29" t="str">
        <f>A50</f>
        <v>估价对象XX用房的比较价值（楼面单价，元/平方米）</v>
      </c>
      <c r="Q50" s="3230"/>
      <c r="R50" s="3231" t="e">
        <f>IF(F1="售价",ROUND(AVERAGE(R49:V49),0),ROUND(AVERAGE(R49:V49),1))</f>
        <v>#DIV/0!</v>
      </c>
      <c r="S50" s="3231"/>
      <c r="T50" s="3231"/>
      <c r="U50" s="3231"/>
      <c r="V50" s="3231"/>
      <c r="W50" s="3231"/>
      <c r="X50" s="2646"/>
      <c r="Y50" s="2646"/>
      <c r="Z50" s="2646"/>
      <c r="AA50" s="2646"/>
      <c r="AB50" s="2646"/>
      <c r="AC50" s="264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2"/>
    </row>
    <row r="56" spans="1:29" s="502" customFormat="1">
      <c r="A56" s="1145"/>
      <c r="B56" s="1146"/>
      <c r="C56" s="1150"/>
      <c r="D56" s="1145"/>
      <c r="E56" s="1145"/>
      <c r="F56" s="1145"/>
      <c r="G56" s="1145"/>
      <c r="H56" s="1145"/>
      <c r="I56" s="1145"/>
      <c r="J56" s="1145"/>
      <c r="K56" s="1148"/>
      <c r="L56" s="1149"/>
      <c r="M56" s="1145"/>
      <c r="N56" s="1145"/>
      <c r="O56" s="1145"/>
      <c r="P56" s="2672"/>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3"/>
      <c r="Q58" s="504"/>
    </row>
    <row r="59" spans="1:29" s="508" customFormat="1" ht="15">
      <c r="A59" s="505" t="s">
        <v>2547</v>
      </c>
      <c r="B59" s="506"/>
      <c r="C59" s="1574" t="str">
        <f>YEAR(C7)&amp;"-"&amp;MONTH(C7)</f>
        <v>2020-7</v>
      </c>
      <c r="D59" s="1575">
        <f>EDATE(C59,-1)</f>
        <v>43983</v>
      </c>
      <c r="E59" s="1575">
        <f>EDATE(D59,-1)</f>
        <v>43952</v>
      </c>
      <c r="F59" s="1575">
        <f t="shared" ref="F59:O59" si="16">EDATE(E59,-1)</f>
        <v>43922</v>
      </c>
      <c r="G59" s="1575">
        <f t="shared" si="16"/>
        <v>43891</v>
      </c>
      <c r="H59" s="1575">
        <f t="shared" si="16"/>
        <v>43862</v>
      </c>
      <c r="I59" s="1575">
        <f t="shared" si="16"/>
        <v>43831</v>
      </c>
      <c r="J59" s="1575">
        <f t="shared" si="16"/>
        <v>43800</v>
      </c>
      <c r="K59" s="1575">
        <f t="shared" si="16"/>
        <v>43770</v>
      </c>
      <c r="L59" s="1575">
        <f t="shared" si="16"/>
        <v>43739</v>
      </c>
      <c r="M59" s="1575">
        <f t="shared" si="16"/>
        <v>43709</v>
      </c>
      <c r="N59" s="1575">
        <f t="shared" si="16"/>
        <v>43678</v>
      </c>
      <c r="O59" s="1575">
        <f t="shared" si="16"/>
        <v>43647</v>
      </c>
      <c r="P59" s="1571"/>
    </row>
    <row r="60" spans="1:29" s="117" customFormat="1" ht="15">
      <c r="A60" s="509"/>
      <c r="B60" s="510"/>
      <c r="C60" s="1573">
        <v>100</v>
      </c>
      <c r="D60" s="512"/>
      <c r="E60" s="512"/>
      <c r="F60" s="512"/>
      <c r="G60" s="512"/>
      <c r="H60" s="512"/>
      <c r="I60" s="512"/>
      <c r="J60" s="512"/>
      <c r="K60" s="512"/>
      <c r="L60" s="512"/>
      <c r="M60" s="513"/>
      <c r="N60" s="512"/>
      <c r="O60" s="513"/>
      <c r="P60" s="2674"/>
    </row>
    <row r="61" spans="1:29" s="117" customFormat="1" ht="15.75" thickBot="1">
      <c r="A61" s="515" t="s">
        <v>2584</v>
      </c>
      <c r="B61" s="516"/>
      <c r="C61" s="517"/>
      <c r="D61" s="518"/>
      <c r="E61" s="518"/>
      <c r="F61" s="518"/>
      <c r="G61" s="518"/>
      <c r="H61" s="518"/>
      <c r="I61" s="518"/>
      <c r="J61" s="518"/>
      <c r="K61" s="518"/>
      <c r="L61" s="518"/>
      <c r="M61" s="519"/>
      <c r="N61" s="518"/>
      <c r="O61" s="519"/>
      <c r="P61" s="2674"/>
      <c r="Q61" s="504"/>
    </row>
    <row r="62" spans="1:29" s="117" customFormat="1" ht="15">
      <c r="A62" s="521" t="s">
        <v>2549</v>
      </c>
      <c r="B62" s="510"/>
      <c r="C62" s="522" t="s">
        <v>2651</v>
      </c>
      <c r="D62" s="523"/>
      <c r="E62" s="523"/>
      <c r="F62" s="523"/>
      <c r="G62" s="523"/>
      <c r="H62" s="523"/>
      <c r="I62" s="523"/>
      <c r="J62" s="523"/>
      <c r="K62" s="523"/>
      <c r="L62" s="524"/>
      <c r="M62" s="525"/>
      <c r="N62" s="1151"/>
      <c r="O62" s="1151"/>
      <c r="P62" s="2675"/>
      <c r="Q62" s="504"/>
    </row>
    <row r="63" spans="1:29" s="117" customFormat="1" ht="15.75" thickBot="1">
      <c r="A63" s="521"/>
      <c r="B63" s="510"/>
      <c r="C63" s="511">
        <v>100</v>
      </c>
      <c r="D63" s="512"/>
      <c r="E63" s="512"/>
      <c r="F63" s="512"/>
      <c r="G63" s="512"/>
      <c r="H63" s="512"/>
      <c r="I63" s="512"/>
      <c r="J63" s="512"/>
      <c r="K63" s="512"/>
      <c r="L63" s="512"/>
      <c r="M63" s="514"/>
      <c r="N63" s="1151"/>
      <c r="O63" s="1151"/>
      <c r="P63" s="2674"/>
      <c r="Q63" s="504"/>
    </row>
    <row r="64" spans="1:29">
      <c r="A64" s="527" t="s">
        <v>2587</v>
      </c>
      <c r="B64" s="528" t="s">
        <v>2553</v>
      </c>
      <c r="C64" s="529">
        <f>C9</f>
        <v>0</v>
      </c>
      <c r="D64" s="530"/>
      <c r="E64" s="530"/>
      <c r="F64" s="530"/>
      <c r="G64" s="530"/>
      <c r="H64" s="530"/>
      <c r="I64" s="530"/>
      <c r="J64" s="530"/>
      <c r="K64" s="531"/>
      <c r="L64" s="532"/>
      <c r="M64" s="533"/>
      <c r="N64" s="1152"/>
      <c r="O64" s="1152"/>
      <c r="P64" s="2676"/>
      <c r="Q64" s="504"/>
    </row>
    <row r="65" spans="1:17" ht="15.75" thickBot="1">
      <c r="A65" s="534"/>
      <c r="B65" s="535"/>
      <c r="C65" s="536">
        <v>100</v>
      </c>
      <c r="D65" s="536"/>
      <c r="E65" s="536"/>
      <c r="F65" s="536"/>
      <c r="G65" s="536"/>
      <c r="H65" s="536"/>
      <c r="I65" s="536"/>
      <c r="J65" s="536"/>
      <c r="K65" s="536"/>
      <c r="L65" s="536"/>
      <c r="M65" s="537"/>
      <c r="N65" s="1153"/>
      <c r="O65" s="1153"/>
      <c r="P65" s="267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6"/>
      <c r="Q68" s="504"/>
    </row>
    <row r="69" spans="1:17" ht="15">
      <c r="A69" s="534"/>
      <c r="B69" s="548"/>
      <c r="C69" s="549"/>
      <c r="D69" s="549"/>
      <c r="E69" s="549"/>
      <c r="F69" s="549"/>
      <c r="G69" s="549"/>
      <c r="H69" s="549"/>
      <c r="I69" s="549"/>
      <c r="J69" s="549"/>
      <c r="K69" s="550"/>
      <c r="L69" s="551"/>
      <c r="M69" s="552"/>
      <c r="N69" s="1152"/>
      <c r="O69" s="1152"/>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6"/>
      <c r="Q70" s="504"/>
    </row>
    <row r="71" spans="1:17" s="471" customFormat="1" ht="15.75" thickTop="1">
      <c r="A71" s="553"/>
      <c r="B71" s="538">
        <f>B12</f>
        <v>111</v>
      </c>
      <c r="C71" s="554"/>
      <c r="D71" s="554"/>
      <c r="E71" s="554"/>
      <c r="F71" s="554"/>
      <c r="G71" s="554"/>
      <c r="H71" s="555"/>
      <c r="I71" s="555"/>
      <c r="J71" s="555"/>
      <c r="K71" s="555"/>
      <c r="L71" s="556"/>
      <c r="M71" s="557"/>
      <c r="N71" s="1154"/>
      <c r="O71" s="1154"/>
      <c r="P71" s="2677"/>
      <c r="Q71" s="559"/>
    </row>
    <row r="72" spans="1:17" s="471" customFormat="1" ht="15.75" thickBot="1">
      <c r="A72" s="553"/>
      <c r="B72" s="543"/>
      <c r="C72" s="560"/>
      <c r="D72" s="536"/>
      <c r="E72" s="536"/>
      <c r="F72" s="536"/>
      <c r="G72" s="536"/>
      <c r="H72" s="536"/>
      <c r="I72" s="536"/>
      <c r="J72" s="536"/>
      <c r="K72" s="536"/>
      <c r="L72" s="536"/>
      <c r="M72" s="537"/>
      <c r="N72" s="1153"/>
      <c r="O72" s="1153"/>
      <c r="P72" s="2677"/>
      <c r="Q72" s="559"/>
    </row>
    <row r="73" spans="1:17" s="471" customFormat="1" ht="15.75" thickTop="1">
      <c r="A73" s="553"/>
      <c r="B73" s="538">
        <f>B13</f>
        <v>111</v>
      </c>
      <c r="C73" s="554"/>
      <c r="D73" s="554"/>
      <c r="E73" s="554"/>
      <c r="F73" s="554"/>
      <c r="G73" s="554"/>
      <c r="H73" s="555"/>
      <c r="I73" s="555"/>
      <c r="J73" s="555"/>
      <c r="K73" s="555"/>
      <c r="L73" s="556"/>
      <c r="M73" s="557"/>
      <c r="N73" s="1154"/>
      <c r="O73" s="1154"/>
      <c r="P73" s="2678"/>
      <c r="Q73" s="561"/>
    </row>
    <row r="74" spans="1:17" s="471" customFormat="1" ht="15.75" thickBot="1">
      <c r="A74" s="553"/>
      <c r="B74" s="543"/>
      <c r="C74" s="560"/>
      <c r="D74" s="560"/>
      <c r="E74" s="560"/>
      <c r="F74" s="560"/>
      <c r="G74" s="560"/>
      <c r="H74" s="562"/>
      <c r="I74" s="562"/>
      <c r="J74" s="562"/>
      <c r="K74" s="562"/>
      <c r="L74" s="562"/>
      <c r="M74" s="563"/>
      <c r="N74" s="1154"/>
      <c r="O74" s="1154"/>
      <c r="P74" s="2677"/>
      <c r="Q74" s="559"/>
    </row>
    <row r="75" spans="1:17" s="471" customFormat="1" ht="15.75" thickTop="1">
      <c r="A75" s="553"/>
      <c r="B75" s="546">
        <f>B14</f>
        <v>111</v>
      </c>
      <c r="C75" s="523"/>
      <c r="D75" s="523"/>
      <c r="E75" s="523"/>
      <c r="F75" s="523"/>
      <c r="G75" s="523"/>
      <c r="H75" s="564"/>
      <c r="I75" s="564"/>
      <c r="J75" s="564"/>
      <c r="K75" s="564"/>
      <c r="L75" s="565"/>
      <c r="M75" s="566"/>
      <c r="N75" s="1154"/>
      <c r="O75" s="1154"/>
      <c r="P75" s="2679"/>
      <c r="Q75" s="559"/>
    </row>
    <row r="76" spans="1:17" s="471" customFormat="1" ht="15.75" thickBot="1">
      <c r="A76" s="568"/>
      <c r="B76" s="569"/>
      <c r="C76" s="570"/>
      <c r="D76" s="570"/>
      <c r="E76" s="570"/>
      <c r="F76" s="570"/>
      <c r="G76" s="570"/>
      <c r="H76" s="571"/>
      <c r="I76" s="571"/>
      <c r="J76" s="571"/>
      <c r="K76" s="571"/>
      <c r="L76" s="571"/>
      <c r="M76" s="572"/>
      <c r="N76" s="1154"/>
      <c r="O76" s="1154"/>
      <c r="P76" s="267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6"/>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7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6"/>
      <c r="Q86" s="504"/>
    </row>
    <row r="87" spans="1:17" s="117" customFormat="1" ht="27.75" thickTop="1">
      <c r="A87" s="579"/>
      <c r="B87" s="538" t="s">
        <v>2698</v>
      </c>
      <c r="C87" s="554"/>
      <c r="D87" s="554"/>
      <c r="E87" s="554"/>
      <c r="F87" s="554"/>
      <c r="G87" s="554"/>
      <c r="H87" s="554"/>
      <c r="I87" s="554"/>
      <c r="J87" s="554"/>
      <c r="K87" s="554"/>
      <c r="L87" s="580"/>
      <c r="M87" s="581"/>
      <c r="N87" s="1151"/>
      <c r="O87" s="1151"/>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6"/>
      <c r="Q88" s="504"/>
    </row>
    <row r="89" spans="1:17" s="117" customFormat="1" ht="15.75" thickTop="1">
      <c r="A89" s="579"/>
      <c r="B89" s="538" t="str">
        <f>B27</f>
        <v>楼层</v>
      </c>
      <c r="C89" s="554"/>
      <c r="D89" s="554"/>
      <c r="E89" s="554"/>
      <c r="F89" s="2627"/>
      <c r="G89" s="554"/>
      <c r="H89" s="554"/>
      <c r="I89" s="554"/>
      <c r="J89" s="554"/>
      <c r="K89" s="554"/>
      <c r="L89" s="554"/>
      <c r="M89" s="581"/>
      <c r="N89" s="1151"/>
      <c r="O89" s="1151"/>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7"/>
      <c r="Q92" s="559"/>
    </row>
    <row r="93" spans="1:17" ht="15.75" thickTop="1">
      <c r="A93" s="534"/>
      <c r="B93" s="538">
        <f>B29</f>
        <v>111</v>
      </c>
      <c r="C93" s="554"/>
      <c r="D93" s="554"/>
      <c r="E93" s="554"/>
      <c r="F93" s="554"/>
      <c r="G93" s="554"/>
      <c r="H93" s="554"/>
      <c r="I93" s="554"/>
      <c r="J93" s="554"/>
      <c r="K93" s="554"/>
      <c r="L93" s="580"/>
      <c r="M93" s="581"/>
      <c r="N93" s="1152"/>
      <c r="O93" s="1152"/>
      <c r="P93" s="2676"/>
      <c r="Q93" s="504"/>
    </row>
    <row r="94" spans="1:17" ht="15.75" thickBot="1">
      <c r="A94" s="534"/>
      <c r="B94" s="543"/>
      <c r="C94" s="560"/>
      <c r="D94" s="536"/>
      <c r="E94" s="536"/>
      <c r="F94" s="536"/>
      <c r="G94" s="536"/>
      <c r="H94" s="536"/>
      <c r="I94" s="536"/>
      <c r="J94" s="536"/>
      <c r="K94" s="536"/>
      <c r="L94" s="536"/>
      <c r="M94" s="537"/>
      <c r="N94" s="1153"/>
      <c r="O94" s="1153"/>
      <c r="P94" s="2676"/>
      <c r="Q94" s="504"/>
    </row>
    <row r="95" spans="1:17" ht="15.75" thickTop="1">
      <c r="A95" s="534"/>
      <c r="B95" s="538">
        <f>B30</f>
        <v>111</v>
      </c>
      <c r="C95" s="554"/>
      <c r="D95" s="554"/>
      <c r="E95" s="554"/>
      <c r="F95" s="554"/>
      <c r="G95" s="583"/>
      <c r="H95" s="583"/>
      <c r="I95" s="583"/>
      <c r="J95" s="583"/>
      <c r="K95" s="584"/>
      <c r="L95" s="585"/>
      <c r="M95" s="586"/>
      <c r="N95" s="1152"/>
      <c r="O95" s="1152"/>
      <c r="P95" s="2676"/>
      <c r="Q95" s="504"/>
    </row>
    <row r="96" spans="1:17" ht="15.75" thickBot="1">
      <c r="A96" s="534"/>
      <c r="B96" s="543"/>
      <c r="C96" s="560"/>
      <c r="D96" s="560"/>
      <c r="E96" s="560"/>
      <c r="F96" s="560"/>
      <c r="G96" s="536"/>
      <c r="H96" s="536"/>
      <c r="I96" s="536"/>
      <c r="J96" s="536"/>
      <c r="K96" s="536"/>
      <c r="L96" s="536"/>
      <c r="M96" s="537"/>
      <c r="N96" s="1153"/>
      <c r="O96" s="1153"/>
      <c r="P96" s="2676"/>
      <c r="Q96" s="504"/>
    </row>
    <row r="97" spans="1:17" ht="15.75" thickTop="1">
      <c r="A97" s="534"/>
      <c r="B97" s="538">
        <f>B31</f>
        <v>111</v>
      </c>
      <c r="C97" s="554"/>
      <c r="D97" s="554"/>
      <c r="E97" s="554"/>
      <c r="F97" s="554"/>
      <c r="G97" s="583"/>
      <c r="H97" s="583"/>
      <c r="I97" s="583"/>
      <c r="J97" s="583"/>
      <c r="K97" s="584"/>
      <c r="L97" s="585"/>
      <c r="M97" s="586"/>
      <c r="N97" s="1152"/>
      <c r="O97" s="1152"/>
      <c r="P97" s="2676"/>
      <c r="Q97" s="504"/>
    </row>
    <row r="98" spans="1:17" ht="15.75" thickBot="1">
      <c r="A98" s="534"/>
      <c r="B98" s="543"/>
      <c r="C98" s="560"/>
      <c r="D98" s="536"/>
      <c r="E98" s="536"/>
      <c r="F98" s="536"/>
      <c r="G98" s="536"/>
      <c r="H98" s="536"/>
      <c r="I98" s="536"/>
      <c r="J98" s="536"/>
      <c r="K98" s="536"/>
      <c r="L98" s="536"/>
      <c r="M98" s="537"/>
      <c r="N98" s="1153"/>
      <c r="O98" s="1153"/>
      <c r="P98" s="2676"/>
      <c r="Q98" s="504"/>
    </row>
    <row r="99" spans="1:17" ht="15.75" thickTop="1">
      <c r="A99" s="534"/>
      <c r="B99" s="546">
        <f>B32</f>
        <v>111</v>
      </c>
      <c r="C99" s="523"/>
      <c r="D99" s="523"/>
      <c r="E99" s="523"/>
      <c r="F99" s="523"/>
      <c r="G99" s="587"/>
      <c r="H99" s="587"/>
      <c r="I99" s="587"/>
      <c r="J99" s="587"/>
      <c r="K99" s="588"/>
      <c r="L99" s="589"/>
      <c r="M99" s="590"/>
      <c r="N99" s="1152"/>
      <c r="O99" s="1152"/>
      <c r="P99" s="2676"/>
      <c r="Q99" s="504"/>
    </row>
    <row r="100" spans="1:17" ht="15.75" thickBot="1">
      <c r="A100" s="2628"/>
      <c r="B100" s="569"/>
      <c r="C100" s="570"/>
      <c r="D100" s="570"/>
      <c r="E100" s="570"/>
      <c r="F100" s="570"/>
      <c r="G100" s="591"/>
      <c r="H100" s="591"/>
      <c r="I100" s="591"/>
      <c r="J100" s="591"/>
      <c r="K100" s="591"/>
      <c r="L100" s="591"/>
      <c r="M100" s="592"/>
      <c r="N100" s="1153"/>
      <c r="O100" s="1153"/>
      <c r="P100" s="2676"/>
      <c r="Q100" s="504"/>
    </row>
    <row r="101" spans="1:17">
      <c r="A101" s="527" t="s">
        <v>2562</v>
      </c>
      <c r="B101" s="528" t="s">
        <v>2611</v>
      </c>
      <c r="C101" s="530"/>
      <c r="D101" s="530"/>
      <c r="E101" s="530"/>
      <c r="F101" s="530"/>
      <c r="G101" s="530"/>
      <c r="H101" s="530"/>
      <c r="I101" s="530"/>
      <c r="J101" s="530"/>
      <c r="K101" s="531"/>
      <c r="L101" s="532"/>
      <c r="M101" s="533"/>
      <c r="N101" s="1152"/>
      <c r="O101" s="1152"/>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6"/>
      <c r="Q103" s="504"/>
    </row>
    <row r="104" spans="1:17" s="471" customFormat="1">
      <c r="A104" s="593"/>
      <c r="B104" s="594"/>
      <c r="C104" s="595"/>
      <c r="D104" s="595"/>
      <c r="E104" s="595"/>
      <c r="F104" s="595"/>
      <c r="G104" s="595"/>
      <c r="H104" s="595"/>
      <c r="I104" s="595"/>
      <c r="J104" s="596"/>
      <c r="K104" s="596"/>
      <c r="L104" s="597"/>
      <c r="M104" s="598"/>
      <c r="N104" s="1154"/>
      <c r="O104" s="1154"/>
      <c r="P104" s="267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7"/>
      <c r="Q105" s="559"/>
    </row>
    <row r="106" spans="1:17" ht="15" thickTop="1">
      <c r="A106" s="599"/>
      <c r="B106" s="538" t="s">
        <v>2613</v>
      </c>
      <c r="C106" s="554"/>
      <c r="D106" s="554"/>
      <c r="E106" s="583"/>
      <c r="F106" s="583"/>
      <c r="G106" s="583"/>
      <c r="H106" s="583"/>
      <c r="I106" s="583"/>
      <c r="J106" s="583"/>
      <c r="K106" s="584"/>
      <c r="L106" s="585"/>
      <c r="M106" s="586"/>
      <c r="N106" s="1152"/>
      <c r="O106" s="1152"/>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6"/>
      <c r="Q107" s="504"/>
    </row>
    <row r="108" spans="1:17" ht="15" thickTop="1">
      <c r="A108" s="599"/>
      <c r="B108" s="538" t="s">
        <v>2615</v>
      </c>
      <c r="C108" s="554"/>
      <c r="D108" s="554"/>
      <c r="E108" s="554"/>
      <c r="F108" s="583"/>
      <c r="G108" s="583"/>
      <c r="H108" s="583"/>
      <c r="I108" s="583"/>
      <c r="J108" s="583"/>
      <c r="K108" s="584"/>
      <c r="L108" s="585"/>
      <c r="M108" s="586"/>
      <c r="N108" s="1152"/>
      <c r="O108" s="1152"/>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6"/>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7"/>
      <c r="Q114" s="559"/>
    </row>
    <row r="115" spans="1:17" ht="15" thickTop="1">
      <c r="A115" s="599"/>
      <c r="B115" s="538" t="s">
        <v>2616</v>
      </c>
      <c r="C115" s="554"/>
      <c r="D115" s="554"/>
      <c r="E115" s="583"/>
      <c r="F115" s="583"/>
      <c r="G115" s="583"/>
      <c r="H115" s="583"/>
      <c r="I115" s="583"/>
      <c r="J115" s="583"/>
      <c r="K115" s="584"/>
      <c r="L115" s="585"/>
      <c r="M115" s="586"/>
      <c r="N115" s="1152"/>
      <c r="O115" s="1152"/>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6"/>
      <c r="Q116" s="504"/>
    </row>
    <row r="117" spans="1:17" ht="15" thickTop="1">
      <c r="A117" s="599"/>
      <c r="B117" s="538" t="s">
        <v>2617</v>
      </c>
      <c r="C117" s="554"/>
      <c r="D117" s="554"/>
      <c r="E117" s="554"/>
      <c r="F117" s="554"/>
      <c r="G117" s="554"/>
      <c r="H117" s="583"/>
      <c r="I117" s="583"/>
      <c r="J117" s="583"/>
      <c r="K117" s="584"/>
      <c r="L117" s="585"/>
      <c r="M117" s="586"/>
      <c r="N117" s="1152"/>
      <c r="O117" s="1152"/>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6"/>
      <c r="Q118" s="504"/>
    </row>
    <row r="119" spans="1:17" ht="15" thickTop="1">
      <c r="A119" s="599"/>
      <c r="B119" s="636" t="s">
        <v>2700</v>
      </c>
      <c r="C119" s="583"/>
      <c r="D119" s="583"/>
      <c r="E119" s="583"/>
      <c r="F119" s="583"/>
      <c r="G119" s="583"/>
      <c r="H119" s="583"/>
      <c r="I119" s="583"/>
      <c r="J119" s="583"/>
      <c r="K119" s="583"/>
      <c r="L119" s="2681"/>
      <c r="M119" s="2682"/>
      <c r="N119" s="1153"/>
      <c r="O119" s="1153"/>
      <c r="P119" s="268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6"/>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7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7"/>
      <c r="Q122" s="559"/>
    </row>
    <row r="123" spans="1:17" ht="15" thickTop="1">
      <c r="A123" s="599"/>
      <c r="B123" s="538" t="s">
        <v>2619</v>
      </c>
      <c r="C123" s="554"/>
      <c r="D123" s="554"/>
      <c r="E123" s="554"/>
      <c r="F123" s="583"/>
      <c r="G123" s="583"/>
      <c r="H123" s="583"/>
      <c r="I123" s="583"/>
      <c r="J123" s="583"/>
      <c r="K123" s="584"/>
      <c r="L123" s="585"/>
      <c r="M123" s="586"/>
      <c r="N123" s="1152"/>
      <c r="O123" s="1152"/>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7"/>
      <c r="Q128" s="559"/>
    </row>
    <row r="129" spans="1:17" ht="15" thickTop="1">
      <c r="A129" s="599"/>
      <c r="B129" s="538">
        <f>B46</f>
        <v>111</v>
      </c>
      <c r="C129" s="554"/>
      <c r="D129" s="554"/>
      <c r="E129" s="554"/>
      <c r="F129" s="554"/>
      <c r="G129" s="583"/>
      <c r="H129" s="583"/>
      <c r="I129" s="583"/>
      <c r="J129" s="583"/>
      <c r="K129" s="584"/>
      <c r="L129" s="585"/>
      <c r="M129" s="586"/>
      <c r="N129" s="1152"/>
      <c r="O129" s="1152"/>
      <c r="P129" s="2676"/>
      <c r="Q129" s="504"/>
    </row>
    <row r="130" spans="1:17" ht="15.75" thickBot="1">
      <c r="A130" s="534"/>
      <c r="B130" s="543"/>
      <c r="C130" s="560"/>
      <c r="D130" s="560"/>
      <c r="E130" s="560"/>
      <c r="F130" s="560"/>
      <c r="G130" s="536"/>
      <c r="H130" s="536"/>
      <c r="I130" s="536"/>
      <c r="J130" s="536"/>
      <c r="K130" s="536"/>
      <c r="L130" s="536"/>
      <c r="M130" s="537"/>
      <c r="N130" s="1153"/>
      <c r="O130" s="1153"/>
      <c r="P130" s="2676"/>
      <c r="Q130" s="504"/>
    </row>
    <row r="131" spans="1:17" ht="15" thickTop="1">
      <c r="A131" s="599"/>
      <c r="B131" s="546">
        <f>B47</f>
        <v>111</v>
      </c>
      <c r="C131" s="523"/>
      <c r="D131" s="523"/>
      <c r="E131" s="523"/>
      <c r="F131" s="523"/>
      <c r="G131" s="587"/>
      <c r="H131" s="587"/>
      <c r="I131" s="587"/>
      <c r="J131" s="587"/>
      <c r="K131" s="523"/>
      <c r="L131" s="524"/>
      <c r="M131" s="590"/>
      <c r="N131" s="1152"/>
      <c r="O131" s="1152"/>
      <c r="P131" s="2676"/>
      <c r="Q131" s="504"/>
    </row>
    <row r="132" spans="1:17" ht="15.75" thickBot="1">
      <c r="A132" s="2628"/>
      <c r="B132" s="569"/>
      <c r="C132" s="570"/>
      <c r="D132" s="570"/>
      <c r="E132" s="570"/>
      <c r="F132" s="570"/>
      <c r="G132" s="591"/>
      <c r="H132" s="591"/>
      <c r="I132" s="591"/>
      <c r="J132" s="591"/>
      <c r="K132" s="591"/>
      <c r="L132" s="591"/>
      <c r="M132" s="592"/>
      <c r="N132" s="1153"/>
      <c r="O132" s="1153"/>
      <c r="P132" s="267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受贵公司委托，我公司对北京市房地产抵押价值进行了预评估。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估价对象为北京市房地产，为所有。根据《国有土地使用证》[]，估价对象（分摊）出让国有建设用地使用权面积为377.51平方米，建筑面积为232.53平方米。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估价对象为北京市房地产,属开发建设的，该项目尚在开发建设中。根据《国有土地使用证》[]，估价对象（分摊）出让国有建设用地使用权面积为377.51平方米，规划建筑面积为232.53平方米。</v>
      </c>
    </row>
    <row r="11" spans="1:1" ht="76.5">
      <c r="A11" s="1942" t="s">
        <v>1610</v>
      </c>
    </row>
    <row r="12" spans="1:1" ht="18.75">
      <c r="A12" s="1940" t="s">
        <v>1611</v>
      </c>
    </row>
    <row r="13" spans="1:1" ht="38.25" customHeight="1">
      <c r="A13" s="19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2020年7月20日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20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本次评估采用的主估价方法为比较法和成本法。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1" t="s">
        <v>2701</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0"/>
      <c r="D2" s="1124"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232.53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1" t="s">
        <v>2645</v>
      </c>
      <c r="D4" s="3172"/>
      <c r="E4" s="3173" t="s">
        <v>2646</v>
      </c>
      <c r="F4" s="3174"/>
      <c r="G4" s="3171" t="s">
        <v>2647</v>
      </c>
      <c r="H4" s="3172"/>
      <c r="I4" s="3171" t="s">
        <v>2648</v>
      </c>
      <c r="J4" s="3172"/>
      <c r="K4" s="610" t="s">
        <v>2649</v>
      </c>
      <c r="L4" s="1130"/>
      <c r="M4" s="1131"/>
      <c r="N4" s="1131"/>
      <c r="O4" s="1131"/>
      <c r="P4" s="3175" t="s">
        <v>2650</v>
      </c>
      <c r="Q4" s="3176"/>
      <c r="R4" s="3181" t="s">
        <v>2646</v>
      </c>
      <c r="S4" s="3182"/>
      <c r="T4" s="3181" t="s">
        <v>2647</v>
      </c>
      <c r="U4" s="3182"/>
      <c r="V4" s="3187" t="s">
        <v>2648</v>
      </c>
      <c r="W4" s="3187"/>
      <c r="X4" s="1805"/>
      <c r="Y4" s="3181" t="s">
        <v>2650</v>
      </c>
      <c r="Z4" s="3182"/>
      <c r="AA4" s="3168" t="s">
        <v>2646</v>
      </c>
      <c r="AB4" s="3169" t="s">
        <v>2647</v>
      </c>
      <c r="AC4" s="3168" t="s">
        <v>2648</v>
      </c>
    </row>
    <row r="5" spans="1:29" ht="15">
      <c r="A5" s="404"/>
      <c r="B5" s="405"/>
      <c r="C5" s="3190" t="s">
        <v>2541</v>
      </c>
      <c r="D5" s="3191"/>
      <c r="E5" s="3197" t="s">
        <v>2542</v>
      </c>
      <c r="F5" s="3198"/>
      <c r="G5" s="3190" t="s">
        <v>2543</v>
      </c>
      <c r="H5" s="3191"/>
      <c r="I5" s="3190" t="s">
        <v>2544</v>
      </c>
      <c r="J5" s="3191"/>
      <c r="K5" s="610"/>
      <c r="L5" s="1130"/>
      <c r="M5" s="1131"/>
      <c r="N5" s="1131"/>
      <c r="O5" s="1131"/>
      <c r="P5" s="3177"/>
      <c r="Q5" s="3178"/>
      <c r="R5" s="3183"/>
      <c r="S5" s="3184"/>
      <c r="T5" s="3183"/>
      <c r="U5" s="3184"/>
      <c r="V5" s="3187"/>
      <c r="W5" s="3187"/>
      <c r="X5" s="1805"/>
      <c r="Y5" s="3183"/>
      <c r="Z5" s="3184"/>
      <c r="AA5" s="3169"/>
      <c r="AB5" s="3169"/>
      <c r="AC5" s="3169"/>
    </row>
    <row r="6" spans="1:29" ht="15.75" thickBot="1">
      <c r="A6" s="406"/>
      <c r="B6" s="407"/>
      <c r="C6" s="3188" t="s">
        <v>2545</v>
      </c>
      <c r="D6" s="3189"/>
      <c r="E6" s="3195" t="s">
        <v>2545</v>
      </c>
      <c r="F6" s="3196"/>
      <c r="G6" s="3188" t="s">
        <v>2545</v>
      </c>
      <c r="H6" s="3189"/>
      <c r="I6" s="3188" t="s">
        <v>2545</v>
      </c>
      <c r="J6" s="3189"/>
      <c r="K6" s="610" t="s">
        <v>2546</v>
      </c>
      <c r="L6" s="1130"/>
      <c r="M6" s="1131"/>
      <c r="N6" s="1131"/>
      <c r="O6" s="1131"/>
      <c r="P6" s="3179"/>
      <c r="Q6" s="3180"/>
      <c r="R6" s="3183"/>
      <c r="S6" s="3184"/>
      <c r="T6" s="3185"/>
      <c r="U6" s="3186"/>
      <c r="V6" s="3187"/>
      <c r="W6" s="3187"/>
      <c r="X6" s="1805"/>
      <c r="Y6" s="3185"/>
      <c r="Z6" s="3186"/>
      <c r="AA6" s="3170"/>
      <c r="AB6" s="3170"/>
      <c r="AC6" s="3170"/>
    </row>
    <row r="7" spans="1:29" s="117" customFormat="1" ht="15.75" thickBot="1">
      <c r="A7" s="408" t="s">
        <v>2547</v>
      </c>
      <c r="B7" s="409"/>
      <c r="C7" s="410">
        <f>'数据-取费表'!B2</f>
        <v>44032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2" t="s">
        <v>2548</v>
      </c>
      <c r="Q7" s="3194"/>
      <c r="R7" s="770" t="s">
        <v>17</v>
      </c>
      <c r="S7" s="771">
        <f t="shared" ref="S7:S15" si="0">F7</f>
        <v>0</v>
      </c>
      <c r="T7" s="770" t="s">
        <v>17</v>
      </c>
      <c r="U7" s="771">
        <f t="shared" ref="U7:U15" si="1">H7</f>
        <v>0</v>
      </c>
      <c r="V7" s="770" t="s">
        <v>17</v>
      </c>
      <c r="W7" s="771">
        <f t="shared" ref="W7:W15" si="2">J7</f>
        <v>0</v>
      </c>
      <c r="X7" s="772"/>
      <c r="Y7" s="3192" t="s">
        <v>2548</v>
      </c>
      <c r="Z7" s="3193"/>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2" t="s">
        <v>2551</v>
      </c>
      <c r="Q8" s="3193"/>
      <c r="R8" s="770" t="s">
        <v>17</v>
      </c>
      <c r="S8" s="771">
        <f t="shared" si="0"/>
        <v>0</v>
      </c>
      <c r="T8" s="770" t="s">
        <v>17</v>
      </c>
      <c r="U8" s="771">
        <f t="shared" si="1"/>
        <v>0</v>
      </c>
      <c r="V8" s="770" t="s">
        <v>17</v>
      </c>
      <c r="W8" s="771">
        <f t="shared" si="2"/>
        <v>0</v>
      </c>
      <c r="X8" s="772"/>
      <c r="Y8" s="3192" t="s">
        <v>2551</v>
      </c>
      <c r="Z8" s="3193"/>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6" t="s">
        <v>2554</v>
      </c>
      <c r="Q9" s="1787"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6"/>
      <c r="Q10" s="178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6"/>
      <c r="Q11" s="178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4"/>
      <c r="H12" s="136">
        <f>SUMIF(64:64,G12,65:65)-SUMIF(64:64,C12,65:65)+100</f>
        <v>100</v>
      </c>
      <c r="I12" s="469"/>
      <c r="J12" s="136">
        <f>SUMIF(64:64,I12,65:65)-SUMIF(64:64,C12,65:65)+100</f>
        <v>100</v>
      </c>
      <c r="K12" s="613"/>
      <c r="L12" s="1132"/>
      <c r="M12" s="1133"/>
      <c r="N12" s="1133"/>
      <c r="O12" s="1134"/>
      <c r="P12" s="3156"/>
      <c r="Q12" s="178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4"/>
      <c r="H13" s="435">
        <f>SUMIF(66:66,G13,67:67)-SUMIF(66:66,C13,67:67)+100</f>
        <v>100</v>
      </c>
      <c r="I13" s="469"/>
      <c r="J13" s="435">
        <f>SUMIF(66:66,I13,67:67)-SUMIF(66:66,C13,67:67)+100</f>
        <v>100</v>
      </c>
      <c r="K13" s="613"/>
      <c r="L13" s="1140"/>
      <c r="M13" s="1131"/>
      <c r="N13" s="1131"/>
      <c r="O13" s="1139"/>
      <c r="P13" s="3156"/>
      <c r="Q13" s="178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4"/>
      <c r="H14" s="438">
        <f>SUMIF(68:68,G14,69:69)-SUMIF(68:68,C14,69:69)+100</f>
        <v>100</v>
      </c>
      <c r="I14" s="469"/>
      <c r="J14" s="438">
        <f>SUMIF(68:68,I14,69:69)-SUMIF(68:68,C14,69:69)+100</f>
        <v>100</v>
      </c>
      <c r="K14" s="613"/>
      <c r="L14" s="1140"/>
      <c r="M14" s="1131"/>
      <c r="N14" s="1131"/>
      <c r="O14" s="1139"/>
      <c r="P14" s="3156"/>
      <c r="Q14" s="178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2558</v>
      </c>
      <c r="B15" s="69" t="s">
        <v>2702</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58" t="s">
        <v>2559</v>
      </c>
      <c r="Q15" s="1802" t="str">
        <f t="shared" si="6"/>
        <v>产业集聚程度</v>
      </c>
      <c r="R15" s="774" t="s">
        <v>17</v>
      </c>
      <c r="S15" s="775">
        <f t="shared" si="0"/>
        <v>100</v>
      </c>
      <c r="T15" s="774" t="s">
        <v>17</v>
      </c>
      <c r="U15" s="775">
        <f t="shared" si="1"/>
        <v>100</v>
      </c>
      <c r="V15" s="774" t="s">
        <v>17</v>
      </c>
      <c r="W15" s="775">
        <f t="shared" si="2"/>
        <v>100</v>
      </c>
      <c r="X15" s="1805"/>
      <c r="Y15" s="3158" t="s">
        <v>2559</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159"/>
      <c r="Q16" s="1802"/>
      <c r="R16" s="774"/>
      <c r="S16" s="775"/>
      <c r="T16" s="774"/>
      <c r="U16" s="775"/>
      <c r="V16" s="774"/>
      <c r="W16" s="775"/>
      <c r="X16" s="1805"/>
      <c r="Y16" s="3159"/>
      <c r="Z16" s="1806"/>
      <c r="AA16" s="1803">
        <v>1</v>
      </c>
      <c r="AB16" s="1803">
        <v>1</v>
      </c>
      <c r="AC16" s="1803">
        <v>1</v>
      </c>
    </row>
    <row r="17" spans="1:29" ht="85.5">
      <c r="A17" s="428"/>
      <c r="B17" s="451" t="s">
        <v>2095</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59"/>
      <c r="Q17" s="1802" t="str">
        <f>B17</f>
        <v>交通便捷度</v>
      </c>
      <c r="R17" s="774" t="s">
        <v>17</v>
      </c>
      <c r="S17" s="775">
        <f>F17</f>
        <v>100</v>
      </c>
      <c r="T17" s="774" t="s">
        <v>17</v>
      </c>
      <c r="U17" s="775">
        <f>H17</f>
        <v>100</v>
      </c>
      <c r="V17" s="774" t="s">
        <v>17</v>
      </c>
      <c r="W17" s="775">
        <f>J17</f>
        <v>100</v>
      </c>
      <c r="X17" s="1805"/>
      <c r="Y17" s="3159"/>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159"/>
      <c r="Q18" s="1802"/>
      <c r="R18" s="774"/>
      <c r="S18" s="775"/>
      <c r="T18" s="774"/>
      <c r="U18" s="775"/>
      <c r="V18" s="774"/>
      <c r="W18" s="775"/>
      <c r="X18" s="1805"/>
      <c r="Y18" s="3159"/>
      <c r="Z18" s="1806"/>
      <c r="AA18" s="1803">
        <v>1</v>
      </c>
      <c r="AB18" s="1803">
        <v>1</v>
      </c>
      <c r="AC18" s="1803">
        <v>1</v>
      </c>
    </row>
    <row r="19" spans="1:29" ht="42.75">
      <c r="A19" s="428"/>
      <c r="B19" s="451" t="s">
        <v>2687</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59"/>
      <c r="Q19" s="1802" t="str">
        <f>B19</f>
        <v>公共配套设施</v>
      </c>
      <c r="R19" s="774" t="s">
        <v>17</v>
      </c>
      <c r="S19" s="775">
        <f>F19</f>
        <v>100</v>
      </c>
      <c r="T19" s="774" t="s">
        <v>17</v>
      </c>
      <c r="U19" s="775">
        <f>H19</f>
        <v>100</v>
      </c>
      <c r="V19" s="774" t="s">
        <v>17</v>
      </c>
      <c r="W19" s="775">
        <f>J19</f>
        <v>100</v>
      </c>
      <c r="X19" s="1805"/>
      <c r="Y19" s="3159"/>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159"/>
      <c r="Q20" s="1802"/>
      <c r="R20" s="774"/>
      <c r="S20" s="775"/>
      <c r="T20" s="774"/>
      <c r="U20" s="775"/>
      <c r="V20" s="774"/>
      <c r="W20" s="775"/>
      <c r="X20" s="1805"/>
      <c r="Y20" s="3159"/>
      <c r="Z20" s="1806"/>
      <c r="AA20" s="1803">
        <v>1</v>
      </c>
      <c r="AB20" s="1803">
        <v>1</v>
      </c>
      <c r="AC20" s="1803">
        <v>1</v>
      </c>
    </row>
    <row r="21" spans="1:29" ht="28.5">
      <c r="A21" s="428"/>
      <c r="B21" s="1384" t="s">
        <v>2688</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59"/>
      <c r="Q21" s="1802" t="str">
        <f>B21</f>
        <v>基础设施水平</v>
      </c>
      <c r="R21" s="774" t="s">
        <v>17</v>
      </c>
      <c r="S21" s="775">
        <f>F21</f>
        <v>100</v>
      </c>
      <c r="T21" s="774" t="s">
        <v>17</v>
      </c>
      <c r="U21" s="775">
        <f>H21</f>
        <v>100</v>
      </c>
      <c r="V21" s="774" t="s">
        <v>17</v>
      </c>
      <c r="W21" s="775">
        <f>J21</f>
        <v>100</v>
      </c>
      <c r="X21" s="1805"/>
      <c r="Y21" s="3159"/>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159"/>
      <c r="Q22" s="1802"/>
      <c r="R22" s="774"/>
      <c r="S22" s="775"/>
      <c r="T22" s="774"/>
      <c r="U22" s="775"/>
      <c r="V22" s="774"/>
      <c r="W22" s="775"/>
      <c r="X22" s="1805"/>
      <c r="Y22" s="3159"/>
      <c r="Z22" s="1806"/>
      <c r="AA22" s="1803">
        <v>1</v>
      </c>
      <c r="AB22" s="1803">
        <v>1</v>
      </c>
      <c r="AC22" s="1803">
        <v>1</v>
      </c>
    </row>
    <row r="23" spans="1:29" ht="71.25">
      <c r="A23" s="428"/>
      <c r="B23" s="451" t="s">
        <v>2689</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59"/>
      <c r="Q23" s="1802" t="str">
        <f>B23</f>
        <v>环境质量</v>
      </c>
      <c r="R23" s="774" t="s">
        <v>17</v>
      </c>
      <c r="S23" s="775">
        <f>F23</f>
        <v>100</v>
      </c>
      <c r="T23" s="774" t="s">
        <v>17</v>
      </c>
      <c r="U23" s="775">
        <f>H23</f>
        <v>100</v>
      </c>
      <c r="V23" s="774" t="s">
        <v>17</v>
      </c>
      <c r="W23" s="775">
        <f>J23</f>
        <v>100</v>
      </c>
      <c r="X23" s="1805"/>
      <c r="Y23" s="3159"/>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159"/>
      <c r="Q24" s="1802"/>
      <c r="R24" s="774"/>
      <c r="S24" s="775"/>
      <c r="T24" s="774"/>
      <c r="U24" s="775"/>
      <c r="V24" s="774"/>
      <c r="W24" s="775"/>
      <c r="X24" s="1805"/>
      <c r="Y24" s="3159"/>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59"/>
      <c r="Q25" s="1802">
        <f>B25</f>
        <v>111</v>
      </c>
      <c r="R25" s="774" t="s">
        <v>17</v>
      </c>
      <c r="S25" s="775">
        <f>F25</f>
        <v>100</v>
      </c>
      <c r="T25" s="774" t="s">
        <v>17</v>
      </c>
      <c r="U25" s="775">
        <f>H25</f>
        <v>100</v>
      </c>
      <c r="V25" s="774" t="s">
        <v>17</v>
      </c>
      <c r="W25" s="775">
        <f>J25</f>
        <v>100</v>
      </c>
      <c r="X25" s="1805"/>
      <c r="Y25" s="3159"/>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59"/>
      <c r="Q26" s="1802">
        <f t="shared" ref="Q26:Q40" si="11">B26</f>
        <v>111</v>
      </c>
      <c r="R26" s="774" t="s">
        <v>17</v>
      </c>
      <c r="S26" s="775">
        <f>F26</f>
        <v>100</v>
      </c>
      <c r="T26" s="774" t="s">
        <v>17</v>
      </c>
      <c r="U26" s="775">
        <f>H26</f>
        <v>100</v>
      </c>
      <c r="V26" s="774" t="s">
        <v>17</v>
      </c>
      <c r="W26" s="775">
        <f>J26</f>
        <v>100</v>
      </c>
      <c r="X26" s="1805"/>
      <c r="Y26" s="3159"/>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59"/>
      <c r="Q27" s="1787">
        <f t="shared" si="11"/>
        <v>111</v>
      </c>
      <c r="R27" s="770" t="s">
        <v>17</v>
      </c>
      <c r="S27" s="771">
        <f>F27</f>
        <v>100</v>
      </c>
      <c r="T27" s="770" t="s">
        <v>17</v>
      </c>
      <c r="U27" s="771">
        <f>H27</f>
        <v>100</v>
      </c>
      <c r="V27" s="770" t="s">
        <v>17</v>
      </c>
      <c r="W27" s="771">
        <f>J27</f>
        <v>100</v>
      </c>
      <c r="X27" s="772"/>
      <c r="Y27" s="3159"/>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59"/>
      <c r="Q28" s="1802">
        <f t="shared" si="11"/>
        <v>111</v>
      </c>
      <c r="R28" s="774" t="s">
        <v>17</v>
      </c>
      <c r="S28" s="775">
        <f t="shared" ref="S28:S40" si="12">F28</f>
        <v>100</v>
      </c>
      <c r="T28" s="774" t="s">
        <v>17</v>
      </c>
      <c r="U28" s="775">
        <f t="shared" ref="U28:U40" si="13">H28</f>
        <v>100</v>
      </c>
      <c r="V28" s="774" t="s">
        <v>17</v>
      </c>
      <c r="W28" s="775">
        <f t="shared" ref="W28:W40" si="14">J28</f>
        <v>100</v>
      </c>
      <c r="X28" s="1805"/>
      <c r="Y28" s="3159"/>
      <c r="Z28" s="1806">
        <f t="shared" ref="Z28:Z40" si="15">Q28</f>
        <v>111</v>
      </c>
      <c r="AA28" s="1803">
        <f t="shared" si="3"/>
        <v>1</v>
      </c>
      <c r="AB28" s="1803">
        <f t="shared" si="4"/>
        <v>1</v>
      </c>
      <c r="AC28" s="1803">
        <f t="shared" si="5"/>
        <v>1</v>
      </c>
    </row>
    <row r="29" spans="1:29" ht="28.5">
      <c r="A29" s="466" t="s">
        <v>2562</v>
      </c>
      <c r="B29" s="71" t="s">
        <v>2692</v>
      </c>
      <c r="C29" s="2671"/>
      <c r="D29" s="467">
        <v>100</v>
      </c>
      <c r="E29" s="2671"/>
      <c r="F29" s="461">
        <f>SUMIF(88:88,E29,89:89)-SUMIF(88:88,C29,89:89)+100</f>
        <v>100</v>
      </c>
      <c r="G29" s="2671"/>
      <c r="H29" s="435">
        <f>SUMIF(88:88,G29,89:89)-SUMIF(88:88,C29,89:89)+100</f>
        <v>100</v>
      </c>
      <c r="I29" s="2671"/>
      <c r="J29" s="467">
        <f>SUMIF(88:88,I29,89:89)-SUMIF(88:88,C29,89:89)+100</f>
        <v>100</v>
      </c>
      <c r="K29" s="612"/>
      <c r="L29" s="1140"/>
      <c r="M29" s="1131"/>
      <c r="N29" s="1131"/>
      <c r="O29" s="1139"/>
      <c r="P29" s="3244" t="s">
        <v>2564</v>
      </c>
      <c r="Q29" s="1802" t="str">
        <f t="shared" si="11"/>
        <v>建筑类型</v>
      </c>
      <c r="R29" s="774" t="s">
        <v>17</v>
      </c>
      <c r="S29" s="775">
        <f t="shared" si="12"/>
        <v>100</v>
      </c>
      <c r="T29" s="774" t="s">
        <v>17</v>
      </c>
      <c r="U29" s="775">
        <f t="shared" si="13"/>
        <v>100</v>
      </c>
      <c r="V29" s="774" t="s">
        <v>17</v>
      </c>
      <c r="W29" s="775">
        <f t="shared" si="14"/>
        <v>100</v>
      </c>
      <c r="X29" s="1805"/>
      <c r="Y29" s="3163" t="s">
        <v>2564</v>
      </c>
      <c r="Z29" s="1806" t="str">
        <f t="shared" si="15"/>
        <v>建筑类型</v>
      </c>
      <c r="AA29" s="1803">
        <f t="shared" si="3"/>
        <v>1</v>
      </c>
      <c r="AB29" s="1803">
        <f t="shared" si="4"/>
        <v>1</v>
      </c>
      <c r="AC29" s="180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63"/>
      <c r="Q30" s="776" t="str">
        <f t="shared" si="11"/>
        <v>项目建筑规模</v>
      </c>
      <c r="R30" s="777" t="s">
        <v>17</v>
      </c>
      <c r="S30" s="778" t="e">
        <f t="shared" si="12"/>
        <v>#N/A</v>
      </c>
      <c r="T30" s="777" t="s">
        <v>17</v>
      </c>
      <c r="U30" s="778" t="e">
        <f t="shared" si="13"/>
        <v>#N/A</v>
      </c>
      <c r="V30" s="777" t="s">
        <v>17</v>
      </c>
      <c r="W30" s="778" t="e">
        <f t="shared" si="14"/>
        <v>#N/A</v>
      </c>
      <c r="X30" s="779"/>
      <c r="Y30" s="3163"/>
      <c r="Z30" s="780" t="str">
        <f t="shared" si="15"/>
        <v>项目建筑规模</v>
      </c>
      <c r="AA30" s="1803" t="e">
        <f t="shared" si="3"/>
        <v>#N/A</v>
      </c>
      <c r="AB30" s="1803" t="e">
        <f t="shared" si="4"/>
        <v>#N/A</v>
      </c>
      <c r="AC30" s="180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63"/>
      <c r="Q31" s="1802" t="str">
        <f t="shared" si="11"/>
        <v>建筑结构</v>
      </c>
      <c r="R31" s="774" t="s">
        <v>17</v>
      </c>
      <c r="S31" s="775">
        <f t="shared" si="12"/>
        <v>100</v>
      </c>
      <c r="T31" s="774" t="s">
        <v>17</v>
      </c>
      <c r="U31" s="775">
        <f t="shared" si="13"/>
        <v>100</v>
      </c>
      <c r="V31" s="774" t="s">
        <v>17</v>
      </c>
      <c r="W31" s="775">
        <f t="shared" si="14"/>
        <v>100</v>
      </c>
      <c r="X31" s="1805"/>
      <c r="Y31" s="3163"/>
      <c r="Z31" s="1806" t="str">
        <f t="shared" si="15"/>
        <v>建筑结构</v>
      </c>
      <c r="AA31" s="1803">
        <f t="shared" si="3"/>
        <v>1</v>
      </c>
      <c r="AB31" s="1803">
        <f t="shared" si="4"/>
        <v>1</v>
      </c>
      <c r="AC31" s="180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63"/>
      <c r="Q32" s="1802" t="str">
        <f t="shared" si="11"/>
        <v>公共部分装修</v>
      </c>
      <c r="R32" s="774" t="s">
        <v>17</v>
      </c>
      <c r="S32" s="775">
        <f t="shared" si="12"/>
        <v>100</v>
      </c>
      <c r="T32" s="774" t="s">
        <v>17</v>
      </c>
      <c r="U32" s="775">
        <f t="shared" si="13"/>
        <v>100</v>
      </c>
      <c r="V32" s="774" t="s">
        <v>17</v>
      </c>
      <c r="W32" s="775">
        <f t="shared" si="14"/>
        <v>100</v>
      </c>
      <c r="X32" s="1805"/>
      <c r="Y32" s="3163"/>
      <c r="Z32" s="1806" t="str">
        <f t="shared" si="15"/>
        <v>公共部分装修</v>
      </c>
      <c r="AA32" s="1803">
        <f t="shared" si="3"/>
        <v>1</v>
      </c>
      <c r="AB32" s="1803">
        <f t="shared" si="4"/>
        <v>1</v>
      </c>
      <c r="AC32" s="180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63"/>
      <c r="Q33" s="1802" t="str">
        <f t="shared" si="11"/>
        <v>成新度</v>
      </c>
      <c r="R33" s="774" t="s">
        <v>17</v>
      </c>
      <c r="S33" s="775" t="e">
        <f t="shared" si="12"/>
        <v>#N/A</v>
      </c>
      <c r="T33" s="774" t="s">
        <v>17</v>
      </c>
      <c r="U33" s="775" t="e">
        <f t="shared" si="13"/>
        <v>#N/A</v>
      </c>
      <c r="V33" s="774" t="s">
        <v>17</v>
      </c>
      <c r="W33" s="775" t="e">
        <f t="shared" si="14"/>
        <v>#N/A</v>
      </c>
      <c r="X33" s="1805"/>
      <c r="Y33" s="3163"/>
      <c r="Z33" s="1806" t="str">
        <f t="shared" si="15"/>
        <v>成新度</v>
      </c>
      <c r="AA33" s="1803" t="e">
        <f t="shared" si="3"/>
        <v>#N/A</v>
      </c>
      <c r="AB33" s="1803" t="e">
        <f t="shared" si="4"/>
        <v>#N/A</v>
      </c>
      <c r="AC33" s="180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63"/>
      <c r="Q34" s="1787" t="str">
        <f t="shared" si="11"/>
        <v>物业管理</v>
      </c>
      <c r="R34" s="770" t="s">
        <v>17</v>
      </c>
      <c r="S34" s="771">
        <f t="shared" si="12"/>
        <v>100</v>
      </c>
      <c r="T34" s="770" t="s">
        <v>17</v>
      </c>
      <c r="U34" s="771">
        <f t="shared" si="13"/>
        <v>100</v>
      </c>
      <c r="V34" s="770" t="s">
        <v>17</v>
      </c>
      <c r="W34" s="771">
        <f t="shared" si="14"/>
        <v>100</v>
      </c>
      <c r="X34" s="772"/>
      <c r="Y34" s="316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63" t="s">
        <v>2564</v>
      </c>
      <c r="Q35" s="1802" t="str">
        <f t="shared" si="11"/>
        <v>市政基础设施</v>
      </c>
      <c r="R35" s="774" t="s">
        <v>17</v>
      </c>
      <c r="S35" s="775">
        <f t="shared" si="12"/>
        <v>100</v>
      </c>
      <c r="T35" s="774" t="s">
        <v>17</v>
      </c>
      <c r="U35" s="775">
        <f t="shared" si="13"/>
        <v>100</v>
      </c>
      <c r="V35" s="774" t="s">
        <v>17</v>
      </c>
      <c r="W35" s="775">
        <f t="shared" si="14"/>
        <v>100</v>
      </c>
      <c r="X35" s="1805"/>
      <c r="Y35" s="3163" t="s">
        <v>2564</v>
      </c>
      <c r="Z35" s="1806" t="str">
        <f t="shared" si="15"/>
        <v>市政基础设施</v>
      </c>
      <c r="AA35" s="1803">
        <f t="shared" si="3"/>
        <v>1</v>
      </c>
      <c r="AB35" s="1803">
        <f t="shared" si="4"/>
        <v>1</v>
      </c>
      <c r="AC35" s="180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63"/>
      <c r="Q36" s="1802" t="str">
        <f t="shared" si="11"/>
        <v>内部装修</v>
      </c>
      <c r="R36" s="774" t="s">
        <v>17</v>
      </c>
      <c r="S36" s="775">
        <f t="shared" si="12"/>
        <v>100</v>
      </c>
      <c r="T36" s="774" t="s">
        <v>17</v>
      </c>
      <c r="U36" s="775">
        <f t="shared" si="13"/>
        <v>100</v>
      </c>
      <c r="V36" s="774" t="s">
        <v>17</v>
      </c>
      <c r="W36" s="775">
        <f t="shared" si="14"/>
        <v>100</v>
      </c>
      <c r="X36" s="1805"/>
      <c r="Y36" s="3163"/>
      <c r="Z36" s="1806" t="str">
        <f t="shared" si="15"/>
        <v>内部装修</v>
      </c>
      <c r="AA36" s="1803">
        <f t="shared" si="3"/>
        <v>1</v>
      </c>
      <c r="AB36" s="1803">
        <f t="shared" si="4"/>
        <v>1</v>
      </c>
      <c r="AC36" s="180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63"/>
      <c r="Q37" s="1802" t="str">
        <f t="shared" si="11"/>
        <v>内部装修状况</v>
      </c>
      <c r="R37" s="774" t="s">
        <v>17</v>
      </c>
      <c r="S37" s="775">
        <f t="shared" si="12"/>
        <v>100</v>
      </c>
      <c r="T37" s="774" t="s">
        <v>17</v>
      </c>
      <c r="U37" s="775">
        <f t="shared" si="13"/>
        <v>100</v>
      </c>
      <c r="V37" s="774" t="s">
        <v>17</v>
      </c>
      <c r="W37" s="775">
        <f t="shared" si="14"/>
        <v>100</v>
      </c>
      <c r="X37" s="1805"/>
      <c r="Y37" s="3163"/>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63"/>
      <c r="Q38" s="776">
        <f t="shared" si="11"/>
        <v>111</v>
      </c>
      <c r="R38" s="777" t="s">
        <v>17</v>
      </c>
      <c r="S38" s="778">
        <f t="shared" si="12"/>
        <v>100</v>
      </c>
      <c r="T38" s="777" t="s">
        <v>17</v>
      </c>
      <c r="U38" s="778">
        <f t="shared" si="13"/>
        <v>100</v>
      </c>
      <c r="V38" s="777" t="s">
        <v>17</v>
      </c>
      <c r="W38" s="778">
        <f t="shared" si="14"/>
        <v>100</v>
      </c>
      <c r="X38" s="779"/>
      <c r="Y38" s="3163"/>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63"/>
      <c r="Q39" s="1802">
        <f t="shared" si="11"/>
        <v>111</v>
      </c>
      <c r="R39" s="774" t="s">
        <v>17</v>
      </c>
      <c r="S39" s="775">
        <f t="shared" si="12"/>
        <v>100</v>
      </c>
      <c r="T39" s="774" t="s">
        <v>17</v>
      </c>
      <c r="U39" s="775">
        <f t="shared" si="13"/>
        <v>100</v>
      </c>
      <c r="V39" s="774" t="s">
        <v>17</v>
      </c>
      <c r="W39" s="775">
        <f t="shared" si="14"/>
        <v>100</v>
      </c>
      <c r="X39" s="1805"/>
      <c r="Y39" s="3163"/>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64"/>
      <c r="Q40" s="1802">
        <f t="shared" si="11"/>
        <v>111</v>
      </c>
      <c r="R40" s="774" t="s">
        <v>17</v>
      </c>
      <c r="S40" s="775">
        <f t="shared" si="12"/>
        <v>100</v>
      </c>
      <c r="T40" s="774" t="s">
        <v>17</v>
      </c>
      <c r="U40" s="775">
        <f t="shared" si="13"/>
        <v>100</v>
      </c>
      <c r="V40" s="774" t="s">
        <v>17</v>
      </c>
      <c r="W40" s="775">
        <f t="shared" si="14"/>
        <v>100</v>
      </c>
      <c r="X40" s="1805"/>
      <c r="Y40" s="3164"/>
      <c r="Z40" s="1806">
        <f t="shared" si="15"/>
        <v>111</v>
      </c>
      <c r="AA40" s="1803">
        <f t="shared" si="3"/>
        <v>1</v>
      </c>
      <c r="AB40" s="1803">
        <f t="shared" si="4"/>
        <v>1</v>
      </c>
      <c r="AC40" s="1803">
        <f t="shared" si="5"/>
        <v>1</v>
      </c>
    </row>
    <row r="41" spans="1:29" ht="15">
      <c r="A41" s="479" t="s">
        <v>2576</v>
      </c>
      <c r="B41" s="480"/>
      <c r="C41" s="1407" t="s">
        <v>1</v>
      </c>
      <c r="D41" s="1408"/>
      <c r="E41" s="1409"/>
      <c r="F41" s="1410"/>
      <c r="G41" s="1411"/>
      <c r="H41" s="1412"/>
      <c r="I41" s="1409"/>
      <c r="J41" s="1412"/>
      <c r="K41" s="783"/>
      <c r="L41" s="1143"/>
      <c r="M41" s="1144"/>
      <c r="N41" s="1131"/>
      <c r="O41" s="1144"/>
      <c r="P41" s="3156" t="str">
        <f>A41</f>
        <v>成交单价（元/平方米）</v>
      </c>
      <c r="Q41" s="3156"/>
      <c r="R41" s="3157">
        <f>E41</f>
        <v>0</v>
      </c>
      <c r="S41" s="3157"/>
      <c r="T41" s="3157">
        <f>G41</f>
        <v>0</v>
      </c>
      <c r="U41" s="3157"/>
      <c r="V41" s="3157">
        <f>I41</f>
        <v>0</v>
      </c>
      <c r="W41" s="3157"/>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56" t="str">
        <f>A42</f>
        <v>比较价值（元/平方米）</v>
      </c>
      <c r="Q42" s="3156"/>
      <c r="R42" s="3157" t="e">
        <f>IF(F1="售价",ROUND(PRODUCT(R41,AA7:AA40),0),ROUND(PRODUCT(R41,AA7:AA40),1))</f>
        <v>#DIV/0!</v>
      </c>
      <c r="S42" s="3157"/>
      <c r="T42" s="3157" t="e">
        <f>IF(F1="售价",ROUND(PRODUCT(T41,AB7:AB40),0),ROUND(PRODUCT(T41,AB7:AB40),1))</f>
        <v>#DIV/0!</v>
      </c>
      <c r="U42" s="3157"/>
      <c r="V42" s="3157" t="e">
        <f>IF(F1="售价",ROUND(PRODUCT(V41,AC7:AC40),0),ROUND(PRODUCT(V41,AC7:AC40),1))</f>
        <v>#DIV/0!</v>
      </c>
      <c r="W42" s="3157"/>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53" t="str">
        <f>A43</f>
        <v>估价对象XX用房的比较价值（楼面单价，元/平方米）</v>
      </c>
      <c r="Q43" s="3154"/>
      <c r="R43" s="3155" t="e">
        <f>IF(F1="售价",ROUND(AVERAGE(R42:V42),0),ROUND(AVERAGE(R42:V42),1))</f>
        <v>#DIV/0!</v>
      </c>
      <c r="S43" s="3155"/>
      <c r="T43" s="3155"/>
      <c r="U43" s="3155"/>
      <c r="V43" s="3155"/>
      <c r="W43" s="315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2020-7</v>
      </c>
      <c r="D52" s="1575">
        <f>EDATE(C52,-1)</f>
        <v>43983</v>
      </c>
      <c r="E52" s="1575">
        <f t="shared" ref="E52:O52" si="16">EDATE(D52,-1)</f>
        <v>43952</v>
      </c>
      <c r="F52" s="1575">
        <f t="shared" si="16"/>
        <v>43922</v>
      </c>
      <c r="G52" s="1575">
        <f t="shared" si="16"/>
        <v>43891</v>
      </c>
      <c r="H52" s="1575">
        <f t="shared" si="16"/>
        <v>43862</v>
      </c>
      <c r="I52" s="1575">
        <f t="shared" si="16"/>
        <v>43831</v>
      </c>
      <c r="J52" s="1575">
        <f t="shared" si="16"/>
        <v>43800</v>
      </c>
      <c r="K52" s="1575">
        <f t="shared" si="16"/>
        <v>43770</v>
      </c>
      <c r="L52" s="1575">
        <f t="shared" si="16"/>
        <v>43739</v>
      </c>
      <c r="M52" s="1575">
        <f t="shared" si="16"/>
        <v>43709</v>
      </c>
      <c r="N52" s="1575">
        <f t="shared" si="16"/>
        <v>43678</v>
      </c>
      <c r="O52" s="1575">
        <f t="shared" si="16"/>
        <v>43647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78"/>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71" t="s">
        <v>2645</v>
      </c>
      <c r="D4" s="3172"/>
      <c r="E4" s="3173" t="s">
        <v>2646</v>
      </c>
      <c r="F4" s="3174"/>
      <c r="G4" s="3171" t="s">
        <v>2647</v>
      </c>
      <c r="H4" s="3172"/>
      <c r="I4" s="3171" t="s">
        <v>2648</v>
      </c>
      <c r="J4" s="3172"/>
      <c r="K4" s="610" t="s">
        <v>2649</v>
      </c>
      <c r="L4" s="1130"/>
      <c r="M4" s="1131"/>
      <c r="N4" s="1131"/>
      <c r="O4" s="1131"/>
      <c r="P4" s="3175" t="s">
        <v>2650</v>
      </c>
      <c r="Q4" s="3176"/>
      <c r="R4" s="3181" t="s">
        <v>2646</v>
      </c>
      <c r="S4" s="3182"/>
      <c r="T4" s="3181" t="s">
        <v>2647</v>
      </c>
      <c r="U4" s="3182"/>
      <c r="V4" s="3187" t="s">
        <v>2648</v>
      </c>
      <c r="W4" s="3187"/>
      <c r="X4" s="1805"/>
      <c r="Y4" s="3181" t="s">
        <v>2650</v>
      </c>
      <c r="Z4" s="3182"/>
      <c r="AA4" s="3168" t="s">
        <v>2646</v>
      </c>
      <c r="AB4" s="3169" t="s">
        <v>2647</v>
      </c>
      <c r="AC4" s="3168" t="s">
        <v>2648</v>
      </c>
    </row>
    <row r="5" spans="1:29" ht="15">
      <c r="A5" s="404"/>
      <c r="B5" s="405"/>
      <c r="C5" s="3190" t="s">
        <v>2541</v>
      </c>
      <c r="D5" s="3191"/>
      <c r="E5" s="3197" t="s">
        <v>2542</v>
      </c>
      <c r="F5" s="3198"/>
      <c r="G5" s="3190" t="s">
        <v>2543</v>
      </c>
      <c r="H5" s="3191"/>
      <c r="I5" s="3190" t="s">
        <v>2544</v>
      </c>
      <c r="J5" s="3191"/>
      <c r="K5" s="610"/>
      <c r="L5" s="1130"/>
      <c r="M5" s="1131"/>
      <c r="N5" s="1131"/>
      <c r="O5" s="1131"/>
      <c r="P5" s="3177"/>
      <c r="Q5" s="3178"/>
      <c r="R5" s="3183"/>
      <c r="S5" s="3184"/>
      <c r="T5" s="3183"/>
      <c r="U5" s="3184"/>
      <c r="V5" s="3187"/>
      <c r="W5" s="3187"/>
      <c r="X5" s="1805"/>
      <c r="Y5" s="3183"/>
      <c r="Z5" s="3184"/>
      <c r="AA5" s="3169"/>
      <c r="AB5" s="3169"/>
      <c r="AC5" s="3169"/>
    </row>
    <row r="6" spans="1:29" ht="15.75" thickBot="1">
      <c r="A6" s="406"/>
      <c r="B6" s="407"/>
      <c r="C6" s="3188" t="s">
        <v>2545</v>
      </c>
      <c r="D6" s="3189"/>
      <c r="E6" s="3195" t="s">
        <v>2545</v>
      </c>
      <c r="F6" s="3196"/>
      <c r="G6" s="3188" t="s">
        <v>2545</v>
      </c>
      <c r="H6" s="3189"/>
      <c r="I6" s="3188" t="s">
        <v>2545</v>
      </c>
      <c r="J6" s="3189"/>
      <c r="K6" s="610" t="s">
        <v>2546</v>
      </c>
      <c r="L6" s="1130"/>
      <c r="M6" s="1131"/>
      <c r="N6" s="1131"/>
      <c r="O6" s="1131"/>
      <c r="P6" s="3179"/>
      <c r="Q6" s="3180"/>
      <c r="R6" s="3183"/>
      <c r="S6" s="3184"/>
      <c r="T6" s="3185"/>
      <c r="U6" s="3186"/>
      <c r="V6" s="3187"/>
      <c r="W6" s="3187"/>
      <c r="X6" s="1805"/>
      <c r="Y6" s="3185"/>
      <c r="Z6" s="3186"/>
      <c r="AA6" s="3170"/>
      <c r="AB6" s="3170"/>
      <c r="AC6" s="3170"/>
    </row>
    <row r="7" spans="1:29" s="117" customFormat="1" ht="15.75" thickBot="1">
      <c r="A7" s="408" t="s">
        <v>2547</v>
      </c>
      <c r="B7" s="409"/>
      <c r="C7" s="410">
        <f>'数据-取费表'!B2</f>
        <v>44032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2" t="s">
        <v>2548</v>
      </c>
      <c r="Q7" s="3194"/>
      <c r="R7" s="770" t="s">
        <v>17</v>
      </c>
      <c r="S7" s="771">
        <f t="shared" ref="S7:S14" si="0">F7</f>
        <v>0</v>
      </c>
      <c r="T7" s="770" t="s">
        <v>17</v>
      </c>
      <c r="U7" s="771">
        <f t="shared" ref="U7:U14" si="1">H7</f>
        <v>0</v>
      </c>
      <c r="V7" s="770" t="s">
        <v>17</v>
      </c>
      <c r="W7" s="771">
        <f t="shared" ref="W7:W14" si="2">J7</f>
        <v>0</v>
      </c>
      <c r="X7" s="772"/>
      <c r="Y7" s="3192" t="s">
        <v>2548</v>
      </c>
      <c r="Z7" s="3193"/>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2" t="s">
        <v>2551</v>
      </c>
      <c r="Q8" s="3193"/>
      <c r="R8" s="770" t="s">
        <v>17</v>
      </c>
      <c r="S8" s="771">
        <f t="shared" si="0"/>
        <v>0</v>
      </c>
      <c r="T8" s="770" t="s">
        <v>17</v>
      </c>
      <c r="U8" s="771">
        <f t="shared" si="1"/>
        <v>0</v>
      </c>
      <c r="V8" s="770" t="s">
        <v>17</v>
      </c>
      <c r="W8" s="771">
        <f t="shared" si="2"/>
        <v>0</v>
      </c>
      <c r="X8" s="772"/>
      <c r="Y8" s="3192" t="s">
        <v>2551</v>
      </c>
      <c r="Z8" s="3193"/>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6" t="s">
        <v>2554</v>
      </c>
      <c r="Q9" s="1787" t="str">
        <f t="shared" ref="Q9:Q14" si="6">B9</f>
        <v>用途</v>
      </c>
      <c r="R9" s="770" t="s">
        <v>17</v>
      </c>
      <c r="S9" s="771">
        <f t="shared" si="0"/>
        <v>100</v>
      </c>
      <c r="T9" s="770" t="s">
        <v>17</v>
      </c>
      <c r="U9" s="771">
        <f t="shared" si="1"/>
        <v>100</v>
      </c>
      <c r="V9" s="770" t="s">
        <v>17</v>
      </c>
      <c r="W9" s="771">
        <f t="shared" si="2"/>
        <v>100</v>
      </c>
      <c r="X9" s="772"/>
      <c r="Y9" s="3009"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6"/>
      <c r="Q10" s="178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6"/>
      <c r="Q11" s="1787">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6"/>
      <c r="Q12" s="178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6"/>
      <c r="Q13" s="178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2558</v>
      </c>
      <c r="B14" s="629" t="s">
        <v>2708</v>
      </c>
      <c r="C14" s="268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58" t="s">
        <v>2559</v>
      </c>
      <c r="Q14" s="1802" t="str">
        <f t="shared" si="6"/>
        <v>交通便捷度</v>
      </c>
      <c r="R14" s="774" t="s">
        <v>17</v>
      </c>
      <c r="S14" s="775">
        <f t="shared" si="0"/>
        <v>100</v>
      </c>
      <c r="T14" s="774" t="s">
        <v>17</v>
      </c>
      <c r="U14" s="775">
        <f t="shared" si="1"/>
        <v>100</v>
      </c>
      <c r="V14" s="774" t="s">
        <v>17</v>
      </c>
      <c r="W14" s="775">
        <f t="shared" si="2"/>
        <v>100</v>
      </c>
      <c r="X14" s="1805"/>
      <c r="Y14" s="3158" t="s">
        <v>2559</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159"/>
      <c r="Q15" s="1802"/>
      <c r="R15" s="774"/>
      <c r="S15" s="775"/>
      <c r="T15" s="774"/>
      <c r="U15" s="775"/>
      <c r="V15" s="774"/>
      <c r="W15" s="775"/>
      <c r="X15" s="1805"/>
      <c r="Y15" s="3159"/>
      <c r="Z15" s="1806"/>
      <c r="AA15" s="1803">
        <v>1</v>
      </c>
      <c r="AB15" s="1803">
        <v>1</v>
      </c>
      <c r="AC15" s="1803">
        <v>1</v>
      </c>
    </row>
    <row r="16" spans="1:29" ht="42.75">
      <c r="A16" s="404"/>
      <c r="B16" s="631" t="s">
        <v>2687</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59"/>
      <c r="Q16" s="1802" t="str">
        <f>B16</f>
        <v>公共配套设施</v>
      </c>
      <c r="R16" s="774" t="s">
        <v>17</v>
      </c>
      <c r="S16" s="775">
        <f>F16</f>
        <v>100</v>
      </c>
      <c r="T16" s="774" t="s">
        <v>17</v>
      </c>
      <c r="U16" s="775">
        <f>H16</f>
        <v>100</v>
      </c>
      <c r="V16" s="774" t="s">
        <v>17</v>
      </c>
      <c r="W16" s="775">
        <f>J16</f>
        <v>100</v>
      </c>
      <c r="X16" s="1805"/>
      <c r="Y16" s="3159"/>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159"/>
      <c r="Q17" s="1802"/>
      <c r="R17" s="774"/>
      <c r="S17" s="775"/>
      <c r="T17" s="774"/>
      <c r="U17" s="775"/>
      <c r="V17" s="774"/>
      <c r="W17" s="775"/>
      <c r="X17" s="1805"/>
      <c r="Y17" s="3159"/>
      <c r="Z17" s="1806"/>
      <c r="AA17" s="1803">
        <v>1</v>
      </c>
      <c r="AB17" s="1803">
        <v>1</v>
      </c>
      <c r="AC17" s="1803">
        <v>1</v>
      </c>
    </row>
    <row r="18" spans="1:29" ht="28.5">
      <c r="A18" s="404"/>
      <c r="B18" s="633" t="s">
        <v>2688</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59"/>
      <c r="Q18" s="1802" t="str">
        <f>B18</f>
        <v>基础设施水平</v>
      </c>
      <c r="R18" s="774" t="s">
        <v>17</v>
      </c>
      <c r="S18" s="775">
        <f>F18</f>
        <v>100</v>
      </c>
      <c r="T18" s="774" t="s">
        <v>17</v>
      </c>
      <c r="U18" s="775">
        <f>H18</f>
        <v>100</v>
      </c>
      <c r="V18" s="774" t="s">
        <v>17</v>
      </c>
      <c r="W18" s="775">
        <f>J18</f>
        <v>100</v>
      </c>
      <c r="X18" s="1805"/>
      <c r="Y18" s="3159"/>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159"/>
      <c r="Q19" s="1802"/>
      <c r="R19" s="774"/>
      <c r="S19" s="775"/>
      <c r="T19" s="774"/>
      <c r="U19" s="775"/>
      <c r="V19" s="774"/>
      <c r="W19" s="775"/>
      <c r="X19" s="1805"/>
      <c r="Y19" s="3159"/>
      <c r="Z19" s="1806"/>
      <c r="AA19" s="1803">
        <v>1</v>
      </c>
      <c r="AB19" s="1803">
        <v>1</v>
      </c>
      <c r="AC19" s="1803">
        <v>1</v>
      </c>
    </row>
    <row r="20" spans="1:29" ht="57">
      <c r="A20" s="404"/>
      <c r="B20" s="631" t="s">
        <v>2709</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59"/>
      <c r="Q20" s="1802" t="str">
        <f>B20</f>
        <v>自然及人文环境</v>
      </c>
      <c r="R20" s="774" t="s">
        <v>17</v>
      </c>
      <c r="S20" s="775">
        <f>F20</f>
        <v>100</v>
      </c>
      <c r="T20" s="774" t="s">
        <v>17</v>
      </c>
      <c r="U20" s="775">
        <f>H20</f>
        <v>100</v>
      </c>
      <c r="V20" s="774" t="s">
        <v>17</v>
      </c>
      <c r="W20" s="775">
        <f>J20</f>
        <v>100</v>
      </c>
      <c r="X20" s="1805"/>
      <c r="Y20" s="3159"/>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159"/>
      <c r="Q21" s="1802"/>
      <c r="R21" s="774"/>
      <c r="S21" s="775"/>
      <c r="T21" s="774"/>
      <c r="U21" s="775"/>
      <c r="V21" s="774"/>
      <c r="W21" s="775"/>
      <c r="X21" s="1805"/>
      <c r="Y21" s="3159"/>
      <c r="Z21" s="1806"/>
      <c r="AA21" s="1803">
        <v>1</v>
      </c>
      <c r="AB21" s="1803">
        <v>1</v>
      </c>
      <c r="AC21" s="180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59"/>
      <c r="Q22" s="1802" t="str">
        <f>B22</f>
        <v>楼层</v>
      </c>
      <c r="R22" s="774" t="s">
        <v>17</v>
      </c>
      <c r="S22" s="775">
        <f>F22</f>
        <v>100</v>
      </c>
      <c r="T22" s="774" t="s">
        <v>17</v>
      </c>
      <c r="U22" s="775">
        <f>H22</f>
        <v>100</v>
      </c>
      <c r="V22" s="774" t="s">
        <v>17</v>
      </c>
      <c r="W22" s="775">
        <f>J22</f>
        <v>100</v>
      </c>
      <c r="X22" s="1805"/>
      <c r="Y22" s="3159"/>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59"/>
      <c r="Q23" s="1802">
        <f>B23</f>
        <v>111</v>
      </c>
      <c r="R23" s="774" t="s">
        <v>17</v>
      </c>
      <c r="S23" s="775">
        <f>F23</f>
        <v>100</v>
      </c>
      <c r="T23" s="774" t="s">
        <v>17</v>
      </c>
      <c r="U23" s="775">
        <f>H23</f>
        <v>100</v>
      </c>
      <c r="V23" s="774" t="s">
        <v>17</v>
      </c>
      <c r="W23" s="775">
        <f>J23</f>
        <v>100</v>
      </c>
      <c r="X23" s="1805"/>
      <c r="Y23" s="3159"/>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59"/>
      <c r="Q24" s="1802">
        <f t="shared" ref="Q24:Q36" si="11">B24</f>
        <v>111</v>
      </c>
      <c r="R24" s="774" t="s">
        <v>17</v>
      </c>
      <c r="S24" s="775">
        <f>F24</f>
        <v>100</v>
      </c>
      <c r="T24" s="774" t="s">
        <v>17</v>
      </c>
      <c r="U24" s="775">
        <f>H24</f>
        <v>100</v>
      </c>
      <c r="V24" s="774" t="s">
        <v>17</v>
      </c>
      <c r="W24" s="775">
        <f>J24</f>
        <v>100</v>
      </c>
      <c r="X24" s="1805"/>
      <c r="Y24" s="3159"/>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59"/>
      <c r="Q25" s="1787">
        <f t="shared" si="11"/>
        <v>111</v>
      </c>
      <c r="R25" s="770" t="s">
        <v>17</v>
      </c>
      <c r="S25" s="771">
        <f>F25</f>
        <v>100</v>
      </c>
      <c r="T25" s="770" t="s">
        <v>17</v>
      </c>
      <c r="U25" s="771">
        <f>H25</f>
        <v>100</v>
      </c>
      <c r="V25" s="770" t="s">
        <v>17</v>
      </c>
      <c r="W25" s="771">
        <f>J25</f>
        <v>100</v>
      </c>
      <c r="X25" s="772"/>
      <c r="Y25" s="3159"/>
      <c r="Z25" s="55">
        <f>Q25</f>
        <v>111</v>
      </c>
      <c r="AA25" s="1803">
        <f>D25/F25</f>
        <v>1</v>
      </c>
      <c r="AB25" s="1803">
        <f>D25/H25</f>
        <v>1</v>
      </c>
      <c r="AC25" s="1803">
        <f>D25/J25</f>
        <v>1</v>
      </c>
    </row>
    <row r="26" spans="1:29" ht="28.5">
      <c r="A26" s="652" t="s">
        <v>2562</v>
      </c>
      <c r="B26" s="70" t="s">
        <v>2711</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4" t="s">
        <v>2564</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163" t="s">
        <v>2564</v>
      </c>
      <c r="Z26" s="1806" t="str">
        <f t="shared" ref="Z26:Z36" si="15">Q26</f>
        <v>配套类型</v>
      </c>
      <c r="AA26" s="1803">
        <f t="shared" si="3"/>
        <v>1</v>
      </c>
      <c r="AB26" s="1803">
        <f t="shared" si="4"/>
        <v>1</v>
      </c>
      <c r="AC26" s="180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63"/>
      <c r="Q27" s="776" t="str">
        <f t="shared" si="11"/>
        <v>项目停车位配比</v>
      </c>
      <c r="R27" s="777" t="s">
        <v>17</v>
      </c>
      <c r="S27" s="778">
        <f t="shared" si="12"/>
        <v>100</v>
      </c>
      <c r="T27" s="777" t="s">
        <v>17</v>
      </c>
      <c r="U27" s="778">
        <f t="shared" si="13"/>
        <v>100</v>
      </c>
      <c r="V27" s="777" t="s">
        <v>17</v>
      </c>
      <c r="W27" s="778">
        <f t="shared" si="14"/>
        <v>100</v>
      </c>
      <c r="X27" s="779"/>
      <c r="Y27" s="3163"/>
      <c r="Z27" s="780" t="str">
        <f t="shared" si="15"/>
        <v>项目停车位配比</v>
      </c>
      <c r="AA27" s="1803">
        <f t="shared" si="3"/>
        <v>1</v>
      </c>
      <c r="AB27" s="1803">
        <f t="shared" si="4"/>
        <v>1</v>
      </c>
      <c r="AC27" s="180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63"/>
      <c r="Q28" s="1802" t="str">
        <f t="shared" si="11"/>
        <v>公共部分装修</v>
      </c>
      <c r="R28" s="774" t="s">
        <v>17</v>
      </c>
      <c r="S28" s="775">
        <f t="shared" si="12"/>
        <v>100</v>
      </c>
      <c r="T28" s="774" t="s">
        <v>17</v>
      </c>
      <c r="U28" s="775">
        <f t="shared" si="13"/>
        <v>100</v>
      </c>
      <c r="V28" s="774" t="s">
        <v>17</v>
      </c>
      <c r="W28" s="775">
        <f t="shared" si="14"/>
        <v>100</v>
      </c>
      <c r="X28" s="1805"/>
      <c r="Y28" s="3163"/>
      <c r="Z28" s="1806" t="str">
        <f t="shared" si="15"/>
        <v>公共部分装修</v>
      </c>
      <c r="AA28" s="1803">
        <f t="shared" si="3"/>
        <v>1</v>
      </c>
      <c r="AB28" s="1803">
        <f t="shared" si="4"/>
        <v>1</v>
      </c>
      <c r="AC28" s="180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63"/>
      <c r="Q29" s="1802" t="str">
        <f t="shared" si="11"/>
        <v>成新率</v>
      </c>
      <c r="R29" s="774" t="s">
        <v>17</v>
      </c>
      <c r="S29" s="775" t="e">
        <f t="shared" si="12"/>
        <v>#N/A</v>
      </c>
      <c r="T29" s="774" t="s">
        <v>17</v>
      </c>
      <c r="U29" s="775" t="e">
        <f t="shared" si="13"/>
        <v>#N/A</v>
      </c>
      <c r="V29" s="774" t="s">
        <v>17</v>
      </c>
      <c r="W29" s="775" t="e">
        <f t="shared" si="14"/>
        <v>#N/A</v>
      </c>
      <c r="X29" s="1805"/>
      <c r="Y29" s="3163"/>
      <c r="Z29" s="1806" t="str">
        <f t="shared" si="15"/>
        <v>成新率</v>
      </c>
      <c r="AA29" s="1803" t="e">
        <f t="shared" si="3"/>
        <v>#N/A</v>
      </c>
      <c r="AB29" s="1803" t="e">
        <f t="shared" si="4"/>
        <v>#N/A</v>
      </c>
      <c r="AC29" s="180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63"/>
      <c r="Q30" s="1802" t="str">
        <f t="shared" si="11"/>
        <v>物业等级</v>
      </c>
      <c r="R30" s="774" t="s">
        <v>17</v>
      </c>
      <c r="S30" s="775">
        <f t="shared" si="12"/>
        <v>100</v>
      </c>
      <c r="T30" s="774" t="s">
        <v>17</v>
      </c>
      <c r="U30" s="775">
        <f t="shared" si="13"/>
        <v>100</v>
      </c>
      <c r="V30" s="774" t="s">
        <v>17</v>
      </c>
      <c r="W30" s="775">
        <f t="shared" si="14"/>
        <v>100</v>
      </c>
      <c r="X30" s="1805"/>
      <c r="Y30" s="3163"/>
      <c r="Z30" s="1806" t="str">
        <f t="shared" si="15"/>
        <v>物业等级</v>
      </c>
      <c r="AA30" s="1803">
        <f t="shared" si="3"/>
        <v>1</v>
      </c>
      <c r="AB30" s="1803">
        <f t="shared" si="4"/>
        <v>1</v>
      </c>
      <c r="AC30" s="180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63"/>
      <c r="Q31" s="1787" t="str">
        <f t="shared" si="11"/>
        <v>停车位面积</v>
      </c>
      <c r="R31" s="770" t="s">
        <v>17</v>
      </c>
      <c r="S31" s="771" t="e">
        <f t="shared" si="12"/>
        <v>#N/A</v>
      </c>
      <c r="T31" s="770" t="s">
        <v>17</v>
      </c>
      <c r="U31" s="771" t="e">
        <f t="shared" si="13"/>
        <v>#N/A</v>
      </c>
      <c r="V31" s="770" t="s">
        <v>17</v>
      </c>
      <c r="W31" s="771" t="e">
        <f t="shared" si="14"/>
        <v>#N/A</v>
      </c>
      <c r="X31" s="772"/>
      <c r="Y31" s="316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63" t="s">
        <v>2564</v>
      </c>
      <c r="Q32" s="1802" t="str">
        <f t="shared" si="11"/>
        <v>车位类型</v>
      </c>
      <c r="R32" s="774" t="s">
        <v>17</v>
      </c>
      <c r="S32" s="775">
        <f t="shared" si="12"/>
        <v>100</v>
      </c>
      <c r="T32" s="774" t="s">
        <v>17</v>
      </c>
      <c r="U32" s="775">
        <f t="shared" si="13"/>
        <v>100</v>
      </c>
      <c r="V32" s="774" t="s">
        <v>17</v>
      </c>
      <c r="W32" s="775">
        <f t="shared" si="14"/>
        <v>100</v>
      </c>
      <c r="X32" s="1805"/>
      <c r="Y32" s="3163" t="s">
        <v>2564</v>
      </c>
      <c r="Z32" s="1806" t="str">
        <f t="shared" si="15"/>
        <v>车位类型</v>
      </c>
      <c r="AA32" s="1803">
        <f t="shared" si="3"/>
        <v>1</v>
      </c>
      <c r="AB32" s="1803">
        <f t="shared" si="4"/>
        <v>1</v>
      </c>
      <c r="AC32" s="180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63"/>
      <c r="Q33" s="1802" t="str">
        <f t="shared" si="11"/>
        <v>是否直接入户</v>
      </c>
      <c r="R33" s="774" t="s">
        <v>17</v>
      </c>
      <c r="S33" s="775">
        <f t="shared" si="12"/>
        <v>100</v>
      </c>
      <c r="T33" s="774" t="s">
        <v>17</v>
      </c>
      <c r="U33" s="775">
        <f t="shared" si="13"/>
        <v>100</v>
      </c>
      <c r="V33" s="774" t="s">
        <v>17</v>
      </c>
      <c r="W33" s="775">
        <f t="shared" si="14"/>
        <v>100</v>
      </c>
      <c r="X33" s="1805"/>
      <c r="Y33" s="3163"/>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63"/>
      <c r="Q34" s="1802">
        <f t="shared" si="11"/>
        <v>111</v>
      </c>
      <c r="R34" s="774" t="s">
        <v>17</v>
      </c>
      <c r="S34" s="775">
        <f t="shared" si="12"/>
        <v>100</v>
      </c>
      <c r="T34" s="774" t="s">
        <v>17</v>
      </c>
      <c r="U34" s="775">
        <f t="shared" si="13"/>
        <v>100</v>
      </c>
      <c r="V34" s="774" t="s">
        <v>17</v>
      </c>
      <c r="W34" s="775">
        <f t="shared" si="14"/>
        <v>100</v>
      </c>
      <c r="X34" s="1805"/>
      <c r="Y34" s="3163"/>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63"/>
      <c r="Q35" s="776">
        <f t="shared" si="11"/>
        <v>111</v>
      </c>
      <c r="R35" s="777" t="s">
        <v>17</v>
      </c>
      <c r="S35" s="778">
        <f t="shared" si="12"/>
        <v>100</v>
      </c>
      <c r="T35" s="777" t="s">
        <v>17</v>
      </c>
      <c r="U35" s="778">
        <f t="shared" si="13"/>
        <v>100</v>
      </c>
      <c r="V35" s="777" t="s">
        <v>17</v>
      </c>
      <c r="W35" s="778">
        <f t="shared" si="14"/>
        <v>100</v>
      </c>
      <c r="X35" s="779"/>
      <c r="Y35" s="3163"/>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63"/>
      <c r="Q36" s="1802">
        <f t="shared" si="11"/>
        <v>111</v>
      </c>
      <c r="R36" s="774" t="s">
        <v>17</v>
      </c>
      <c r="S36" s="775">
        <f t="shared" si="12"/>
        <v>100</v>
      </c>
      <c r="T36" s="774" t="s">
        <v>17</v>
      </c>
      <c r="U36" s="775">
        <f t="shared" si="13"/>
        <v>100</v>
      </c>
      <c r="V36" s="774" t="s">
        <v>17</v>
      </c>
      <c r="W36" s="775">
        <f t="shared" si="14"/>
        <v>100</v>
      </c>
      <c r="X36" s="1805"/>
      <c r="Y36" s="3163"/>
      <c r="Z36" s="1806">
        <f t="shared" si="15"/>
        <v>111</v>
      </c>
      <c r="AA36" s="1803">
        <f t="shared" si="3"/>
        <v>1</v>
      </c>
      <c r="AB36" s="1803">
        <f t="shared" si="4"/>
        <v>1</v>
      </c>
      <c r="AC36" s="1803">
        <f t="shared" si="5"/>
        <v>1</v>
      </c>
    </row>
    <row r="37" spans="1:29" ht="15">
      <c r="A37" s="479" t="s">
        <v>2719</v>
      </c>
      <c r="B37" s="2687" t="s">
        <v>2720</v>
      </c>
      <c r="C37" s="1407" t="s">
        <v>1</v>
      </c>
      <c r="D37" s="1408"/>
      <c r="E37" s="1409"/>
      <c r="F37" s="1410"/>
      <c r="G37" s="1411"/>
      <c r="H37" s="1412"/>
      <c r="I37" s="1409"/>
      <c r="J37" s="1412"/>
      <c r="K37" s="619"/>
      <c r="L37" s="1143"/>
      <c r="M37" s="1144"/>
      <c r="N37" s="1131"/>
      <c r="O37" s="1144"/>
      <c r="P37" s="3156" t="str">
        <f>A37</f>
        <v>成交单价</v>
      </c>
      <c r="Q37" s="3156"/>
      <c r="R37" s="3157">
        <f>E37</f>
        <v>0</v>
      </c>
      <c r="S37" s="3157"/>
      <c r="T37" s="3157">
        <f>G37</f>
        <v>0</v>
      </c>
      <c r="U37" s="3157"/>
      <c r="V37" s="3157">
        <f>I37</f>
        <v>0</v>
      </c>
      <c r="W37" s="3157"/>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6" t="str">
        <f>A38</f>
        <v>比较价值（元/平方米）</v>
      </c>
      <c r="Q38" s="3156"/>
      <c r="R38" s="3157" t="e">
        <f>IF(F1="售价",ROUND(PRODUCT(R37,AA7:AA36),0),ROUND(PRODUCT(R37,AA7:AA36),1))</f>
        <v>#DIV/0!</v>
      </c>
      <c r="S38" s="3157"/>
      <c r="T38" s="3157" t="e">
        <f>IF(F1="售价",ROUND(PRODUCT(T37,AB7:AB36),0),ROUND(PRODUCT(T37,AB7:AB36),1))</f>
        <v>#DIV/0!</v>
      </c>
      <c r="U38" s="3157"/>
      <c r="V38" s="3157" t="e">
        <f>IF(F1="售价",ROUND(PRODUCT(V37,AC7:AC36),0),ROUND(PRODUCT(V37,AC7:AC36),1))</f>
        <v>#DIV/0!</v>
      </c>
      <c r="W38" s="3157"/>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53" t="str">
        <f>A39</f>
        <v>估价对象XX用房的比较价值（楼面单价，元/平方米）</v>
      </c>
      <c r="Q39" s="3154"/>
      <c r="R39" s="3155" t="e">
        <f>IF(F1="售价",ROUND(AVERAGE(R38:V38),0),ROUND(AVERAGE(R38:V38),1))</f>
        <v>#DIV/0!</v>
      </c>
      <c r="S39" s="3155"/>
      <c r="T39" s="3155"/>
      <c r="U39" s="3155"/>
      <c r="V39" s="3155"/>
      <c r="W39" s="315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2020-7</v>
      </c>
      <c r="D48" s="1575">
        <f>EDATE(C48,-1)</f>
        <v>43983</v>
      </c>
      <c r="E48" s="1575">
        <f t="shared" ref="E48:O48" si="16">EDATE(D48,-1)</f>
        <v>43952</v>
      </c>
      <c r="F48" s="1575">
        <f t="shared" si="16"/>
        <v>43922</v>
      </c>
      <c r="G48" s="1575">
        <f t="shared" si="16"/>
        <v>43891</v>
      </c>
      <c r="H48" s="1575">
        <f t="shared" si="16"/>
        <v>43862</v>
      </c>
      <c r="I48" s="1575">
        <f t="shared" si="16"/>
        <v>43831</v>
      </c>
      <c r="J48" s="1575">
        <f t="shared" si="16"/>
        <v>43800</v>
      </c>
      <c r="K48" s="1575">
        <f t="shared" si="16"/>
        <v>43770</v>
      </c>
      <c r="L48" s="1575">
        <f t="shared" si="16"/>
        <v>43739</v>
      </c>
      <c r="M48" s="1575">
        <f t="shared" si="16"/>
        <v>43709</v>
      </c>
      <c r="N48" s="1575">
        <f t="shared" si="16"/>
        <v>43678</v>
      </c>
      <c r="O48" s="1575">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1" t="s">
        <v>2645</v>
      </c>
      <c r="D4" s="3172"/>
      <c r="E4" s="3173" t="s">
        <v>2646</v>
      </c>
      <c r="F4" s="3174"/>
      <c r="G4" s="3171" t="s">
        <v>2647</v>
      </c>
      <c r="H4" s="3172"/>
      <c r="I4" s="3171" t="s">
        <v>2648</v>
      </c>
      <c r="J4" s="3172"/>
      <c r="K4" s="610" t="s">
        <v>2649</v>
      </c>
      <c r="L4" s="1130"/>
      <c r="M4" s="1131"/>
      <c r="N4" s="1131"/>
      <c r="O4" s="1131"/>
      <c r="P4" s="3175" t="s">
        <v>2650</v>
      </c>
      <c r="Q4" s="3176"/>
      <c r="R4" s="3181" t="s">
        <v>2646</v>
      </c>
      <c r="S4" s="3182"/>
      <c r="T4" s="3181" t="s">
        <v>2647</v>
      </c>
      <c r="U4" s="3182"/>
      <c r="V4" s="3187" t="s">
        <v>2648</v>
      </c>
      <c r="W4" s="3187"/>
      <c r="X4" s="1805"/>
      <c r="Y4" s="3181" t="s">
        <v>2650</v>
      </c>
      <c r="Z4" s="3182"/>
      <c r="AA4" s="3168" t="s">
        <v>2646</v>
      </c>
      <c r="AB4" s="3169" t="s">
        <v>2647</v>
      </c>
      <c r="AC4" s="3168" t="s">
        <v>2648</v>
      </c>
    </row>
    <row r="5" spans="1:29" ht="15">
      <c r="A5" s="404"/>
      <c r="B5" s="405"/>
      <c r="C5" s="3190" t="s">
        <v>2541</v>
      </c>
      <c r="D5" s="3191"/>
      <c r="E5" s="3197" t="s">
        <v>2542</v>
      </c>
      <c r="F5" s="3198"/>
      <c r="G5" s="3190" t="s">
        <v>2543</v>
      </c>
      <c r="H5" s="3191"/>
      <c r="I5" s="3190" t="s">
        <v>2544</v>
      </c>
      <c r="J5" s="3191"/>
      <c r="K5" s="610"/>
      <c r="L5" s="1130"/>
      <c r="M5" s="1131"/>
      <c r="N5" s="1131"/>
      <c r="O5" s="1131"/>
      <c r="P5" s="3177"/>
      <c r="Q5" s="3178"/>
      <c r="R5" s="3183"/>
      <c r="S5" s="3184"/>
      <c r="T5" s="3183"/>
      <c r="U5" s="3184"/>
      <c r="V5" s="3187"/>
      <c r="W5" s="3187"/>
      <c r="X5" s="1805"/>
      <c r="Y5" s="3183"/>
      <c r="Z5" s="3184"/>
      <c r="AA5" s="3169"/>
      <c r="AB5" s="3169"/>
      <c r="AC5" s="3169"/>
    </row>
    <row r="6" spans="1:29" ht="15.75" thickBot="1">
      <c r="A6" s="406"/>
      <c r="B6" s="407"/>
      <c r="C6" s="3188" t="s">
        <v>2545</v>
      </c>
      <c r="D6" s="3189"/>
      <c r="E6" s="3195" t="s">
        <v>2545</v>
      </c>
      <c r="F6" s="3196"/>
      <c r="G6" s="3188" t="s">
        <v>2545</v>
      </c>
      <c r="H6" s="3189"/>
      <c r="I6" s="3188" t="s">
        <v>2545</v>
      </c>
      <c r="J6" s="3189"/>
      <c r="K6" s="610" t="s">
        <v>2546</v>
      </c>
      <c r="L6" s="1130"/>
      <c r="M6" s="1131"/>
      <c r="N6" s="1131"/>
      <c r="O6" s="1131"/>
      <c r="P6" s="3179"/>
      <c r="Q6" s="3180"/>
      <c r="R6" s="3183"/>
      <c r="S6" s="3184"/>
      <c r="T6" s="3185"/>
      <c r="U6" s="3186"/>
      <c r="V6" s="3187"/>
      <c r="W6" s="3187"/>
      <c r="X6" s="1805"/>
      <c r="Y6" s="3185"/>
      <c r="Z6" s="3186"/>
      <c r="AA6" s="3170"/>
      <c r="AB6" s="3170"/>
      <c r="AC6" s="3170"/>
    </row>
    <row r="7" spans="1:29" s="117" customFormat="1" ht="15.75" thickBot="1">
      <c r="A7" s="408" t="s">
        <v>2547</v>
      </c>
      <c r="B7" s="409"/>
      <c r="C7" s="410">
        <f>'数据-取费表'!B2</f>
        <v>44032</v>
      </c>
      <c r="D7" s="411">
        <v>100</v>
      </c>
      <c r="E7" s="412"/>
      <c r="F7" s="413">
        <f>SUMIF(46:46,YEAR(E7)&amp;"-"&amp;MONTH(E7),47:47)</f>
        <v>0</v>
      </c>
      <c r="G7" s="2688"/>
      <c r="H7" s="411">
        <f>SUMIF(46:46,YEAR(G7)&amp;"-"&amp;MONTH(G7),47:47)</f>
        <v>0</v>
      </c>
      <c r="I7" s="412"/>
      <c r="J7" s="411">
        <f>SUMIF(46:46,YEAR(I7)&amp;"-"&amp;MONTH(I7),47:47)</f>
        <v>0</v>
      </c>
      <c r="K7" s="611"/>
      <c r="L7" s="1132"/>
      <c r="M7" s="1133"/>
      <c r="N7" s="1133"/>
      <c r="O7" s="1133"/>
      <c r="P7" s="3192" t="s">
        <v>2548</v>
      </c>
      <c r="Q7" s="3194"/>
      <c r="R7" s="770" t="s">
        <v>17</v>
      </c>
      <c r="S7" s="771">
        <f t="shared" ref="S7:S14" si="0">F7</f>
        <v>0</v>
      </c>
      <c r="T7" s="770" t="s">
        <v>17</v>
      </c>
      <c r="U7" s="771">
        <f t="shared" ref="U7:U14" si="1">H7</f>
        <v>0</v>
      </c>
      <c r="V7" s="770" t="s">
        <v>17</v>
      </c>
      <c r="W7" s="771">
        <f t="shared" ref="W7:W14" si="2">J7</f>
        <v>0</v>
      </c>
      <c r="X7" s="772"/>
      <c r="Y7" s="3192" t="s">
        <v>2548</v>
      </c>
      <c r="Z7" s="3193"/>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2" t="s">
        <v>2551</v>
      </c>
      <c r="Q8" s="3193"/>
      <c r="R8" s="770" t="s">
        <v>17</v>
      </c>
      <c r="S8" s="771">
        <f t="shared" si="0"/>
        <v>0</v>
      </c>
      <c r="T8" s="770" t="s">
        <v>17</v>
      </c>
      <c r="U8" s="771">
        <f t="shared" si="1"/>
        <v>0</v>
      </c>
      <c r="V8" s="770" t="s">
        <v>17</v>
      </c>
      <c r="W8" s="771">
        <f t="shared" si="2"/>
        <v>0</v>
      </c>
      <c r="X8" s="772"/>
      <c r="Y8" s="3192" t="s">
        <v>2551</v>
      </c>
      <c r="Z8" s="3193"/>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6" t="s">
        <v>2554</v>
      </c>
      <c r="Q9" s="1787" t="str">
        <f t="shared" ref="Q9:Q14" si="6">B9</f>
        <v>用途</v>
      </c>
      <c r="R9" s="770" t="s">
        <v>17</v>
      </c>
      <c r="S9" s="771">
        <f t="shared" si="0"/>
        <v>100</v>
      </c>
      <c r="T9" s="770" t="s">
        <v>17</v>
      </c>
      <c r="U9" s="771">
        <f t="shared" si="1"/>
        <v>100</v>
      </c>
      <c r="V9" s="770" t="s">
        <v>17</v>
      </c>
      <c r="W9" s="771">
        <f t="shared" si="2"/>
        <v>100</v>
      </c>
      <c r="X9" s="772"/>
      <c r="Y9" s="3009"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6"/>
      <c r="Q10" s="178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6"/>
      <c r="Q11" s="1787">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6"/>
      <c r="Q12" s="178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89"/>
      <c r="H13" s="438">
        <f>SUMIF(59:59,G13,60:60)-SUMIF(59:59,C13,60:60)+100</f>
        <v>100</v>
      </c>
      <c r="I13" s="469"/>
      <c r="J13" s="435">
        <f>SUMIF(59:59,I13,60:60)-SUMIF(59:59,C13,60:60)+100</f>
        <v>100</v>
      </c>
      <c r="K13" s="613"/>
      <c r="L13" s="1140"/>
      <c r="M13" s="1131"/>
      <c r="N13" s="1131"/>
      <c r="O13" s="1139"/>
      <c r="P13" s="3156"/>
      <c r="Q13" s="178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2558</v>
      </c>
      <c r="B14" s="69" t="s">
        <v>2708</v>
      </c>
      <c r="C14" s="268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58" t="s">
        <v>2559</v>
      </c>
      <c r="Q14" s="1802" t="str">
        <f t="shared" si="6"/>
        <v>交通便捷度</v>
      </c>
      <c r="R14" s="774" t="s">
        <v>17</v>
      </c>
      <c r="S14" s="775">
        <f t="shared" si="0"/>
        <v>100</v>
      </c>
      <c r="T14" s="774" t="s">
        <v>17</v>
      </c>
      <c r="U14" s="775">
        <f t="shared" si="1"/>
        <v>100</v>
      </c>
      <c r="V14" s="774" t="s">
        <v>17</v>
      </c>
      <c r="W14" s="775">
        <f t="shared" si="2"/>
        <v>100</v>
      </c>
      <c r="X14" s="1805"/>
      <c r="Y14" s="3158" t="s">
        <v>2559</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159"/>
      <c r="Q15" s="1802"/>
      <c r="R15" s="774"/>
      <c r="S15" s="775"/>
      <c r="T15" s="774"/>
      <c r="U15" s="775"/>
      <c r="V15" s="774"/>
      <c r="W15" s="775"/>
      <c r="X15" s="1805"/>
      <c r="Y15" s="3159"/>
      <c r="Z15" s="1806"/>
      <c r="AA15" s="1803">
        <v>1</v>
      </c>
      <c r="AB15" s="1803">
        <v>1</v>
      </c>
      <c r="AC15" s="1803">
        <v>1</v>
      </c>
    </row>
    <row r="16" spans="1:29" ht="42.75">
      <c r="A16" s="428"/>
      <c r="B16" s="451" t="s">
        <v>2687</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59"/>
      <c r="Q16" s="1802" t="str">
        <f>B16</f>
        <v>公共配套设施</v>
      </c>
      <c r="R16" s="774" t="s">
        <v>17</v>
      </c>
      <c r="S16" s="775">
        <f>F16</f>
        <v>100</v>
      </c>
      <c r="T16" s="774" t="s">
        <v>17</v>
      </c>
      <c r="U16" s="775">
        <f>H16</f>
        <v>100</v>
      </c>
      <c r="V16" s="774" t="s">
        <v>17</v>
      </c>
      <c r="W16" s="775">
        <f>J16</f>
        <v>100</v>
      </c>
      <c r="X16" s="1805"/>
      <c r="Y16" s="3159"/>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159"/>
      <c r="Q17" s="1802"/>
      <c r="R17" s="774"/>
      <c r="S17" s="775"/>
      <c r="T17" s="774"/>
      <c r="U17" s="775"/>
      <c r="V17" s="774"/>
      <c r="W17" s="775"/>
      <c r="X17" s="1805"/>
      <c r="Y17" s="3159"/>
      <c r="Z17" s="1806"/>
      <c r="AA17" s="1803">
        <v>1</v>
      </c>
      <c r="AB17" s="1803">
        <v>1</v>
      </c>
      <c r="AC17" s="1803">
        <v>1</v>
      </c>
    </row>
    <row r="18" spans="1:29" ht="28.5">
      <c r="A18" s="428"/>
      <c r="B18" s="1384" t="s">
        <v>2688</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59"/>
      <c r="Q18" s="1802" t="str">
        <f>B18</f>
        <v>基础设施水平</v>
      </c>
      <c r="R18" s="774" t="s">
        <v>17</v>
      </c>
      <c r="S18" s="775">
        <f>F18</f>
        <v>100</v>
      </c>
      <c r="T18" s="774" t="s">
        <v>17</v>
      </c>
      <c r="U18" s="775">
        <f>H18</f>
        <v>100</v>
      </c>
      <c r="V18" s="774" t="s">
        <v>17</v>
      </c>
      <c r="W18" s="775">
        <f>J18</f>
        <v>100</v>
      </c>
      <c r="X18" s="1805"/>
      <c r="Y18" s="3159"/>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159"/>
      <c r="Q19" s="1802"/>
      <c r="R19" s="774"/>
      <c r="S19" s="775"/>
      <c r="T19" s="774"/>
      <c r="U19" s="775"/>
      <c r="V19" s="774"/>
      <c r="W19" s="775"/>
      <c r="X19" s="1805"/>
      <c r="Y19" s="3159"/>
      <c r="Z19" s="1806"/>
      <c r="AA19" s="1803">
        <v>1</v>
      </c>
      <c r="AB19" s="1803">
        <v>1</v>
      </c>
      <c r="AC19" s="1803">
        <v>1</v>
      </c>
    </row>
    <row r="20" spans="1:29" ht="57">
      <c r="A20" s="428"/>
      <c r="B20" s="451" t="s">
        <v>2709</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59"/>
      <c r="Q20" s="1802" t="str">
        <f>B20</f>
        <v>自然及人文环境</v>
      </c>
      <c r="R20" s="774" t="s">
        <v>17</v>
      </c>
      <c r="S20" s="775">
        <f>F20</f>
        <v>100</v>
      </c>
      <c r="T20" s="774" t="s">
        <v>17</v>
      </c>
      <c r="U20" s="775">
        <f>H20</f>
        <v>100</v>
      </c>
      <c r="V20" s="774" t="s">
        <v>17</v>
      </c>
      <c r="W20" s="775">
        <f>J20</f>
        <v>100</v>
      </c>
      <c r="X20" s="1805"/>
      <c r="Y20" s="3159"/>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159"/>
      <c r="Q21" s="1802"/>
      <c r="R21" s="774"/>
      <c r="S21" s="775"/>
      <c r="T21" s="774"/>
      <c r="U21" s="775"/>
      <c r="V21" s="774"/>
      <c r="W21" s="775"/>
      <c r="X21" s="1805"/>
      <c r="Y21" s="3159"/>
      <c r="Z21" s="1806"/>
      <c r="AA21" s="1803">
        <v>1</v>
      </c>
      <c r="AB21" s="1803">
        <v>1</v>
      </c>
      <c r="AC21" s="180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59"/>
      <c r="Q22" s="1802" t="str">
        <f>B22</f>
        <v>楼层</v>
      </c>
      <c r="R22" s="774" t="s">
        <v>17</v>
      </c>
      <c r="S22" s="775">
        <f>F22</f>
        <v>100</v>
      </c>
      <c r="T22" s="774" t="s">
        <v>17</v>
      </c>
      <c r="U22" s="775">
        <f>H22</f>
        <v>100</v>
      </c>
      <c r="V22" s="774" t="s">
        <v>17</v>
      </c>
      <c r="W22" s="775">
        <f>J22</f>
        <v>100</v>
      </c>
      <c r="X22" s="1805"/>
      <c r="Y22" s="3159"/>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59"/>
      <c r="Q23" s="1802">
        <f>B23</f>
        <v>111</v>
      </c>
      <c r="R23" s="774" t="s">
        <v>17</v>
      </c>
      <c r="S23" s="775">
        <f>F23</f>
        <v>100</v>
      </c>
      <c r="T23" s="774" t="s">
        <v>17</v>
      </c>
      <c r="U23" s="775">
        <f>H23</f>
        <v>100</v>
      </c>
      <c r="V23" s="774" t="s">
        <v>17</v>
      </c>
      <c r="W23" s="775">
        <f>J23</f>
        <v>100</v>
      </c>
      <c r="X23" s="1805"/>
      <c r="Y23" s="3159"/>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59"/>
      <c r="Q24" s="1802">
        <f t="shared" ref="Q24:Q34" si="11">B24</f>
        <v>111</v>
      </c>
      <c r="R24" s="774" t="s">
        <v>17</v>
      </c>
      <c r="S24" s="775">
        <f>F24</f>
        <v>100</v>
      </c>
      <c r="T24" s="774" t="s">
        <v>17</v>
      </c>
      <c r="U24" s="775">
        <f>H24</f>
        <v>100</v>
      </c>
      <c r="V24" s="774" t="s">
        <v>17</v>
      </c>
      <c r="W24" s="775">
        <f>J24</f>
        <v>100</v>
      </c>
      <c r="X24" s="1805"/>
      <c r="Y24" s="3159"/>
      <c r="Z24" s="1806">
        <f>Q24</f>
        <v>111</v>
      </c>
      <c r="AA24" s="1803">
        <f t="shared" si="3"/>
        <v>1</v>
      </c>
      <c r="AB24" s="1803">
        <f t="shared" si="4"/>
        <v>1</v>
      </c>
      <c r="AC24" s="1803">
        <f t="shared" si="5"/>
        <v>1</v>
      </c>
    </row>
    <row r="25" spans="1:29" s="117" customFormat="1" ht="15.75" thickBot="1">
      <c r="A25" s="431"/>
      <c r="B25" s="2594">
        <v>111</v>
      </c>
      <c r="C25" s="2690"/>
      <c r="D25" s="665">
        <v>100</v>
      </c>
      <c r="E25" s="2690"/>
      <c r="F25" s="666">
        <f>SUMIF(75:75,E25,76:76)-SUMIF(75:75,C25,76:76)+100</f>
        <v>100</v>
      </c>
      <c r="G25" s="2690"/>
      <c r="H25" s="665">
        <f>SUMIF(75:75,G25,76:76)-SUMIF(75:75,C25,76:76)+100</f>
        <v>100</v>
      </c>
      <c r="I25" s="2690"/>
      <c r="J25" s="665">
        <f>SUMIF(75:75,I25,76:76)-SUMIF(75:75,C25,76:76)+100</f>
        <v>100</v>
      </c>
      <c r="K25" s="613"/>
      <c r="L25" s="1132"/>
      <c r="M25" s="1133"/>
      <c r="N25" s="1133"/>
      <c r="O25" s="1134"/>
      <c r="P25" s="3159"/>
      <c r="Q25" s="1787">
        <f t="shared" si="11"/>
        <v>111</v>
      </c>
      <c r="R25" s="770" t="s">
        <v>17</v>
      </c>
      <c r="S25" s="771">
        <f>F25</f>
        <v>100</v>
      </c>
      <c r="T25" s="770" t="s">
        <v>17</v>
      </c>
      <c r="U25" s="771">
        <f>H25</f>
        <v>100</v>
      </c>
      <c r="V25" s="770" t="s">
        <v>17</v>
      </c>
      <c r="W25" s="771">
        <f>J25</f>
        <v>100</v>
      </c>
      <c r="X25" s="772"/>
      <c r="Y25" s="3159"/>
      <c r="Z25" s="55">
        <f>Q25</f>
        <v>111</v>
      </c>
      <c r="AA25" s="1803">
        <f>D25/F25</f>
        <v>1</v>
      </c>
      <c r="AB25" s="1803">
        <f>D25/H25</f>
        <v>1</v>
      </c>
      <c r="AC25" s="1803">
        <f>D25/J25</f>
        <v>1</v>
      </c>
    </row>
    <row r="26" spans="1:29" ht="28.5">
      <c r="A26" s="466" t="s">
        <v>2562</v>
      </c>
      <c r="B26" s="71" t="s">
        <v>2713</v>
      </c>
      <c r="C26" s="2671"/>
      <c r="D26" s="467">
        <v>100</v>
      </c>
      <c r="E26" s="2671"/>
      <c r="F26" s="667">
        <f>SUMIF(77:77,E26,78:78)-SUMIF(77:77,C26,78:78)+100</f>
        <v>100</v>
      </c>
      <c r="G26" s="2671"/>
      <c r="H26" s="467">
        <f>SUMIF(77:77,G26,78:78)-SUMIF(77:77,C26,78:78)+100</f>
        <v>100</v>
      </c>
      <c r="I26" s="2671"/>
      <c r="J26" s="467">
        <f>SUMIF(77:77,I26,78:78)-SUMIF(77:77,C26,78:78)+100</f>
        <v>100</v>
      </c>
      <c r="K26" s="612"/>
      <c r="L26" s="1140"/>
      <c r="M26" s="1131"/>
      <c r="N26" s="1131"/>
      <c r="O26" s="1139"/>
      <c r="P26" s="3244" t="s">
        <v>2564</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163" t="s">
        <v>2564</v>
      </c>
      <c r="Z26" s="1806" t="str">
        <f t="shared" ref="Z26:Z34" si="15">Q26</f>
        <v>公共部分装修</v>
      </c>
      <c r="AA26" s="1803">
        <f t="shared" si="3"/>
        <v>1</v>
      </c>
      <c r="AB26" s="1803">
        <f t="shared" si="4"/>
        <v>1</v>
      </c>
      <c r="AC26" s="180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63"/>
      <c r="Q27" s="776" t="str">
        <f t="shared" si="11"/>
        <v>成新率</v>
      </c>
      <c r="R27" s="777" t="s">
        <v>17</v>
      </c>
      <c r="S27" s="778" t="e">
        <f t="shared" si="12"/>
        <v>#N/A</v>
      </c>
      <c r="T27" s="777" t="s">
        <v>17</v>
      </c>
      <c r="U27" s="778" t="e">
        <f t="shared" si="13"/>
        <v>#N/A</v>
      </c>
      <c r="V27" s="777" t="s">
        <v>17</v>
      </c>
      <c r="W27" s="778" t="e">
        <f t="shared" si="14"/>
        <v>#N/A</v>
      </c>
      <c r="X27" s="779"/>
      <c r="Y27" s="3163"/>
      <c r="Z27" s="780" t="str">
        <f t="shared" si="15"/>
        <v>成新率</v>
      </c>
      <c r="AA27" s="1803" t="e">
        <f t="shared" si="3"/>
        <v>#N/A</v>
      </c>
      <c r="AB27" s="1803" t="e">
        <f t="shared" si="4"/>
        <v>#N/A</v>
      </c>
      <c r="AC27" s="180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63"/>
      <c r="Q28" s="1802" t="str">
        <f t="shared" si="11"/>
        <v>物业等级</v>
      </c>
      <c r="R28" s="774" t="s">
        <v>17</v>
      </c>
      <c r="S28" s="775">
        <f t="shared" si="12"/>
        <v>100</v>
      </c>
      <c r="T28" s="774" t="s">
        <v>17</v>
      </c>
      <c r="U28" s="775">
        <f t="shared" si="13"/>
        <v>100</v>
      </c>
      <c r="V28" s="774" t="s">
        <v>17</v>
      </c>
      <c r="W28" s="775">
        <f t="shared" si="14"/>
        <v>100</v>
      </c>
      <c r="X28" s="1805"/>
      <c r="Y28" s="3163"/>
      <c r="Z28" s="1806" t="str">
        <f t="shared" si="15"/>
        <v>物业等级</v>
      </c>
      <c r="AA28" s="1803">
        <f t="shared" si="3"/>
        <v>1</v>
      </c>
      <c r="AB28" s="1803">
        <f t="shared" si="4"/>
        <v>1</v>
      </c>
      <c r="AC28" s="180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63"/>
      <c r="Q29" s="1802" t="str">
        <f t="shared" si="11"/>
        <v>有无电梯</v>
      </c>
      <c r="R29" s="774" t="s">
        <v>17</v>
      </c>
      <c r="S29" s="775">
        <f t="shared" si="12"/>
        <v>100</v>
      </c>
      <c r="T29" s="774" t="s">
        <v>17</v>
      </c>
      <c r="U29" s="775">
        <f t="shared" si="13"/>
        <v>100</v>
      </c>
      <c r="V29" s="774" t="s">
        <v>17</v>
      </c>
      <c r="W29" s="775">
        <f t="shared" si="14"/>
        <v>100</v>
      </c>
      <c r="X29" s="1805"/>
      <c r="Y29" s="3163"/>
      <c r="Z29" s="1806" t="str">
        <f t="shared" si="15"/>
        <v>有无电梯</v>
      </c>
      <c r="AA29" s="1803">
        <f t="shared" si="3"/>
        <v>1</v>
      </c>
      <c r="AB29" s="1803">
        <f t="shared" si="4"/>
        <v>1</v>
      </c>
      <c r="AC29" s="180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63"/>
      <c r="Q30" s="1802" t="str">
        <f t="shared" si="11"/>
        <v>建筑面积</v>
      </c>
      <c r="R30" s="774" t="s">
        <v>17</v>
      </c>
      <c r="S30" s="775" t="e">
        <f t="shared" si="12"/>
        <v>#N/A</v>
      </c>
      <c r="T30" s="774" t="s">
        <v>17</v>
      </c>
      <c r="U30" s="775" t="e">
        <f t="shared" si="13"/>
        <v>#N/A</v>
      </c>
      <c r="V30" s="774" t="s">
        <v>17</v>
      </c>
      <c r="W30" s="775" t="e">
        <f t="shared" si="14"/>
        <v>#N/A</v>
      </c>
      <c r="X30" s="1805"/>
      <c r="Y30" s="3163"/>
      <c r="Z30" s="1806" t="str">
        <f t="shared" si="15"/>
        <v>建筑面积</v>
      </c>
      <c r="AA30" s="1803" t="e">
        <f t="shared" si="3"/>
        <v>#N/A</v>
      </c>
      <c r="AB30" s="1803" t="e">
        <f t="shared" si="4"/>
        <v>#N/A</v>
      </c>
      <c r="AC30" s="180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63"/>
      <c r="Q31" s="1787" t="str">
        <f t="shared" si="11"/>
        <v>是否封闭</v>
      </c>
      <c r="R31" s="770" t="s">
        <v>17</v>
      </c>
      <c r="S31" s="771">
        <f t="shared" si="12"/>
        <v>100</v>
      </c>
      <c r="T31" s="770" t="s">
        <v>17</v>
      </c>
      <c r="U31" s="771">
        <f t="shared" si="13"/>
        <v>100</v>
      </c>
      <c r="V31" s="770" t="s">
        <v>17</v>
      </c>
      <c r="W31" s="771">
        <f t="shared" si="14"/>
        <v>100</v>
      </c>
      <c r="X31" s="772"/>
      <c r="Y31" s="3163"/>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63" t="s">
        <v>2564</v>
      </c>
      <c r="Q32" s="1802">
        <f t="shared" si="11"/>
        <v>111</v>
      </c>
      <c r="R32" s="774" t="s">
        <v>17</v>
      </c>
      <c r="S32" s="775">
        <f t="shared" si="12"/>
        <v>100</v>
      </c>
      <c r="T32" s="774" t="s">
        <v>17</v>
      </c>
      <c r="U32" s="775">
        <f t="shared" si="13"/>
        <v>100</v>
      </c>
      <c r="V32" s="774" t="s">
        <v>17</v>
      </c>
      <c r="W32" s="775">
        <f t="shared" si="14"/>
        <v>100</v>
      </c>
      <c r="X32" s="1805"/>
      <c r="Y32" s="3163" t="s">
        <v>2564</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63"/>
      <c r="Q33" s="1802">
        <f t="shared" si="11"/>
        <v>111</v>
      </c>
      <c r="R33" s="774" t="s">
        <v>17</v>
      </c>
      <c r="S33" s="775">
        <f t="shared" si="12"/>
        <v>100</v>
      </c>
      <c r="T33" s="774" t="s">
        <v>17</v>
      </c>
      <c r="U33" s="775">
        <f t="shared" si="13"/>
        <v>100</v>
      </c>
      <c r="V33" s="774" t="s">
        <v>17</v>
      </c>
      <c r="W33" s="775">
        <f t="shared" si="14"/>
        <v>100</v>
      </c>
      <c r="X33" s="1805"/>
      <c r="Y33" s="3163"/>
      <c r="Z33" s="1806">
        <f t="shared" si="15"/>
        <v>111</v>
      </c>
      <c r="AA33" s="1803">
        <f t="shared" si="3"/>
        <v>1</v>
      </c>
      <c r="AB33" s="1803">
        <f t="shared" si="4"/>
        <v>1</v>
      </c>
      <c r="AC33" s="1803">
        <f t="shared" si="5"/>
        <v>1</v>
      </c>
    </row>
    <row r="34" spans="1:29" ht="15.75" thickBot="1">
      <c r="A34" s="478"/>
      <c r="B34" s="2596">
        <v>111</v>
      </c>
      <c r="C34" s="437"/>
      <c r="D34" s="438">
        <v>100</v>
      </c>
      <c r="E34" s="2689"/>
      <c r="F34" s="439">
        <f>SUMIF(95:95,E34,96:96)-SUMIF(95:95,C34,96:96)+100</f>
        <v>100</v>
      </c>
      <c r="G34" s="2689"/>
      <c r="H34" s="438">
        <f>SUMIF(95:95,G34,96:96)-SUMIF(95:95,C34,96:96)+100</f>
        <v>100</v>
      </c>
      <c r="I34" s="2689"/>
      <c r="J34" s="438">
        <f>SUMIF(95:95,I34,96:96)-SUMIF(95:95,C34,96:96)+100</f>
        <v>100</v>
      </c>
      <c r="K34" s="613"/>
      <c r="L34" s="1140"/>
      <c r="M34" s="1131"/>
      <c r="N34" s="1131"/>
      <c r="O34" s="1139"/>
      <c r="P34" s="3163"/>
      <c r="Q34" s="1802">
        <f t="shared" si="11"/>
        <v>111</v>
      </c>
      <c r="R34" s="774" t="s">
        <v>17</v>
      </c>
      <c r="S34" s="775">
        <f t="shared" si="12"/>
        <v>100</v>
      </c>
      <c r="T34" s="774" t="s">
        <v>17</v>
      </c>
      <c r="U34" s="775">
        <f t="shared" si="13"/>
        <v>100</v>
      </c>
      <c r="V34" s="774" t="s">
        <v>17</v>
      </c>
      <c r="W34" s="775">
        <f t="shared" si="14"/>
        <v>100</v>
      </c>
      <c r="X34" s="1805"/>
      <c r="Y34" s="3163"/>
      <c r="Z34" s="1806">
        <f t="shared" si="15"/>
        <v>111</v>
      </c>
      <c r="AA34" s="1803">
        <f t="shared" si="3"/>
        <v>1</v>
      </c>
      <c r="AB34" s="1803">
        <f t="shared" si="4"/>
        <v>1</v>
      </c>
      <c r="AC34" s="1803">
        <f t="shared" si="5"/>
        <v>1</v>
      </c>
    </row>
    <row r="35" spans="1:29" ht="15">
      <c r="A35" s="479" t="s">
        <v>2576</v>
      </c>
      <c r="B35" s="480"/>
      <c r="C35" s="1407" t="s">
        <v>1</v>
      </c>
      <c r="D35" s="1408"/>
      <c r="E35" s="1409"/>
      <c r="F35" s="1410"/>
      <c r="G35" s="1411"/>
      <c r="H35" s="1412"/>
      <c r="I35" s="1409"/>
      <c r="J35" s="1412"/>
      <c r="K35" s="783"/>
      <c r="L35" s="1143"/>
      <c r="M35" s="1144"/>
      <c r="N35" s="1131"/>
      <c r="O35" s="1144"/>
      <c r="P35" s="3156" t="str">
        <f>A35</f>
        <v>成交单价（元/平方米）</v>
      </c>
      <c r="Q35" s="3156"/>
      <c r="R35" s="3157">
        <f>E35</f>
        <v>0</v>
      </c>
      <c r="S35" s="3157"/>
      <c r="T35" s="3157">
        <f>G35</f>
        <v>0</v>
      </c>
      <c r="U35" s="3157"/>
      <c r="V35" s="3157">
        <f>I35</f>
        <v>0</v>
      </c>
      <c r="W35" s="3157"/>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56" t="str">
        <f>A36</f>
        <v>比较价值（元/平方米）</v>
      </c>
      <c r="Q36" s="3156"/>
      <c r="R36" s="3157" t="e">
        <f>IF(F1="售价",ROUND(PRODUCT(R35,AA7:AA34),0),ROUND(PRODUCT(R35,AA7:AA34),1))</f>
        <v>#DIV/0!</v>
      </c>
      <c r="S36" s="3157"/>
      <c r="T36" s="3157" t="e">
        <f>IF(F1="售价",ROUND(PRODUCT(T35,AB7:AB34),0),ROUND(PRODUCT(T35,AB7:AB34),1))</f>
        <v>#DIV/0!</v>
      </c>
      <c r="U36" s="3157"/>
      <c r="V36" s="3157" t="e">
        <f>IF(F1="售价",ROUND(PRODUCT(V35,AC7:AC34),0),ROUND(PRODUCT(V35,AC7:AC34),1))</f>
        <v>#DIV/0!</v>
      </c>
      <c r="W36" s="3157"/>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53" t="str">
        <f>A37</f>
        <v>估价对象XX用房的比较价值（楼面单价，元/平方米）</v>
      </c>
      <c r="Q37" s="3154"/>
      <c r="R37" s="3155" t="e">
        <f>IF(F1="售价",ROUND(AVERAGE(R36:V36),0),ROUND(AVERAGE(R36:V36),1))</f>
        <v>#DIV/0!</v>
      </c>
      <c r="S37" s="3155"/>
      <c r="T37" s="3155"/>
      <c r="U37" s="3155"/>
      <c r="V37" s="3155"/>
      <c r="W37" s="315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2020-7</v>
      </c>
      <c r="D46" s="1575">
        <f>EDATE(C46,-1)</f>
        <v>43983</v>
      </c>
      <c r="E46" s="1575">
        <f t="shared" ref="E46:O46" si="16">EDATE(D46,-1)</f>
        <v>43952</v>
      </c>
      <c r="F46" s="1575">
        <f t="shared" si="16"/>
        <v>43922</v>
      </c>
      <c r="G46" s="1575">
        <f t="shared" si="16"/>
        <v>43891</v>
      </c>
      <c r="H46" s="1575">
        <f t="shared" si="16"/>
        <v>43862</v>
      </c>
      <c r="I46" s="1575">
        <f t="shared" si="16"/>
        <v>43831</v>
      </c>
      <c r="J46" s="1575">
        <f t="shared" si="16"/>
        <v>43800</v>
      </c>
      <c r="K46" s="1575">
        <f t="shared" si="16"/>
        <v>43770</v>
      </c>
      <c r="L46" s="1575">
        <f t="shared" si="16"/>
        <v>43739</v>
      </c>
      <c r="M46" s="1575">
        <f t="shared" si="16"/>
        <v>43709</v>
      </c>
      <c r="N46" s="1575">
        <f t="shared" si="16"/>
        <v>43678</v>
      </c>
      <c r="O46" s="1575">
        <f t="shared" si="16"/>
        <v>43647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71" t="s">
        <v>2645</v>
      </c>
      <c r="D4" s="3172"/>
      <c r="E4" s="3173" t="s">
        <v>2646</v>
      </c>
      <c r="F4" s="3174"/>
      <c r="G4" s="3171" t="s">
        <v>2647</v>
      </c>
      <c r="H4" s="3172"/>
      <c r="I4" s="3171" t="s">
        <v>2648</v>
      </c>
      <c r="J4" s="3172"/>
      <c r="K4" s="610" t="s">
        <v>2649</v>
      </c>
      <c r="L4" s="1130"/>
      <c r="M4" s="1131"/>
      <c r="N4" s="1131"/>
      <c r="O4" s="1131"/>
      <c r="P4" s="3175" t="s">
        <v>2650</v>
      </c>
      <c r="Q4" s="3176"/>
      <c r="R4" s="3181" t="s">
        <v>2646</v>
      </c>
      <c r="S4" s="3182"/>
      <c r="T4" s="3181" t="s">
        <v>2647</v>
      </c>
      <c r="U4" s="3182"/>
      <c r="V4" s="3187" t="s">
        <v>2648</v>
      </c>
      <c r="W4" s="3187"/>
      <c r="X4" s="1805"/>
      <c r="Y4" s="3181" t="s">
        <v>2650</v>
      </c>
      <c r="Z4" s="3182"/>
      <c r="AA4" s="3168" t="s">
        <v>2646</v>
      </c>
      <c r="AB4" s="3169" t="s">
        <v>2647</v>
      </c>
      <c r="AC4" s="3168" t="s">
        <v>2648</v>
      </c>
    </row>
    <row r="5" spans="1:30" ht="15">
      <c r="A5" s="404"/>
      <c r="B5" s="405"/>
      <c r="C5" s="3190" t="s">
        <v>2541</v>
      </c>
      <c r="D5" s="3191"/>
      <c r="E5" s="3197" t="s">
        <v>2542</v>
      </c>
      <c r="F5" s="3198"/>
      <c r="G5" s="3190" t="s">
        <v>2543</v>
      </c>
      <c r="H5" s="3191"/>
      <c r="I5" s="3190" t="s">
        <v>2544</v>
      </c>
      <c r="J5" s="3191"/>
      <c r="K5" s="610"/>
      <c r="L5" s="1130"/>
      <c r="M5" s="1131"/>
      <c r="N5" s="1131"/>
      <c r="O5" s="1131"/>
      <c r="P5" s="3177"/>
      <c r="Q5" s="3178"/>
      <c r="R5" s="3183"/>
      <c r="S5" s="3184"/>
      <c r="T5" s="3183"/>
      <c r="U5" s="3184"/>
      <c r="V5" s="3187"/>
      <c r="W5" s="3187"/>
      <c r="X5" s="1805"/>
      <c r="Y5" s="3183"/>
      <c r="Z5" s="3184"/>
      <c r="AA5" s="3169"/>
      <c r="AB5" s="3169"/>
      <c r="AC5" s="3169"/>
    </row>
    <row r="6" spans="1:30" ht="15.75" thickBot="1">
      <c r="A6" s="406"/>
      <c r="B6" s="407"/>
      <c r="C6" s="3188" t="s">
        <v>2545</v>
      </c>
      <c r="D6" s="3189"/>
      <c r="E6" s="3195" t="s">
        <v>2545</v>
      </c>
      <c r="F6" s="3196"/>
      <c r="G6" s="3188" t="s">
        <v>2545</v>
      </c>
      <c r="H6" s="3189"/>
      <c r="I6" s="3188" t="s">
        <v>2545</v>
      </c>
      <c r="J6" s="3189"/>
      <c r="K6" s="610" t="s">
        <v>2546</v>
      </c>
      <c r="L6" s="1130"/>
      <c r="M6" s="1131"/>
      <c r="N6" s="1131"/>
      <c r="O6" s="1131"/>
      <c r="P6" s="3179"/>
      <c r="Q6" s="3180"/>
      <c r="R6" s="3183"/>
      <c r="S6" s="3184"/>
      <c r="T6" s="3185"/>
      <c r="U6" s="3186"/>
      <c r="V6" s="3187"/>
      <c r="W6" s="3187"/>
      <c r="X6" s="1805"/>
      <c r="Y6" s="3185"/>
      <c r="Z6" s="3186"/>
      <c r="AA6" s="3170"/>
      <c r="AB6" s="3170"/>
      <c r="AC6" s="3170"/>
    </row>
    <row r="7" spans="1:30" s="117" customFormat="1" ht="15.75" thickBot="1">
      <c r="A7" s="408" t="s">
        <v>2547</v>
      </c>
      <c r="B7" s="409"/>
      <c r="C7" s="410">
        <f>'数据-取费表'!B2</f>
        <v>44032</v>
      </c>
      <c r="D7" s="411">
        <v>100</v>
      </c>
      <c r="E7" s="412">
        <v>42309</v>
      </c>
      <c r="F7" s="413">
        <f>SUMIF(70:70,YEAR(E7)&amp;"-"&amp;INT((MONTH(E7)+2)/3),71:71)</f>
        <v>0</v>
      </c>
      <c r="G7" s="2688">
        <v>42309</v>
      </c>
      <c r="H7" s="411">
        <f>SUMIF(70:70,YEAR(G7)&amp;"-"&amp;INT((MONTH(G7)+2)/3),71:71)</f>
        <v>0</v>
      </c>
      <c r="I7" s="2688">
        <v>42036</v>
      </c>
      <c r="J7" s="411">
        <f>SUMIF(70:70,YEAR(I7)&amp;"-"&amp;INT((MONTH(I7)+2)/3),71:71)</f>
        <v>0</v>
      </c>
      <c r="K7" s="611"/>
      <c r="L7" s="1132"/>
      <c r="M7" s="1133"/>
      <c r="N7" s="1133"/>
      <c r="O7" s="1133"/>
      <c r="P7" s="3192" t="s">
        <v>2548</v>
      </c>
      <c r="Q7" s="3194"/>
      <c r="R7" s="770" t="s">
        <v>17</v>
      </c>
      <c r="S7" s="771">
        <f t="shared" ref="S7:S15" si="0">F7</f>
        <v>0</v>
      </c>
      <c r="T7" s="770" t="s">
        <v>17</v>
      </c>
      <c r="U7" s="771">
        <f t="shared" ref="U7:U15" si="1">H7</f>
        <v>0</v>
      </c>
      <c r="V7" s="770" t="s">
        <v>17</v>
      </c>
      <c r="W7" s="771">
        <f t="shared" ref="W7:W15" si="2">J7</f>
        <v>0</v>
      </c>
      <c r="X7" s="772"/>
      <c r="Y7" s="3192" t="s">
        <v>2548</v>
      </c>
      <c r="Z7" s="3193"/>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2" t="s">
        <v>2551</v>
      </c>
      <c r="Q8" s="3193"/>
      <c r="R8" s="770" t="s">
        <v>17</v>
      </c>
      <c r="S8" s="771">
        <f t="shared" si="0"/>
        <v>0</v>
      </c>
      <c r="T8" s="770" t="s">
        <v>17</v>
      </c>
      <c r="U8" s="771">
        <f t="shared" si="1"/>
        <v>0</v>
      </c>
      <c r="V8" s="770" t="s">
        <v>17</v>
      </c>
      <c r="W8" s="771">
        <f t="shared" si="2"/>
        <v>0</v>
      </c>
      <c r="X8" s="772"/>
      <c r="Y8" s="3192" t="s">
        <v>2551</v>
      </c>
      <c r="Z8" s="3193"/>
      <c r="AA8" s="773" t="e">
        <f t="shared" ref="AA8:AA45" si="3">D8/F8</f>
        <v>#DIV/0!</v>
      </c>
      <c r="AB8" s="773" t="e">
        <f t="shared" ref="AB8:AB45" si="4">D8/H8</f>
        <v>#DIV/0!</v>
      </c>
      <c r="AC8" s="773" t="e">
        <f t="shared" ref="AC8:AC45" si="5">D8/J8</f>
        <v>#DIV/0!</v>
      </c>
    </row>
    <row r="9" spans="1:30" s="117" customFormat="1">
      <c r="A9" s="415" t="s">
        <v>2552</v>
      </c>
      <c r="B9" s="71" t="s">
        <v>2553</v>
      </c>
      <c r="C9" s="2691"/>
      <c r="D9" s="135">
        <v>100</v>
      </c>
      <c r="E9" s="2691"/>
      <c r="F9" s="135">
        <f>SUMIF(75:75,E9,76:76)-SUMIF(75:75,C9,76:76)+100</f>
        <v>100</v>
      </c>
      <c r="G9" s="2691"/>
      <c r="H9" s="135">
        <f>SUMIF(75:75,G9,76:76)-SUMIF(75:75,C9,76:76)+100</f>
        <v>100</v>
      </c>
      <c r="I9" s="2691"/>
      <c r="J9" s="135">
        <f>SUMIF(75:75,I9,76:76)-SUMIF(75:75,C9,76:76)+100</f>
        <v>100</v>
      </c>
      <c r="K9" s="611"/>
      <c r="L9" s="1132"/>
      <c r="M9" s="1133"/>
      <c r="N9" s="1133"/>
      <c r="O9" s="1134"/>
      <c r="P9" s="3156" t="s">
        <v>2554</v>
      </c>
      <c r="Q9" s="1787"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156"/>
      <c r="Q10" s="1787" t="str">
        <f t="shared" si="6"/>
        <v>土地使用年限（年）</v>
      </c>
      <c r="R10" s="770" t="s">
        <v>17</v>
      </c>
      <c r="S10" s="771">
        <f t="shared" si="0"/>
        <v>110</v>
      </c>
      <c r="T10" s="770" t="s">
        <v>17</v>
      </c>
      <c r="U10" s="771">
        <f t="shared" si="1"/>
        <v>110</v>
      </c>
      <c r="V10" s="770" t="s">
        <v>17</v>
      </c>
      <c r="W10" s="771">
        <f t="shared" si="2"/>
        <v>110</v>
      </c>
      <c r="X10" s="772"/>
      <c r="Y10" s="3009"/>
      <c r="Z10" s="55" t="str">
        <f t="shared" si="7"/>
        <v>土地使用年限（年）</v>
      </c>
      <c r="AA10" s="773">
        <f t="shared" si="3"/>
        <v>0.90909090909090906</v>
      </c>
      <c r="AB10" s="773">
        <f t="shared" si="4"/>
        <v>0.90909090909090906</v>
      </c>
      <c r="AC10" s="773">
        <f t="shared" si="5"/>
        <v>0.90909090909090906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56"/>
      <c r="Q11" s="178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594"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6"/>
      <c r="Q12" s="1787"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6"/>
      <c r="Q13" s="1787">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6"/>
      <c r="Q14" s="1787">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2558</v>
      </c>
      <c r="B15" s="69" t="s">
        <v>2083</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58" t="s">
        <v>2559</v>
      </c>
      <c r="Q15" s="1802" t="str">
        <f t="shared" si="6"/>
        <v>居住社区成熟度</v>
      </c>
      <c r="R15" s="774" t="s">
        <v>17</v>
      </c>
      <c r="S15" s="775">
        <f t="shared" si="0"/>
        <v>100</v>
      </c>
      <c r="T15" s="774" t="s">
        <v>17</v>
      </c>
      <c r="U15" s="775">
        <f t="shared" si="1"/>
        <v>100</v>
      </c>
      <c r="V15" s="774" t="s">
        <v>17</v>
      </c>
      <c r="W15" s="775">
        <f t="shared" si="2"/>
        <v>100</v>
      </c>
      <c r="X15" s="1805"/>
      <c r="Y15" s="3158" t="s">
        <v>2559</v>
      </c>
      <c r="Z15" s="1806" t="str">
        <f t="shared" si="7"/>
        <v>居住社区成熟度</v>
      </c>
      <c r="AA15" s="1803">
        <f t="shared" si="3"/>
        <v>1</v>
      </c>
      <c r="AB15" s="1803">
        <f t="shared" si="4"/>
        <v>1</v>
      </c>
      <c r="AC15" s="1803">
        <f t="shared" si="5"/>
        <v>1</v>
      </c>
    </row>
    <row r="16" spans="1:30" ht="15">
      <c r="A16" s="428"/>
      <c r="B16" s="446"/>
      <c r="C16" s="447"/>
      <c r="D16" s="448"/>
      <c r="E16" s="2599"/>
      <c r="F16" s="448"/>
      <c r="G16" s="2599"/>
      <c r="H16" s="450"/>
      <c r="I16" s="2598"/>
      <c r="J16" s="448"/>
      <c r="K16" s="672"/>
      <c r="L16" s="1140"/>
      <c r="M16" s="1131"/>
      <c r="N16" s="1131"/>
      <c r="O16" s="1139"/>
      <c r="P16" s="3159"/>
      <c r="Q16" s="1802"/>
      <c r="R16" s="774"/>
      <c r="S16" s="775"/>
      <c r="T16" s="774"/>
      <c r="U16" s="775"/>
      <c r="V16" s="774"/>
      <c r="W16" s="775"/>
      <c r="X16" s="1805"/>
      <c r="Y16" s="3159"/>
      <c r="Z16" s="1806"/>
      <c r="AA16" s="1803">
        <v>1</v>
      </c>
      <c r="AB16" s="1803">
        <v>1</v>
      </c>
      <c r="AC16" s="1803">
        <v>1</v>
      </c>
    </row>
    <row r="17" spans="1:29" ht="71.25">
      <c r="A17" s="428"/>
      <c r="B17" s="451" t="s">
        <v>2652</v>
      </c>
      <c r="C17" s="265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59"/>
      <c r="Q17" s="1802" t="str">
        <f>B17</f>
        <v>商业繁华度</v>
      </c>
      <c r="R17" s="774" t="s">
        <v>17</v>
      </c>
      <c r="S17" s="775">
        <f>F17</f>
        <v>100</v>
      </c>
      <c r="T17" s="774" t="s">
        <v>17</v>
      </c>
      <c r="U17" s="775">
        <f>H17</f>
        <v>100</v>
      </c>
      <c r="V17" s="774" t="s">
        <v>17</v>
      </c>
      <c r="W17" s="775">
        <f>J17</f>
        <v>100</v>
      </c>
      <c r="X17" s="1805"/>
      <c r="Y17" s="3159"/>
      <c r="Z17" s="1806" t="str">
        <f>Q17</f>
        <v>商业繁华度</v>
      </c>
      <c r="AA17" s="1803">
        <f t="shared" si="3"/>
        <v>1</v>
      </c>
      <c r="AB17" s="1803">
        <f t="shared" si="4"/>
        <v>1</v>
      </c>
      <c r="AC17" s="1803">
        <f t="shared" si="5"/>
        <v>1</v>
      </c>
    </row>
    <row r="18" spans="1:29" ht="15">
      <c r="A18" s="428"/>
      <c r="B18" s="456"/>
      <c r="C18" s="2602"/>
      <c r="D18" s="450"/>
      <c r="E18" s="2604"/>
      <c r="F18" s="450"/>
      <c r="G18" s="2604"/>
      <c r="H18" s="448"/>
      <c r="I18" s="2603"/>
      <c r="J18" s="448"/>
      <c r="K18" s="672"/>
      <c r="L18" s="1140"/>
      <c r="M18" s="1131"/>
      <c r="N18" s="1131"/>
      <c r="O18" s="1139"/>
      <c r="P18" s="3159"/>
      <c r="Q18" s="1802"/>
      <c r="R18" s="774"/>
      <c r="S18" s="775"/>
      <c r="T18" s="774"/>
      <c r="U18" s="775"/>
      <c r="V18" s="774"/>
      <c r="W18" s="775"/>
      <c r="X18" s="1805"/>
      <c r="Y18" s="3159"/>
      <c r="Z18" s="1806"/>
      <c r="AA18" s="1803">
        <v>1</v>
      </c>
      <c r="AB18" s="1803">
        <v>1</v>
      </c>
      <c r="AC18" s="1803">
        <v>1</v>
      </c>
    </row>
    <row r="19" spans="1:29" ht="71.25">
      <c r="A19" s="428"/>
      <c r="B19" s="451" t="s">
        <v>2686</v>
      </c>
      <c r="C19" s="265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59"/>
      <c r="Q19" s="1802" t="str">
        <f>B19</f>
        <v>办公集聚程度</v>
      </c>
      <c r="R19" s="774" t="s">
        <v>17</v>
      </c>
      <c r="S19" s="775">
        <f>F19</f>
        <v>100</v>
      </c>
      <c r="T19" s="774" t="s">
        <v>17</v>
      </c>
      <c r="U19" s="775">
        <f>H19</f>
        <v>100</v>
      </c>
      <c r="V19" s="774" t="s">
        <v>17</v>
      </c>
      <c r="W19" s="775">
        <f>J19</f>
        <v>100</v>
      </c>
      <c r="X19" s="1805"/>
      <c r="Y19" s="3159"/>
      <c r="Z19" s="1806" t="str">
        <f>Q19</f>
        <v>办公集聚程度</v>
      </c>
      <c r="AA19" s="1803">
        <f t="shared" si="3"/>
        <v>1</v>
      </c>
      <c r="AB19" s="1803">
        <f t="shared" si="4"/>
        <v>1</v>
      </c>
      <c r="AC19" s="1803">
        <f t="shared" si="5"/>
        <v>1</v>
      </c>
    </row>
    <row r="20" spans="1:29" ht="15">
      <c r="A20" s="428"/>
      <c r="B20" s="456"/>
      <c r="C20" s="447"/>
      <c r="D20" s="448"/>
      <c r="E20" s="2599"/>
      <c r="F20" s="448"/>
      <c r="G20" s="2599"/>
      <c r="H20" s="448"/>
      <c r="I20" s="2598"/>
      <c r="J20" s="448"/>
      <c r="K20" s="672"/>
      <c r="L20" s="1140"/>
      <c r="M20" s="1131"/>
      <c r="N20" s="1131"/>
      <c r="O20" s="1139"/>
      <c r="P20" s="3159"/>
      <c r="Q20" s="1802"/>
      <c r="R20" s="774"/>
      <c r="S20" s="775"/>
      <c r="T20" s="774"/>
      <c r="U20" s="775"/>
      <c r="V20" s="774"/>
      <c r="W20" s="775"/>
      <c r="X20" s="1805"/>
      <c r="Y20" s="3159"/>
      <c r="Z20" s="1806"/>
      <c r="AA20" s="1803">
        <v>1</v>
      </c>
      <c r="AB20" s="1803">
        <v>1</v>
      </c>
      <c r="AC20" s="1803">
        <v>1</v>
      </c>
    </row>
    <row r="21" spans="1:29" ht="85.5">
      <c r="A21" s="428"/>
      <c r="B21" s="451" t="s">
        <v>2708</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59"/>
      <c r="Q21" s="1802" t="str">
        <f>B21</f>
        <v>交通便捷度</v>
      </c>
      <c r="R21" s="774" t="s">
        <v>17</v>
      </c>
      <c r="S21" s="775">
        <f>F21</f>
        <v>100</v>
      </c>
      <c r="T21" s="774" t="s">
        <v>17</v>
      </c>
      <c r="U21" s="775">
        <f>H21</f>
        <v>100</v>
      </c>
      <c r="V21" s="774" t="s">
        <v>17</v>
      </c>
      <c r="W21" s="775">
        <f>J21</f>
        <v>100</v>
      </c>
      <c r="X21" s="1805"/>
      <c r="Y21" s="3159"/>
      <c r="Z21" s="1806" t="str">
        <f>Q21</f>
        <v>交通便捷度</v>
      </c>
      <c r="AA21" s="1803">
        <f t="shared" si="3"/>
        <v>1</v>
      </c>
      <c r="AB21" s="1803">
        <f t="shared" si="4"/>
        <v>1</v>
      </c>
      <c r="AC21" s="1803">
        <f t="shared" si="5"/>
        <v>1</v>
      </c>
    </row>
    <row r="22" spans="1:29" ht="15">
      <c r="A22" s="428"/>
      <c r="B22" s="1384"/>
      <c r="C22" s="447"/>
      <c r="D22" s="450"/>
      <c r="E22" s="2599"/>
      <c r="F22" s="448"/>
      <c r="G22" s="2599"/>
      <c r="H22" s="448"/>
      <c r="I22" s="2598"/>
      <c r="J22" s="448"/>
      <c r="K22" s="672"/>
      <c r="L22" s="1140"/>
      <c r="M22" s="1131"/>
      <c r="N22" s="1131"/>
      <c r="O22" s="1139"/>
      <c r="P22" s="3159"/>
      <c r="Q22" s="1802"/>
      <c r="R22" s="774"/>
      <c r="S22" s="775"/>
      <c r="T22" s="774"/>
      <c r="U22" s="775"/>
      <c r="V22" s="774"/>
      <c r="W22" s="775"/>
      <c r="X22" s="1805"/>
      <c r="Y22" s="3159"/>
      <c r="Z22" s="1806"/>
      <c r="AA22" s="1803">
        <v>1</v>
      </c>
      <c r="AB22" s="1803">
        <v>1</v>
      </c>
      <c r="AC22" s="1803">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59"/>
      <c r="Q23" s="1802" t="str">
        <f t="shared" ref="Q23:Q37" si="8">B23</f>
        <v>区域土地利用方向</v>
      </c>
      <c r="R23" s="774" t="s">
        <v>17</v>
      </c>
      <c r="S23" s="775">
        <f>F23</f>
        <v>100</v>
      </c>
      <c r="T23" s="774" t="s">
        <v>17</v>
      </c>
      <c r="U23" s="775">
        <f>H23</f>
        <v>100</v>
      </c>
      <c r="V23" s="774" t="s">
        <v>17</v>
      </c>
      <c r="W23" s="775">
        <f>J23</f>
        <v>100</v>
      </c>
      <c r="X23" s="1805"/>
      <c r="Y23" s="3159"/>
      <c r="Z23" s="1806" t="str">
        <f>Q23</f>
        <v>区域土地利用方向</v>
      </c>
      <c r="AA23" s="1803">
        <f t="shared" si="3"/>
        <v>1</v>
      </c>
      <c r="AB23" s="1803">
        <f t="shared" si="4"/>
        <v>1</v>
      </c>
      <c r="AC23" s="1803">
        <f t="shared" si="5"/>
        <v>1</v>
      </c>
    </row>
    <row r="24" spans="1:29" ht="15">
      <c r="A24" s="404"/>
      <c r="B24" s="456"/>
      <c r="C24" s="616"/>
      <c r="D24" s="448"/>
      <c r="E24" s="2599"/>
      <c r="F24" s="448"/>
      <c r="G24" s="2598"/>
      <c r="H24" s="448"/>
      <c r="I24" s="2598"/>
      <c r="J24" s="448"/>
      <c r="K24" s="812"/>
      <c r="L24" s="1140"/>
      <c r="M24" s="1131"/>
      <c r="N24" s="1131"/>
      <c r="O24" s="1139"/>
      <c r="P24" s="3159"/>
      <c r="Q24" s="1802"/>
      <c r="R24" s="774"/>
      <c r="S24" s="775"/>
      <c r="T24" s="774"/>
      <c r="U24" s="775"/>
      <c r="V24" s="774"/>
      <c r="W24" s="775"/>
      <c r="X24" s="1805"/>
      <c r="Y24" s="3159"/>
      <c r="Z24" s="1806"/>
      <c r="AA24" s="1803"/>
      <c r="AB24" s="1803"/>
      <c r="AC24" s="1803"/>
    </row>
    <row r="25" spans="1:29" ht="57">
      <c r="A25" s="404"/>
      <c r="B25" s="1384" t="s">
        <v>2748</v>
      </c>
      <c r="C25" s="265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59"/>
      <c r="Q25" s="1802" t="str">
        <f t="shared" si="8"/>
        <v>自然及人文环境状况</v>
      </c>
      <c r="R25" s="774" t="s">
        <v>17</v>
      </c>
      <c r="S25" s="775">
        <f>F25</f>
        <v>100</v>
      </c>
      <c r="T25" s="774" t="s">
        <v>17</v>
      </c>
      <c r="U25" s="775">
        <f>H25</f>
        <v>100</v>
      </c>
      <c r="V25" s="774" t="s">
        <v>17</v>
      </c>
      <c r="W25" s="775">
        <f>J25</f>
        <v>100</v>
      </c>
      <c r="X25" s="1805"/>
      <c r="Y25" s="3159"/>
      <c r="Z25" s="1806" t="str">
        <f>Q25</f>
        <v>自然及人文环境状况</v>
      </c>
      <c r="AA25" s="1803">
        <f t="shared" si="3"/>
        <v>1</v>
      </c>
      <c r="AB25" s="1803">
        <f t="shared" si="4"/>
        <v>1</v>
      </c>
      <c r="AC25" s="1803">
        <f t="shared" si="5"/>
        <v>1</v>
      </c>
    </row>
    <row r="26" spans="1:29" ht="15">
      <c r="A26" s="404"/>
      <c r="B26" s="456"/>
      <c r="C26" s="447"/>
      <c r="D26" s="448"/>
      <c r="E26" s="2605"/>
      <c r="F26" s="448"/>
      <c r="G26" s="2605"/>
      <c r="H26" s="448"/>
      <c r="I26" s="447"/>
      <c r="J26" s="448"/>
      <c r="K26" s="672"/>
      <c r="L26" s="1140"/>
      <c r="M26" s="1131"/>
      <c r="N26" s="1131"/>
      <c r="O26" s="1139"/>
      <c r="P26" s="3159"/>
      <c r="Q26" s="1802"/>
      <c r="R26" s="774"/>
      <c r="S26" s="775"/>
      <c r="T26" s="774"/>
      <c r="U26" s="775"/>
      <c r="V26" s="774"/>
      <c r="W26" s="775"/>
      <c r="X26" s="1805"/>
      <c r="Y26" s="3159"/>
      <c r="Z26" s="1806"/>
      <c r="AA26" s="1803">
        <v>1</v>
      </c>
      <c r="AB26" s="1803">
        <v>1</v>
      </c>
      <c r="AC26" s="1803">
        <v>1</v>
      </c>
    </row>
    <row r="27" spans="1:29" s="117" customFormat="1" ht="42.75">
      <c r="A27" s="649"/>
      <c r="B27" s="1384" t="s">
        <v>2653</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59"/>
      <c r="Q27" s="1787" t="str">
        <f t="shared" si="8"/>
        <v>公共配套设施</v>
      </c>
      <c r="R27" s="770" t="s">
        <v>17</v>
      </c>
      <c r="S27" s="771">
        <f>F27</f>
        <v>100</v>
      </c>
      <c r="T27" s="770" t="s">
        <v>17</v>
      </c>
      <c r="U27" s="771">
        <f>H27</f>
        <v>100</v>
      </c>
      <c r="V27" s="770" t="s">
        <v>17</v>
      </c>
      <c r="W27" s="771">
        <f>J27</f>
        <v>100</v>
      </c>
      <c r="X27" s="772"/>
      <c r="Y27" s="3159"/>
      <c r="Z27" s="55" t="str">
        <f>Q27</f>
        <v>公共配套设施</v>
      </c>
      <c r="AA27" s="1803">
        <f>D27/F27</f>
        <v>1</v>
      </c>
      <c r="AB27" s="1803">
        <f>D27/H27</f>
        <v>1</v>
      </c>
      <c r="AC27" s="1803">
        <f>D27/J27</f>
        <v>1</v>
      </c>
    </row>
    <row r="28" spans="1:29" s="117" customFormat="1" ht="15">
      <c r="A28" s="649"/>
      <c r="B28" s="456"/>
      <c r="C28" s="2692"/>
      <c r="D28" s="448"/>
      <c r="E28" s="2605"/>
      <c r="F28" s="448"/>
      <c r="G28" s="2605"/>
      <c r="H28" s="448"/>
      <c r="I28" s="447"/>
      <c r="J28" s="448"/>
      <c r="K28" s="672"/>
      <c r="L28" s="1132"/>
      <c r="M28" s="1133"/>
      <c r="N28" s="1133"/>
      <c r="O28" s="1134"/>
      <c r="P28" s="3159"/>
      <c r="Q28" s="1787"/>
      <c r="R28" s="770"/>
      <c r="S28" s="771"/>
      <c r="T28" s="770"/>
      <c r="U28" s="771"/>
      <c r="V28" s="770"/>
      <c r="W28" s="771"/>
      <c r="X28" s="772"/>
      <c r="Y28" s="3159"/>
      <c r="Z28" s="55"/>
      <c r="AA28" s="1803">
        <v>1</v>
      </c>
      <c r="AB28" s="1803">
        <v>1</v>
      </c>
      <c r="AC28" s="1803">
        <v>1</v>
      </c>
    </row>
    <row r="29" spans="1:29" s="117" customFormat="1" ht="28.5">
      <c r="A29" s="649"/>
      <c r="B29" s="1384" t="s">
        <v>2654</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59"/>
      <c r="Q29" s="1787" t="str">
        <f t="shared" ref="Q29" si="9">B29</f>
        <v>基础设施水平</v>
      </c>
      <c r="R29" s="770" t="s">
        <v>17</v>
      </c>
      <c r="S29" s="771">
        <f>F29</f>
        <v>100</v>
      </c>
      <c r="T29" s="770" t="s">
        <v>17</v>
      </c>
      <c r="U29" s="771">
        <f>H29</f>
        <v>100</v>
      </c>
      <c r="V29" s="770" t="s">
        <v>17</v>
      </c>
      <c r="W29" s="771">
        <f>J29</f>
        <v>100</v>
      </c>
      <c r="X29" s="772"/>
      <c r="Y29" s="3159"/>
      <c r="Z29" s="55" t="str">
        <f>Q29</f>
        <v>基础设施水平</v>
      </c>
      <c r="AA29" s="1803">
        <f>D29/F29</f>
        <v>1</v>
      </c>
      <c r="AB29" s="1803">
        <f>D29/H29</f>
        <v>1</v>
      </c>
      <c r="AC29" s="1803">
        <f>D29/J29</f>
        <v>1</v>
      </c>
    </row>
    <row r="30" spans="1:29" s="117" customFormat="1" ht="15">
      <c r="A30" s="649"/>
      <c r="B30" s="456"/>
      <c r="C30" s="2692"/>
      <c r="D30" s="448"/>
      <c r="E30" s="2693"/>
      <c r="F30" s="448"/>
      <c r="G30" s="2693"/>
      <c r="H30" s="448"/>
      <c r="I30" s="2693"/>
      <c r="J30" s="448"/>
      <c r="K30" s="672"/>
      <c r="L30" s="1132"/>
      <c r="M30" s="1133"/>
      <c r="N30" s="1133"/>
      <c r="O30" s="1134"/>
      <c r="P30" s="3159"/>
      <c r="Q30" s="1787"/>
      <c r="R30" s="770"/>
      <c r="S30" s="771"/>
      <c r="T30" s="770"/>
      <c r="U30" s="771"/>
      <c r="V30" s="770"/>
      <c r="W30" s="771"/>
      <c r="X30" s="772"/>
      <c r="Y30" s="3159"/>
      <c r="Z30" s="55"/>
      <c r="AA30" s="1803">
        <v>1</v>
      </c>
      <c r="AB30" s="1803">
        <v>1</v>
      </c>
      <c r="AC30" s="1803">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59"/>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159"/>
      <c r="Z31" s="1806" t="str">
        <f t="shared" ref="Z31:Z45" si="13">Q31</f>
        <v>临街状况</v>
      </c>
      <c r="AA31" s="1803">
        <f t="shared" si="3"/>
        <v>1</v>
      </c>
      <c r="AB31" s="1803">
        <f t="shared" si="4"/>
        <v>1</v>
      </c>
      <c r="AC31" s="1803">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59"/>
      <c r="Q32" s="1802" t="str">
        <f t="shared" si="8"/>
        <v>毗邻道路的类型与等级</v>
      </c>
      <c r="R32" s="774" t="s">
        <v>17</v>
      </c>
      <c r="S32" s="775">
        <f t="shared" si="10"/>
        <v>100</v>
      </c>
      <c r="T32" s="774" t="s">
        <v>17</v>
      </c>
      <c r="U32" s="775">
        <f t="shared" si="11"/>
        <v>100</v>
      </c>
      <c r="V32" s="774" t="s">
        <v>17</v>
      </c>
      <c r="W32" s="775">
        <f t="shared" si="12"/>
        <v>100</v>
      </c>
      <c r="X32" s="1805"/>
      <c r="Y32" s="3159"/>
      <c r="Z32" s="1806" t="str">
        <f t="shared" si="13"/>
        <v>毗邻道路的类型与等级</v>
      </c>
      <c r="AA32" s="1803">
        <f t="shared" si="3"/>
        <v>1</v>
      </c>
      <c r="AB32" s="1803">
        <f t="shared" si="4"/>
        <v>1</v>
      </c>
      <c r="AC32" s="1803">
        <f t="shared" si="5"/>
        <v>1</v>
      </c>
    </row>
    <row r="33" spans="1:29" ht="15">
      <c r="A33" s="428"/>
      <c r="B33" s="456"/>
      <c r="C33" s="447"/>
      <c r="D33" s="448"/>
      <c r="E33" s="2605"/>
      <c r="F33" s="448"/>
      <c r="G33" s="2605"/>
      <c r="H33" s="448"/>
      <c r="I33" s="447"/>
      <c r="J33" s="448"/>
      <c r="K33" s="613"/>
      <c r="L33" s="1140"/>
      <c r="M33" s="1131"/>
      <c r="N33" s="1131"/>
      <c r="O33" s="1139"/>
      <c r="P33" s="3159"/>
      <c r="Q33" s="1802"/>
      <c r="R33" s="774"/>
      <c r="S33" s="775"/>
      <c r="T33" s="774"/>
      <c r="U33" s="775"/>
      <c r="V33" s="774"/>
      <c r="W33" s="775"/>
      <c r="X33" s="1805"/>
      <c r="Y33" s="3159"/>
      <c r="Z33" s="1806"/>
      <c r="AA33" s="1803">
        <v>1</v>
      </c>
      <c r="AB33" s="1803">
        <v>1</v>
      </c>
      <c r="AC33" s="180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59"/>
      <c r="Q34" s="1802" t="str">
        <f t="shared" si="8"/>
        <v>土地级别</v>
      </c>
      <c r="R34" s="774" t="s">
        <v>17</v>
      </c>
      <c r="S34" s="775">
        <f t="shared" si="10"/>
        <v>100</v>
      </c>
      <c r="T34" s="774" t="s">
        <v>17</v>
      </c>
      <c r="U34" s="775">
        <f t="shared" si="11"/>
        <v>100</v>
      </c>
      <c r="V34" s="774" t="s">
        <v>17</v>
      </c>
      <c r="W34" s="775">
        <f t="shared" si="12"/>
        <v>100</v>
      </c>
      <c r="X34" s="1805"/>
      <c r="Y34" s="3159"/>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59"/>
      <c r="Q35" s="1802">
        <f t="shared" si="8"/>
        <v>111</v>
      </c>
      <c r="R35" s="774" t="s">
        <v>17</v>
      </c>
      <c r="S35" s="775">
        <f t="shared" si="10"/>
        <v>100</v>
      </c>
      <c r="T35" s="774" t="s">
        <v>17</v>
      </c>
      <c r="U35" s="775">
        <f t="shared" si="11"/>
        <v>100</v>
      </c>
      <c r="V35" s="774" t="s">
        <v>17</v>
      </c>
      <c r="W35" s="775">
        <f t="shared" si="12"/>
        <v>100</v>
      </c>
      <c r="X35" s="1805"/>
      <c r="Y35" s="3159"/>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4" t="s">
        <v>2564</v>
      </c>
      <c r="Q36" s="1802">
        <f t="shared" si="8"/>
        <v>111</v>
      </c>
      <c r="R36" s="774" t="s">
        <v>17</v>
      </c>
      <c r="S36" s="775">
        <f t="shared" si="10"/>
        <v>100</v>
      </c>
      <c r="T36" s="774" t="s">
        <v>17</v>
      </c>
      <c r="U36" s="775">
        <f t="shared" si="11"/>
        <v>100</v>
      </c>
      <c r="V36" s="774" t="s">
        <v>17</v>
      </c>
      <c r="W36" s="775">
        <f t="shared" si="12"/>
        <v>100</v>
      </c>
      <c r="X36" s="1805"/>
      <c r="Y36" s="3163" t="s">
        <v>2564</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63"/>
      <c r="Q37" s="1802">
        <f t="shared" si="8"/>
        <v>111</v>
      </c>
      <c r="R37" s="777" t="s">
        <v>17</v>
      </c>
      <c r="S37" s="778">
        <f t="shared" si="10"/>
        <v>100</v>
      </c>
      <c r="T37" s="777" t="s">
        <v>17</v>
      </c>
      <c r="U37" s="778">
        <f t="shared" si="11"/>
        <v>100</v>
      </c>
      <c r="V37" s="777" t="s">
        <v>17</v>
      </c>
      <c r="W37" s="778">
        <f t="shared" si="12"/>
        <v>100</v>
      </c>
      <c r="X37" s="779"/>
      <c r="Y37" s="3163"/>
      <c r="Z37" s="780">
        <f t="shared" si="13"/>
        <v>111</v>
      </c>
      <c r="AA37" s="1803">
        <f t="shared" si="3"/>
        <v>1</v>
      </c>
      <c r="AB37" s="1803">
        <f t="shared" si="4"/>
        <v>1</v>
      </c>
      <c r="AC37" s="1803">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63"/>
      <c r="Q38" s="1802" t="str">
        <f>B38</f>
        <v>宗地面积</v>
      </c>
      <c r="R38" s="774" t="s">
        <v>17</v>
      </c>
      <c r="S38" s="775" t="e">
        <f t="shared" si="10"/>
        <v>#N/A</v>
      </c>
      <c r="T38" s="774" t="s">
        <v>17</v>
      </c>
      <c r="U38" s="775" t="e">
        <f t="shared" si="11"/>
        <v>#N/A</v>
      </c>
      <c r="V38" s="774" t="s">
        <v>17</v>
      </c>
      <c r="W38" s="775" t="e">
        <f t="shared" si="12"/>
        <v>#N/A</v>
      </c>
      <c r="X38" s="1805"/>
      <c r="Y38" s="3163"/>
      <c r="Z38" s="1806" t="str">
        <f t="shared" si="13"/>
        <v>宗地面积</v>
      </c>
      <c r="AA38" s="1803" t="e">
        <f t="shared" si="3"/>
        <v>#N/A</v>
      </c>
      <c r="AB38" s="1803" t="e">
        <f t="shared" si="4"/>
        <v>#N/A</v>
      </c>
      <c r="AC38" s="1803" t="e">
        <f t="shared" si="5"/>
        <v>#N/A</v>
      </c>
    </row>
    <row r="39" spans="1:29" ht="15">
      <c r="A39" s="472"/>
      <c r="B39" s="422" t="s">
        <v>2751</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163"/>
      <c r="Q39" s="1802" t="str">
        <f t="shared" ref="Q39:Q45" si="14">B39</f>
        <v>宗地形状</v>
      </c>
      <c r="R39" s="774" t="s">
        <v>17</v>
      </c>
      <c r="S39" s="775">
        <f t="shared" si="10"/>
        <v>100</v>
      </c>
      <c r="T39" s="774" t="s">
        <v>17</v>
      </c>
      <c r="U39" s="775">
        <f t="shared" si="11"/>
        <v>100</v>
      </c>
      <c r="V39" s="774" t="s">
        <v>17</v>
      </c>
      <c r="W39" s="775">
        <f t="shared" si="12"/>
        <v>100</v>
      </c>
      <c r="X39" s="1805"/>
      <c r="Y39" s="3163"/>
      <c r="Z39" s="1806" t="str">
        <f t="shared" si="13"/>
        <v>宗地形状</v>
      </c>
      <c r="AA39" s="1803">
        <f t="shared" si="3"/>
        <v>1</v>
      </c>
      <c r="AB39" s="1803">
        <f t="shared" si="4"/>
        <v>1</v>
      </c>
      <c r="AC39" s="1803">
        <f t="shared" si="5"/>
        <v>1</v>
      </c>
    </row>
    <row r="40" spans="1:29" ht="15">
      <c r="A40" s="472"/>
      <c r="B40" s="422" t="s">
        <v>2752</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163"/>
      <c r="Q40" s="1802" t="str">
        <f t="shared" si="14"/>
        <v>临街宽度及深度</v>
      </c>
      <c r="R40" s="774" t="s">
        <v>17</v>
      </c>
      <c r="S40" s="775">
        <f t="shared" si="10"/>
        <v>100</v>
      </c>
      <c r="T40" s="774" t="s">
        <v>17</v>
      </c>
      <c r="U40" s="775">
        <f t="shared" si="11"/>
        <v>100</v>
      </c>
      <c r="V40" s="774" t="s">
        <v>17</v>
      </c>
      <c r="W40" s="775">
        <f t="shared" si="12"/>
        <v>100</v>
      </c>
      <c r="X40" s="1805"/>
      <c r="Y40" s="3163"/>
      <c r="Z40" s="1806" t="str">
        <f t="shared" si="13"/>
        <v>临街宽度及深度</v>
      </c>
      <c r="AA40" s="1803">
        <f t="shared" si="3"/>
        <v>1</v>
      </c>
      <c r="AB40" s="1803">
        <f t="shared" si="4"/>
        <v>1</v>
      </c>
      <c r="AC40" s="1803">
        <f t="shared" si="5"/>
        <v>1</v>
      </c>
    </row>
    <row r="41" spans="1:29" s="117" customFormat="1" ht="15">
      <c r="A41" s="473"/>
      <c r="B41" s="422" t="s">
        <v>2753</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32"/>
      <c r="M41" s="1133"/>
      <c r="N41" s="1133"/>
      <c r="O41" s="1134"/>
      <c r="P41" s="3163"/>
      <c r="Q41" s="1802" t="str">
        <f t="shared" si="14"/>
        <v>宗地开发程度</v>
      </c>
      <c r="R41" s="770" t="s">
        <v>17</v>
      </c>
      <c r="S41" s="771">
        <f t="shared" si="10"/>
        <v>100</v>
      </c>
      <c r="T41" s="770" t="s">
        <v>17</v>
      </c>
      <c r="U41" s="771">
        <f t="shared" si="11"/>
        <v>100</v>
      </c>
      <c r="V41" s="770" t="s">
        <v>17</v>
      </c>
      <c r="W41" s="771">
        <f t="shared" si="12"/>
        <v>100</v>
      </c>
      <c r="X41" s="772"/>
      <c r="Y41" s="3163"/>
      <c r="Z41" s="55" t="str">
        <f t="shared" si="13"/>
        <v>宗地开发程度</v>
      </c>
      <c r="AA41" s="773">
        <f t="shared" si="3"/>
        <v>1</v>
      </c>
      <c r="AB41" s="773">
        <f t="shared" si="4"/>
        <v>1</v>
      </c>
      <c r="AC41" s="773">
        <f t="shared" si="5"/>
        <v>1</v>
      </c>
    </row>
    <row r="42" spans="1:29" ht="15">
      <c r="A42" s="472"/>
      <c r="B42" s="422" t="s">
        <v>2754</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163" t="s">
        <v>2564</v>
      </c>
      <c r="Q42" s="1802" t="str">
        <f t="shared" si="14"/>
        <v>工程地质条件</v>
      </c>
      <c r="R42" s="774" t="s">
        <v>17</v>
      </c>
      <c r="S42" s="775">
        <f t="shared" si="10"/>
        <v>100</v>
      </c>
      <c r="T42" s="774" t="s">
        <v>17</v>
      </c>
      <c r="U42" s="775">
        <f t="shared" si="11"/>
        <v>100</v>
      </c>
      <c r="V42" s="774" t="s">
        <v>17</v>
      </c>
      <c r="W42" s="775">
        <f t="shared" si="12"/>
        <v>100</v>
      </c>
      <c r="X42" s="1805"/>
      <c r="Y42" s="3163" t="s">
        <v>2564</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63"/>
      <c r="Q43" s="1802">
        <f t="shared" si="14"/>
        <v>111</v>
      </c>
      <c r="R43" s="774" t="s">
        <v>17</v>
      </c>
      <c r="S43" s="775">
        <f t="shared" si="10"/>
        <v>100</v>
      </c>
      <c r="T43" s="774" t="s">
        <v>17</v>
      </c>
      <c r="U43" s="775">
        <f t="shared" si="11"/>
        <v>100</v>
      </c>
      <c r="V43" s="774" t="s">
        <v>17</v>
      </c>
      <c r="W43" s="775">
        <f t="shared" si="12"/>
        <v>100</v>
      </c>
      <c r="X43" s="1805"/>
      <c r="Y43" s="3163"/>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63"/>
      <c r="Q44" s="1802">
        <f t="shared" si="14"/>
        <v>111</v>
      </c>
      <c r="R44" s="774" t="s">
        <v>17</v>
      </c>
      <c r="S44" s="775">
        <f t="shared" si="10"/>
        <v>100</v>
      </c>
      <c r="T44" s="774" t="s">
        <v>17</v>
      </c>
      <c r="U44" s="775">
        <f t="shared" si="11"/>
        <v>100</v>
      </c>
      <c r="V44" s="774" t="s">
        <v>17</v>
      </c>
      <c r="W44" s="775">
        <f t="shared" si="12"/>
        <v>100</v>
      </c>
      <c r="X44" s="1805"/>
      <c r="Y44" s="3163"/>
      <c r="Z44" s="1806">
        <f t="shared" si="13"/>
        <v>111</v>
      </c>
      <c r="AA44" s="1803">
        <f t="shared" si="3"/>
        <v>1</v>
      </c>
      <c r="AB44" s="1803">
        <f t="shared" si="4"/>
        <v>1</v>
      </c>
      <c r="AC44" s="1803">
        <f t="shared" si="5"/>
        <v>1</v>
      </c>
    </row>
    <row r="45" spans="1:29" s="471" customFormat="1" ht="15.75" thickBot="1">
      <c r="A45" s="468"/>
      <c r="B45" s="1387">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63"/>
      <c r="Q45" s="1802">
        <f t="shared" si="14"/>
        <v>111</v>
      </c>
      <c r="R45" s="777" t="s">
        <v>17</v>
      </c>
      <c r="S45" s="778">
        <f t="shared" si="10"/>
        <v>100</v>
      </c>
      <c r="T45" s="777" t="s">
        <v>17</v>
      </c>
      <c r="U45" s="778">
        <f t="shared" si="11"/>
        <v>100</v>
      </c>
      <c r="V45" s="777" t="s">
        <v>17</v>
      </c>
      <c r="W45" s="778">
        <f t="shared" si="12"/>
        <v>100</v>
      </c>
      <c r="X45" s="779"/>
      <c r="Y45" s="3163"/>
      <c r="Z45" s="780">
        <f t="shared" si="13"/>
        <v>111</v>
      </c>
      <c r="AA45" s="1803">
        <f t="shared" si="3"/>
        <v>1</v>
      </c>
      <c r="AB45" s="1803">
        <f t="shared" si="4"/>
        <v>1</v>
      </c>
      <c r="AC45" s="1803">
        <f t="shared" si="5"/>
        <v>1</v>
      </c>
    </row>
    <row r="46" spans="1:29" ht="15">
      <c r="A46" s="479" t="s">
        <v>2719</v>
      </c>
      <c r="B46" s="2696" t="s">
        <v>2755</v>
      </c>
      <c r="C46" s="682" t="s">
        <v>1</v>
      </c>
      <c r="D46" s="481"/>
      <c r="E46" s="482"/>
      <c r="F46" s="483"/>
      <c r="G46" s="484"/>
      <c r="H46" s="485"/>
      <c r="I46" s="482"/>
      <c r="J46" s="485"/>
      <c r="K46" s="783"/>
      <c r="L46" s="1143"/>
      <c r="M46" s="1144"/>
      <c r="N46" s="1131"/>
      <c r="O46" s="1144"/>
      <c r="P46" s="3156" t="str">
        <f>A46</f>
        <v>成交单价</v>
      </c>
      <c r="Q46" s="3156"/>
      <c r="R46" s="3187">
        <f>E46</f>
        <v>0</v>
      </c>
      <c r="S46" s="3187"/>
      <c r="T46" s="3187">
        <f>G46</f>
        <v>0</v>
      </c>
      <c r="U46" s="3187"/>
      <c r="V46" s="3187">
        <f>I46</f>
        <v>0</v>
      </c>
      <c r="W46" s="3187"/>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56" t="str">
        <f>A47</f>
        <v>比较价值（元/平方米）</v>
      </c>
      <c r="Q47" s="3156"/>
      <c r="R47" s="3245" t="e">
        <f>ROUND(PRODUCT(R46,AA7:AA45),0)</f>
        <v>#DIV/0!</v>
      </c>
      <c r="S47" s="3245"/>
      <c r="T47" s="3245" t="e">
        <f>ROUND(PRODUCT(T46,AB7:AB45),0)</f>
        <v>#DIV/0!</v>
      </c>
      <c r="U47" s="3245"/>
      <c r="V47" s="3245" t="e">
        <f>ROUND(PRODUCT(V46,AC7:AC45),0)</f>
        <v>#DIV/0!</v>
      </c>
      <c r="W47" s="3245"/>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53" t="str">
        <f>A48</f>
        <v>估价对象XX用房的比较价值（楼面单价，元/平方米）</v>
      </c>
      <c r="Q48" s="3154"/>
      <c r="R48" s="3246" t="e">
        <f>ROUND(AVERAGE(R47:V47),0)</f>
        <v>#DIV/0!</v>
      </c>
      <c r="S48" s="3246"/>
      <c r="T48" s="3246"/>
      <c r="U48" s="3246"/>
      <c r="V48" s="3246"/>
      <c r="W48" s="324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697" t="s">
        <v>2759</v>
      </c>
      <c r="D55" s="2698" t="s">
        <v>2760</v>
      </c>
      <c r="E55" s="686" t="s">
        <v>2761</v>
      </c>
      <c r="F55" s="1107" t="s">
        <v>2762</v>
      </c>
      <c r="G55" s="3171" t="s">
        <v>2763</v>
      </c>
      <c r="H55" s="3247"/>
      <c r="I55" s="144" t="s">
        <v>2764</v>
      </c>
      <c r="J55" s="2699">
        <f>项目基本情况!F35</f>
        <v>0</v>
      </c>
      <c r="K55" s="2700" t="s">
        <v>2765</v>
      </c>
      <c r="L55" s="1106"/>
      <c r="M55" s="1144"/>
      <c r="N55" s="1144"/>
      <c r="O55" s="1144"/>
    </row>
    <row r="56" spans="1:15" s="692" customFormat="1">
      <c r="A56" s="688" t="s">
        <v>2766</v>
      </c>
      <c r="B56" s="689" t="e">
        <f>C48</f>
        <v>#DIV/0!</v>
      </c>
      <c r="C56" s="690">
        <v>1</v>
      </c>
      <c r="D56" s="1163">
        <v>1</v>
      </c>
      <c r="E56" s="690">
        <f>'数据-汇总表'!E8+'数据-汇总表'!E9</f>
        <v>232.53</v>
      </c>
      <c r="F56" s="1103" t="e">
        <f t="shared" ref="F56:F65" si="15">ROUND(B56*E56/10000,0)</f>
        <v>#DIV/0!</v>
      </c>
      <c r="G56" s="3167"/>
      <c r="H56" s="3156"/>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48"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48"/>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48"/>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48"/>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1"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0.2</v>
      </c>
      <c r="D63" s="1164">
        <v>0.25</v>
      </c>
      <c r="E63" s="261">
        <f>'数据-汇总表'!E13</f>
        <v>0</v>
      </c>
      <c r="F63" s="1103" t="e">
        <f t="shared" si="15"/>
        <v>#DIV/0!</v>
      </c>
      <c r="G63" s="1109" t="s">
        <v>2777</v>
      </c>
      <c r="H63" s="1104" t="str">
        <f>IF(G63="商业",项目基本情况!B37,IF(G63="办公",项目基本情况!C37,IF(G63="住宅",项目基本情况!D37,项目基本情况!E37)))</f>
        <v>六级</v>
      </c>
      <c r="I63" s="1108">
        <f>SUMIF(修正!A45:A56,H63,修正!H45:H56)</f>
        <v>0.2</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1"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2"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232.53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3" t="s">
        <v>2781</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04" t="s">
        <v>2782</v>
      </c>
      <c r="B71" s="332" t="str">
        <f>"北京市平均增长率"&amp;TEXT(SUMIF(基准地价修正!N21:N25,A71,基准地价修正!P21:P25),"0.00%")</f>
        <v>北京市平均增长率1.95%</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1" t="s">
        <v>2645</v>
      </c>
      <c r="D4" s="3172"/>
      <c r="E4" s="3173" t="s">
        <v>2646</v>
      </c>
      <c r="F4" s="3174"/>
      <c r="G4" s="3171" t="s">
        <v>2647</v>
      </c>
      <c r="H4" s="3172"/>
      <c r="I4" s="3171" t="s">
        <v>2648</v>
      </c>
      <c r="J4" s="3172"/>
      <c r="K4" s="610" t="s">
        <v>2649</v>
      </c>
      <c r="L4" s="1130"/>
      <c r="M4" s="1131"/>
      <c r="N4" s="1131"/>
      <c r="O4" s="1131"/>
      <c r="P4" s="3175" t="s">
        <v>2650</v>
      </c>
      <c r="Q4" s="3176"/>
      <c r="R4" s="3181" t="s">
        <v>2646</v>
      </c>
      <c r="S4" s="3182"/>
      <c r="T4" s="3181" t="s">
        <v>2647</v>
      </c>
      <c r="U4" s="3182"/>
      <c r="V4" s="3187" t="s">
        <v>2648</v>
      </c>
      <c r="W4" s="3187"/>
      <c r="X4" s="1805"/>
      <c r="Y4" s="3181" t="s">
        <v>2650</v>
      </c>
      <c r="Z4" s="3182"/>
      <c r="AA4" s="3168" t="s">
        <v>2646</v>
      </c>
      <c r="AB4" s="3169" t="s">
        <v>2647</v>
      </c>
      <c r="AC4" s="3168" t="s">
        <v>2648</v>
      </c>
    </row>
    <row r="5" spans="1:29" ht="15">
      <c r="A5" s="404"/>
      <c r="B5" s="405"/>
      <c r="C5" s="3190" t="s">
        <v>2541</v>
      </c>
      <c r="D5" s="3191"/>
      <c r="E5" s="3197" t="s">
        <v>2542</v>
      </c>
      <c r="F5" s="3198"/>
      <c r="G5" s="3190" t="s">
        <v>2543</v>
      </c>
      <c r="H5" s="3191"/>
      <c r="I5" s="3190" t="s">
        <v>2544</v>
      </c>
      <c r="J5" s="3191"/>
      <c r="K5" s="610"/>
      <c r="L5" s="1130"/>
      <c r="M5" s="1131"/>
      <c r="N5" s="1131"/>
      <c r="O5" s="1131"/>
      <c r="P5" s="3177"/>
      <c r="Q5" s="3178"/>
      <c r="R5" s="3183"/>
      <c r="S5" s="3184"/>
      <c r="T5" s="3183"/>
      <c r="U5" s="3184"/>
      <c r="V5" s="3187"/>
      <c r="W5" s="3187"/>
      <c r="X5" s="1805"/>
      <c r="Y5" s="3183"/>
      <c r="Z5" s="3184"/>
      <c r="AA5" s="3169"/>
      <c r="AB5" s="3169"/>
      <c r="AC5" s="3169"/>
    </row>
    <row r="6" spans="1:29" ht="15.75" thickBot="1">
      <c r="A6" s="406"/>
      <c r="B6" s="407"/>
      <c r="C6" s="3249" t="s">
        <v>2796</v>
      </c>
      <c r="D6" s="3250"/>
      <c r="E6" s="3251" t="s">
        <v>2796</v>
      </c>
      <c r="F6" s="3252"/>
      <c r="G6" s="3249" t="s">
        <v>2796</v>
      </c>
      <c r="H6" s="3250"/>
      <c r="I6" s="3249" t="s">
        <v>2796</v>
      </c>
      <c r="J6" s="3250"/>
      <c r="K6" s="610" t="s">
        <v>2546</v>
      </c>
      <c r="L6" s="1130"/>
      <c r="M6" s="1131"/>
      <c r="N6" s="1131"/>
      <c r="O6" s="1131"/>
      <c r="P6" s="3179"/>
      <c r="Q6" s="3180"/>
      <c r="R6" s="3183"/>
      <c r="S6" s="3184"/>
      <c r="T6" s="3185"/>
      <c r="U6" s="3186"/>
      <c r="V6" s="3187"/>
      <c r="W6" s="3187"/>
      <c r="X6" s="1805"/>
      <c r="Y6" s="3185"/>
      <c r="Z6" s="3186"/>
      <c r="AA6" s="3170"/>
      <c r="AB6" s="3170"/>
      <c r="AC6" s="3170"/>
    </row>
    <row r="7" spans="1:29" s="117" customFormat="1" ht="15.75" thickBot="1">
      <c r="A7" s="408" t="s">
        <v>2547</v>
      </c>
      <c r="B7" s="409"/>
      <c r="C7" s="410">
        <f>'数据-取费表'!B2</f>
        <v>44032</v>
      </c>
      <c r="D7" s="411">
        <v>100</v>
      </c>
      <c r="E7" s="412"/>
      <c r="F7" s="413">
        <f>SUMIF(65:65,YEAR(E7)&amp;"-"&amp;INT((MONTH(E7)+2)/3),66:66)</f>
        <v>0</v>
      </c>
      <c r="G7" s="2688"/>
      <c r="H7" s="411">
        <f>SUMIF(65:65,YEAR(G7)&amp;"-"&amp;INT((MONTH(G7)+2)/3),66:66)</f>
        <v>0</v>
      </c>
      <c r="I7" s="2688"/>
      <c r="J7" s="411">
        <f>SUMIF(65:65,YEAR(I7)&amp;"-"&amp;INT((MONTH(I7)+2)/3),66:66)</f>
        <v>0</v>
      </c>
      <c r="K7" s="611"/>
      <c r="L7" s="1132"/>
      <c r="M7" s="1133"/>
      <c r="N7" s="1133"/>
      <c r="O7" s="1133"/>
      <c r="P7" s="3192" t="s">
        <v>2548</v>
      </c>
      <c r="Q7" s="3194"/>
      <c r="R7" s="770" t="s">
        <v>17</v>
      </c>
      <c r="S7" s="771">
        <f t="shared" ref="S7:S15" si="0">F7</f>
        <v>0</v>
      </c>
      <c r="T7" s="770" t="s">
        <v>17</v>
      </c>
      <c r="U7" s="771">
        <f t="shared" ref="U7:U15" si="1">H7</f>
        <v>0</v>
      </c>
      <c r="V7" s="770" t="s">
        <v>17</v>
      </c>
      <c r="W7" s="771">
        <f t="shared" ref="W7:W15" si="2">J7</f>
        <v>0</v>
      </c>
      <c r="X7" s="772"/>
      <c r="Y7" s="3192" t="s">
        <v>2548</v>
      </c>
      <c r="Z7" s="3193"/>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2" t="s">
        <v>2551</v>
      </c>
      <c r="Q8" s="3193"/>
      <c r="R8" s="770" t="s">
        <v>17</v>
      </c>
      <c r="S8" s="771">
        <f t="shared" si="0"/>
        <v>0</v>
      </c>
      <c r="T8" s="770" t="s">
        <v>17</v>
      </c>
      <c r="U8" s="771">
        <f t="shared" si="1"/>
        <v>0</v>
      </c>
      <c r="V8" s="770" t="s">
        <v>17</v>
      </c>
      <c r="W8" s="771">
        <f t="shared" si="2"/>
        <v>0</v>
      </c>
      <c r="X8" s="772"/>
      <c r="Y8" s="3192" t="s">
        <v>2551</v>
      </c>
      <c r="Z8" s="3193"/>
      <c r="AA8" s="773" t="e">
        <f t="shared" ref="AA8:AA40" si="3">D8/F8</f>
        <v>#DIV/0!</v>
      </c>
      <c r="AB8" s="773" t="e">
        <f t="shared" ref="AB8:AB40" si="4">D8/H8</f>
        <v>#DIV/0!</v>
      </c>
      <c r="AC8" s="773" t="e">
        <f t="shared" ref="AC8:AC40" si="5">D8/J8</f>
        <v>#DIV/0!</v>
      </c>
    </row>
    <row r="9" spans="1:29" s="117" customFormat="1">
      <c r="A9" s="415" t="s">
        <v>2552</v>
      </c>
      <c r="B9" s="71" t="s">
        <v>2553</v>
      </c>
      <c r="C9" s="2691"/>
      <c r="D9" s="135">
        <v>100</v>
      </c>
      <c r="E9" s="2691"/>
      <c r="F9" s="135">
        <f>SUMIF(70:70,E9,71:71)-SUMIF(70:70,C9,71:71)+100</f>
        <v>100</v>
      </c>
      <c r="G9" s="2691"/>
      <c r="H9" s="135">
        <f>SUMIF(70:70,G9,71:71)-SUMIF(70:70,C9,71:71)+100</f>
        <v>100</v>
      </c>
      <c r="I9" s="2691"/>
      <c r="J9" s="135">
        <f>SUMIF(70:70,I9,71:71)-SUMIF(70:70,C9,71:71)+100</f>
        <v>100</v>
      </c>
      <c r="K9" s="611"/>
      <c r="L9" s="1132"/>
      <c r="M9" s="1133"/>
      <c r="N9" s="1133"/>
      <c r="O9" s="1134"/>
      <c r="P9" s="3156" t="s">
        <v>2554</v>
      </c>
      <c r="Q9" s="1787"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156"/>
      <c r="Q10" s="1787" t="str">
        <f t="shared" si="6"/>
        <v>土地使用年限（年）</v>
      </c>
      <c r="R10" s="770" t="s">
        <v>17</v>
      </c>
      <c r="S10" s="771">
        <f t="shared" si="0"/>
        <v>110</v>
      </c>
      <c r="T10" s="770" t="s">
        <v>17</v>
      </c>
      <c r="U10" s="771">
        <f t="shared" si="1"/>
        <v>110</v>
      </c>
      <c r="V10" s="770" t="s">
        <v>17</v>
      </c>
      <c r="W10" s="771">
        <f t="shared" si="2"/>
        <v>110</v>
      </c>
      <c r="X10" s="772"/>
      <c r="Y10" s="3009"/>
      <c r="Z10" s="55" t="str">
        <f t="shared" si="7"/>
        <v>土地使用年限（年）</v>
      </c>
      <c r="AA10" s="773">
        <f t="shared" si="3"/>
        <v>0.90909090909090906</v>
      </c>
      <c r="AB10" s="773">
        <f t="shared" si="4"/>
        <v>0.90909090909090906</v>
      </c>
      <c r="AC10" s="773">
        <f t="shared" si="5"/>
        <v>0.90909090909090906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56"/>
      <c r="Q11" s="178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6"/>
      <c r="Q12" s="178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6"/>
      <c r="Q13" s="178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6"/>
      <c r="Q14" s="178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2558</v>
      </c>
      <c r="B15" s="629" t="s">
        <v>2797</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58" t="s">
        <v>2559</v>
      </c>
      <c r="Q15" s="1802" t="str">
        <f t="shared" si="6"/>
        <v>产业集聚程度</v>
      </c>
      <c r="R15" s="774" t="s">
        <v>17</v>
      </c>
      <c r="S15" s="775">
        <f t="shared" si="0"/>
        <v>100</v>
      </c>
      <c r="T15" s="774" t="s">
        <v>17</v>
      </c>
      <c r="U15" s="775">
        <f t="shared" si="1"/>
        <v>100</v>
      </c>
      <c r="V15" s="774" t="s">
        <v>17</v>
      </c>
      <c r="W15" s="775">
        <f t="shared" si="2"/>
        <v>100</v>
      </c>
      <c r="X15" s="1805"/>
      <c r="Y15" s="3158" t="s">
        <v>2559</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159"/>
      <c r="Q16" s="1802"/>
      <c r="R16" s="774"/>
      <c r="S16" s="775"/>
      <c r="T16" s="774"/>
      <c r="U16" s="775"/>
      <c r="V16" s="774"/>
      <c r="W16" s="775"/>
      <c r="X16" s="1805"/>
      <c r="Y16" s="3159"/>
      <c r="Z16" s="1806"/>
      <c r="AA16" s="1803">
        <v>1</v>
      </c>
      <c r="AB16" s="1803">
        <v>1</v>
      </c>
      <c r="AC16" s="1803">
        <v>1</v>
      </c>
    </row>
    <row r="17" spans="1:29" ht="85.5">
      <c r="A17" s="428"/>
      <c r="B17" s="631" t="s">
        <v>2708</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59"/>
      <c r="Q17" s="1802" t="str">
        <f>B17</f>
        <v>交通便捷度</v>
      </c>
      <c r="R17" s="774" t="s">
        <v>17</v>
      </c>
      <c r="S17" s="775">
        <f>F17</f>
        <v>100</v>
      </c>
      <c r="T17" s="774" t="s">
        <v>17</v>
      </c>
      <c r="U17" s="775">
        <f>H17</f>
        <v>100</v>
      </c>
      <c r="V17" s="774" t="s">
        <v>17</v>
      </c>
      <c r="W17" s="775">
        <f>J17</f>
        <v>100</v>
      </c>
      <c r="X17" s="1805"/>
      <c r="Y17" s="3159"/>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159"/>
      <c r="Q18" s="1802"/>
      <c r="R18" s="774"/>
      <c r="S18" s="775"/>
      <c r="T18" s="774"/>
      <c r="U18" s="775"/>
      <c r="V18" s="774"/>
      <c r="W18" s="775"/>
      <c r="X18" s="1805"/>
      <c r="Y18" s="3159"/>
      <c r="Z18" s="1806"/>
      <c r="AA18" s="1803">
        <v>1</v>
      </c>
      <c r="AB18" s="1803">
        <v>1</v>
      </c>
      <c r="AC18" s="1803">
        <v>1</v>
      </c>
    </row>
    <row r="19" spans="1:29" ht="15">
      <c r="A19" s="428"/>
      <c r="B19" s="631" t="s">
        <v>2747</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59"/>
      <c r="Q19" s="1802" t="str">
        <f t="shared" ref="Q19:Q33" si="8">B19</f>
        <v>区域土地利用方向</v>
      </c>
      <c r="R19" s="774" t="s">
        <v>17</v>
      </c>
      <c r="S19" s="775">
        <f>F19</f>
        <v>100</v>
      </c>
      <c r="T19" s="774" t="s">
        <v>17</v>
      </c>
      <c r="U19" s="775">
        <f>H19</f>
        <v>100</v>
      </c>
      <c r="V19" s="774" t="s">
        <v>17</v>
      </c>
      <c r="W19" s="775">
        <f>J19</f>
        <v>100</v>
      </c>
      <c r="X19" s="1805"/>
      <c r="Y19" s="3159"/>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159"/>
      <c r="Q20" s="1802"/>
      <c r="R20" s="774"/>
      <c r="S20" s="775"/>
      <c r="T20" s="774"/>
      <c r="U20" s="775"/>
      <c r="V20" s="774"/>
      <c r="W20" s="775"/>
      <c r="X20" s="1805"/>
      <c r="Y20" s="3159"/>
      <c r="Z20" s="1806"/>
      <c r="AA20" s="1803"/>
      <c r="AB20" s="1803"/>
      <c r="AC20" s="1803"/>
    </row>
    <row r="21" spans="1:29" ht="71.25">
      <c r="A21" s="404"/>
      <c r="B21" s="631" t="s">
        <v>2798</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59"/>
      <c r="Q21" s="1802" t="str">
        <f t="shared" si="8"/>
        <v>环境状况</v>
      </c>
      <c r="R21" s="774" t="s">
        <v>17</v>
      </c>
      <c r="S21" s="775">
        <f>F21</f>
        <v>100</v>
      </c>
      <c r="T21" s="774" t="s">
        <v>17</v>
      </c>
      <c r="U21" s="775">
        <f>H21</f>
        <v>100</v>
      </c>
      <c r="V21" s="774" t="s">
        <v>17</v>
      </c>
      <c r="W21" s="775">
        <f>J21</f>
        <v>100</v>
      </c>
      <c r="X21" s="1805"/>
      <c r="Y21" s="3159"/>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159"/>
      <c r="Q22" s="1802"/>
      <c r="R22" s="774"/>
      <c r="S22" s="775"/>
      <c r="T22" s="774"/>
      <c r="U22" s="775"/>
      <c r="V22" s="774"/>
      <c r="W22" s="775"/>
      <c r="X22" s="1805"/>
      <c r="Y22" s="3159"/>
      <c r="Z22" s="1806"/>
      <c r="AA22" s="1803">
        <v>1</v>
      </c>
      <c r="AB22" s="1803">
        <v>1</v>
      </c>
      <c r="AC22" s="1803">
        <v>1</v>
      </c>
    </row>
    <row r="23" spans="1:29" s="117" customFormat="1" ht="42.75">
      <c r="A23" s="649"/>
      <c r="B23" s="633" t="s">
        <v>2653</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59"/>
      <c r="Q23" s="1787" t="str">
        <f t="shared" si="8"/>
        <v>公共配套设施</v>
      </c>
      <c r="R23" s="770" t="s">
        <v>17</v>
      </c>
      <c r="S23" s="771">
        <f>F23</f>
        <v>100</v>
      </c>
      <c r="T23" s="770" t="s">
        <v>17</v>
      </c>
      <c r="U23" s="771">
        <f>H23</f>
        <v>100</v>
      </c>
      <c r="V23" s="770" t="s">
        <v>17</v>
      </c>
      <c r="W23" s="771">
        <f>J23</f>
        <v>100</v>
      </c>
      <c r="X23" s="772"/>
      <c r="Y23" s="3159"/>
      <c r="Z23" s="55" t="str">
        <f>Q23</f>
        <v>公共配套设施</v>
      </c>
      <c r="AA23" s="1803">
        <f>D23/F23</f>
        <v>1</v>
      </c>
      <c r="AB23" s="1803">
        <f>D23/H23</f>
        <v>1</v>
      </c>
      <c r="AC23" s="1803">
        <f>D23/J23</f>
        <v>1</v>
      </c>
    </row>
    <row r="24" spans="1:29" s="117" customFormat="1" ht="15">
      <c r="A24" s="649"/>
      <c r="B24" s="632"/>
      <c r="C24" s="2692"/>
      <c r="D24" s="448"/>
      <c r="E24" s="2605"/>
      <c r="F24" s="448"/>
      <c r="G24" s="2605"/>
      <c r="H24" s="448"/>
      <c r="I24" s="447"/>
      <c r="J24" s="448"/>
      <c r="K24" s="672"/>
      <c r="L24" s="1132"/>
      <c r="M24" s="1133"/>
      <c r="N24" s="1133"/>
      <c r="O24" s="1134"/>
      <c r="P24" s="3159"/>
      <c r="Q24" s="1787"/>
      <c r="R24" s="770"/>
      <c r="S24" s="771"/>
      <c r="T24" s="770"/>
      <c r="U24" s="771"/>
      <c r="V24" s="770"/>
      <c r="W24" s="771"/>
      <c r="X24" s="772"/>
      <c r="Y24" s="3159"/>
      <c r="Z24" s="55"/>
      <c r="AA24" s="773">
        <v>1</v>
      </c>
      <c r="AB24" s="773">
        <v>1</v>
      </c>
      <c r="AC24" s="773">
        <v>1</v>
      </c>
    </row>
    <row r="25" spans="1:29" s="117" customFormat="1" ht="28.5">
      <c r="A25" s="649"/>
      <c r="B25" s="633" t="s">
        <v>2654</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59"/>
      <c r="Q25" s="1787" t="str">
        <f t="shared" ref="Q25" si="9">B25</f>
        <v>基础设施水平</v>
      </c>
      <c r="R25" s="770" t="s">
        <v>17</v>
      </c>
      <c r="S25" s="771">
        <f>F25</f>
        <v>100</v>
      </c>
      <c r="T25" s="770" t="s">
        <v>17</v>
      </c>
      <c r="U25" s="771">
        <f>H25</f>
        <v>100</v>
      </c>
      <c r="V25" s="770" t="s">
        <v>17</v>
      </c>
      <c r="W25" s="771">
        <f>J25</f>
        <v>100</v>
      </c>
      <c r="X25" s="772"/>
      <c r="Y25" s="3159"/>
      <c r="Z25" s="55" t="str">
        <f>Q25</f>
        <v>基础设施水平</v>
      </c>
      <c r="AA25" s="1803">
        <f>D25/F25</f>
        <v>1</v>
      </c>
      <c r="AB25" s="1803">
        <f>D25/H25</f>
        <v>1</v>
      </c>
      <c r="AC25" s="1803">
        <f>D25/J25</f>
        <v>1</v>
      </c>
    </row>
    <row r="26" spans="1:29" s="117" customFormat="1" ht="15">
      <c r="A26" s="649"/>
      <c r="B26" s="632"/>
      <c r="C26" s="2692"/>
      <c r="D26" s="448"/>
      <c r="E26" s="2693"/>
      <c r="F26" s="448"/>
      <c r="G26" s="2693"/>
      <c r="H26" s="448"/>
      <c r="I26" s="2693"/>
      <c r="J26" s="448"/>
      <c r="K26" s="672"/>
      <c r="L26" s="1132"/>
      <c r="M26" s="1133"/>
      <c r="N26" s="1133"/>
      <c r="O26" s="1134"/>
      <c r="P26" s="3159"/>
      <c r="Q26" s="1787"/>
      <c r="R26" s="770"/>
      <c r="S26" s="771"/>
      <c r="T26" s="770"/>
      <c r="U26" s="771"/>
      <c r="V26" s="770"/>
      <c r="W26" s="771"/>
      <c r="X26" s="772"/>
      <c r="Y26" s="315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59"/>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159"/>
      <c r="Z27" s="1806" t="str">
        <f t="shared" ref="Z27:Z40" si="13">Q27</f>
        <v>临街状况</v>
      </c>
      <c r="AA27" s="1803">
        <f t="shared" si="3"/>
        <v>1</v>
      </c>
      <c r="AB27" s="1803">
        <f t="shared" si="4"/>
        <v>1</v>
      </c>
      <c r="AC27" s="1803">
        <f t="shared" si="5"/>
        <v>1</v>
      </c>
    </row>
    <row r="28" spans="1:29" ht="27">
      <c r="A28" s="428"/>
      <c r="B28" s="633" t="s">
        <v>2690</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59"/>
      <c r="Q28" s="1802" t="str">
        <f t="shared" si="8"/>
        <v>毗邻道路的类型与等级</v>
      </c>
      <c r="R28" s="774" t="s">
        <v>17</v>
      </c>
      <c r="S28" s="775">
        <f t="shared" si="10"/>
        <v>100</v>
      </c>
      <c r="T28" s="774" t="s">
        <v>17</v>
      </c>
      <c r="U28" s="775">
        <f t="shared" si="11"/>
        <v>100</v>
      </c>
      <c r="V28" s="774" t="s">
        <v>17</v>
      </c>
      <c r="W28" s="775">
        <f t="shared" si="12"/>
        <v>100</v>
      </c>
      <c r="X28" s="1805"/>
      <c r="Y28" s="3159"/>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159"/>
      <c r="Q29" s="1802"/>
      <c r="R29" s="774"/>
      <c r="S29" s="775"/>
      <c r="T29" s="774"/>
      <c r="U29" s="775"/>
      <c r="V29" s="774"/>
      <c r="W29" s="775"/>
      <c r="X29" s="1805"/>
      <c r="Y29" s="3159"/>
      <c r="Z29" s="1806"/>
      <c r="AA29" s="1803">
        <v>1</v>
      </c>
      <c r="AB29" s="1803">
        <v>1</v>
      </c>
      <c r="AC29" s="1803">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59"/>
      <c r="Q30" s="1802" t="str">
        <f t="shared" si="8"/>
        <v>土地级别</v>
      </c>
      <c r="R30" s="774" t="s">
        <v>17</v>
      </c>
      <c r="S30" s="775">
        <f t="shared" si="10"/>
        <v>100</v>
      </c>
      <c r="T30" s="774" t="s">
        <v>17</v>
      </c>
      <c r="U30" s="775">
        <f t="shared" si="11"/>
        <v>100</v>
      </c>
      <c r="V30" s="774" t="s">
        <v>17</v>
      </c>
      <c r="W30" s="775">
        <f t="shared" si="12"/>
        <v>100</v>
      </c>
      <c r="X30" s="1805"/>
      <c r="Y30" s="3159"/>
      <c r="Z30" s="1806" t="str">
        <f t="shared" si="13"/>
        <v>土地级别</v>
      </c>
      <c r="AA30" s="1803">
        <f t="shared" si="3"/>
        <v>1</v>
      </c>
      <c r="AB30" s="1803">
        <f t="shared" si="4"/>
        <v>1</v>
      </c>
      <c r="AC30" s="1803">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59"/>
      <c r="Q31" s="1802">
        <f t="shared" si="8"/>
        <v>111</v>
      </c>
      <c r="R31" s="774" t="s">
        <v>17</v>
      </c>
      <c r="S31" s="775">
        <f t="shared" si="10"/>
        <v>100</v>
      </c>
      <c r="T31" s="774" t="s">
        <v>17</v>
      </c>
      <c r="U31" s="775">
        <f t="shared" si="11"/>
        <v>100</v>
      </c>
      <c r="V31" s="774" t="s">
        <v>17</v>
      </c>
      <c r="W31" s="775">
        <f t="shared" si="12"/>
        <v>100</v>
      </c>
      <c r="X31" s="1805"/>
      <c r="Y31" s="3159"/>
      <c r="Z31" s="1806">
        <f t="shared" si="13"/>
        <v>111</v>
      </c>
      <c r="AA31" s="1803">
        <f t="shared" si="3"/>
        <v>1</v>
      </c>
      <c r="AB31" s="1803">
        <f t="shared" si="4"/>
        <v>1</v>
      </c>
      <c r="AC31" s="1803">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4" t="s">
        <v>2564</v>
      </c>
      <c r="Q32" s="1802">
        <f t="shared" si="8"/>
        <v>111</v>
      </c>
      <c r="R32" s="774" t="s">
        <v>17</v>
      </c>
      <c r="S32" s="775">
        <f t="shared" si="10"/>
        <v>100</v>
      </c>
      <c r="T32" s="774" t="s">
        <v>17</v>
      </c>
      <c r="U32" s="775">
        <f t="shared" si="11"/>
        <v>100</v>
      </c>
      <c r="V32" s="774" t="s">
        <v>17</v>
      </c>
      <c r="W32" s="775">
        <f t="shared" si="12"/>
        <v>100</v>
      </c>
      <c r="X32" s="1805"/>
      <c r="Y32" s="3163" t="s">
        <v>2564</v>
      </c>
      <c r="Z32" s="1806">
        <f t="shared" si="13"/>
        <v>111</v>
      </c>
      <c r="AA32" s="1803">
        <f t="shared" si="3"/>
        <v>1</v>
      </c>
      <c r="AB32" s="1803">
        <f t="shared" si="4"/>
        <v>1</v>
      </c>
      <c r="AC32" s="1803">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63"/>
      <c r="Q33" s="1802">
        <f t="shared" si="8"/>
        <v>111</v>
      </c>
      <c r="R33" s="777" t="s">
        <v>17</v>
      </c>
      <c r="S33" s="778">
        <f t="shared" si="10"/>
        <v>100</v>
      </c>
      <c r="T33" s="777" t="s">
        <v>17</v>
      </c>
      <c r="U33" s="778">
        <f t="shared" si="11"/>
        <v>100</v>
      </c>
      <c r="V33" s="777" t="s">
        <v>17</v>
      </c>
      <c r="W33" s="778">
        <f t="shared" si="12"/>
        <v>100</v>
      </c>
      <c r="X33" s="779"/>
      <c r="Y33" s="3163"/>
      <c r="Z33" s="780">
        <f t="shared" si="13"/>
        <v>111</v>
      </c>
      <c r="AA33" s="1803">
        <f t="shared" si="3"/>
        <v>1</v>
      </c>
      <c r="AB33" s="1803">
        <f t="shared" si="4"/>
        <v>1</v>
      </c>
      <c r="AC33" s="180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63"/>
      <c r="Q34" s="1802" t="str">
        <f>B34</f>
        <v>宗地面积</v>
      </c>
      <c r="R34" s="774" t="s">
        <v>17</v>
      </c>
      <c r="S34" s="775" t="e">
        <f t="shared" si="10"/>
        <v>#N/A</v>
      </c>
      <c r="T34" s="774" t="s">
        <v>17</v>
      </c>
      <c r="U34" s="775" t="e">
        <f t="shared" si="11"/>
        <v>#N/A</v>
      </c>
      <c r="V34" s="774" t="s">
        <v>17</v>
      </c>
      <c r="W34" s="775" t="e">
        <f t="shared" si="12"/>
        <v>#N/A</v>
      </c>
      <c r="X34" s="1805"/>
      <c r="Y34" s="3163"/>
      <c r="Z34" s="1806" t="str">
        <f t="shared" si="13"/>
        <v>宗地面积</v>
      </c>
      <c r="AA34" s="1803" t="e">
        <f t="shared" si="3"/>
        <v>#N/A</v>
      </c>
      <c r="AB34" s="1803" t="e">
        <f t="shared" si="4"/>
        <v>#N/A</v>
      </c>
      <c r="AC34" s="1803" t="e">
        <f t="shared" si="5"/>
        <v>#N/A</v>
      </c>
    </row>
    <row r="35" spans="1:29" ht="15">
      <c r="A35" s="472"/>
      <c r="B35" s="422" t="s">
        <v>2751</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163"/>
      <c r="Q35" s="1802" t="str">
        <f t="shared" ref="Q35:Q40" si="14">B35</f>
        <v>宗地形状</v>
      </c>
      <c r="R35" s="774" t="s">
        <v>17</v>
      </c>
      <c r="S35" s="775">
        <f t="shared" si="10"/>
        <v>100</v>
      </c>
      <c r="T35" s="774" t="s">
        <v>17</v>
      </c>
      <c r="U35" s="775">
        <f t="shared" si="11"/>
        <v>100</v>
      </c>
      <c r="V35" s="774" t="s">
        <v>17</v>
      </c>
      <c r="W35" s="775">
        <f t="shared" si="12"/>
        <v>100</v>
      </c>
      <c r="X35" s="1805"/>
      <c r="Y35" s="3163"/>
      <c r="Z35" s="1806" t="str">
        <f t="shared" si="13"/>
        <v>宗地形状</v>
      </c>
      <c r="AA35" s="1803">
        <f t="shared" si="3"/>
        <v>1</v>
      </c>
      <c r="AB35" s="1803">
        <f t="shared" si="4"/>
        <v>1</v>
      </c>
      <c r="AC35" s="1803">
        <f t="shared" si="5"/>
        <v>1</v>
      </c>
    </row>
    <row r="36" spans="1:29" s="117" customFormat="1" ht="15">
      <c r="A36" s="473"/>
      <c r="B36" s="422" t="s">
        <v>2753</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2"/>
      <c r="M36" s="1133"/>
      <c r="N36" s="1133"/>
      <c r="O36" s="1134"/>
      <c r="P36" s="3163"/>
      <c r="Q36" s="1802" t="str">
        <f t="shared" si="14"/>
        <v>宗地开发程度</v>
      </c>
      <c r="R36" s="770" t="s">
        <v>17</v>
      </c>
      <c r="S36" s="771">
        <f t="shared" si="10"/>
        <v>100</v>
      </c>
      <c r="T36" s="770" t="s">
        <v>17</v>
      </c>
      <c r="U36" s="771">
        <f t="shared" si="11"/>
        <v>100</v>
      </c>
      <c r="V36" s="770" t="s">
        <v>17</v>
      </c>
      <c r="W36" s="771">
        <f t="shared" si="12"/>
        <v>100</v>
      </c>
      <c r="X36" s="772"/>
      <c r="Y36" s="3163"/>
      <c r="Z36" s="55" t="str">
        <f t="shared" si="13"/>
        <v>宗地开发程度</v>
      </c>
      <c r="AA36" s="773">
        <f t="shared" si="3"/>
        <v>1</v>
      </c>
      <c r="AB36" s="773">
        <f t="shared" si="4"/>
        <v>1</v>
      </c>
      <c r="AC36" s="773">
        <f t="shared" si="5"/>
        <v>1</v>
      </c>
    </row>
    <row r="37" spans="1:29" ht="15">
      <c r="A37" s="472"/>
      <c r="B37" s="422" t="s">
        <v>2754</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163" t="s">
        <v>2564</v>
      </c>
      <c r="Q37" s="1802" t="str">
        <f t="shared" si="14"/>
        <v>工程地质条件</v>
      </c>
      <c r="R37" s="774" t="s">
        <v>17</v>
      </c>
      <c r="S37" s="775">
        <f t="shared" si="10"/>
        <v>100</v>
      </c>
      <c r="T37" s="774" t="s">
        <v>17</v>
      </c>
      <c r="U37" s="775">
        <f t="shared" si="11"/>
        <v>100</v>
      </c>
      <c r="V37" s="774" t="s">
        <v>17</v>
      </c>
      <c r="W37" s="775">
        <f t="shared" si="12"/>
        <v>100</v>
      </c>
      <c r="X37" s="1805"/>
      <c r="Y37" s="3163" t="s">
        <v>2564</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63"/>
      <c r="Q38" s="1802">
        <f t="shared" si="14"/>
        <v>111</v>
      </c>
      <c r="R38" s="774" t="s">
        <v>17</v>
      </c>
      <c r="S38" s="775">
        <f t="shared" si="10"/>
        <v>100</v>
      </c>
      <c r="T38" s="774" t="s">
        <v>17</v>
      </c>
      <c r="U38" s="775">
        <f t="shared" si="11"/>
        <v>100</v>
      </c>
      <c r="V38" s="774" t="s">
        <v>17</v>
      </c>
      <c r="W38" s="775">
        <f t="shared" si="12"/>
        <v>100</v>
      </c>
      <c r="X38" s="1805"/>
      <c r="Y38" s="3163"/>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63"/>
      <c r="Q39" s="1802">
        <f t="shared" si="14"/>
        <v>111</v>
      </c>
      <c r="R39" s="774" t="s">
        <v>17</v>
      </c>
      <c r="S39" s="775">
        <f t="shared" si="10"/>
        <v>100</v>
      </c>
      <c r="T39" s="774" t="s">
        <v>17</v>
      </c>
      <c r="U39" s="775">
        <f t="shared" si="11"/>
        <v>100</v>
      </c>
      <c r="V39" s="774" t="s">
        <v>17</v>
      </c>
      <c r="W39" s="775">
        <f t="shared" si="12"/>
        <v>100</v>
      </c>
      <c r="X39" s="1805"/>
      <c r="Y39" s="3163"/>
      <c r="Z39" s="1806">
        <f t="shared" si="13"/>
        <v>111</v>
      </c>
      <c r="AA39" s="1803">
        <f t="shared" si="3"/>
        <v>1</v>
      </c>
      <c r="AB39" s="1803">
        <f t="shared" si="4"/>
        <v>1</v>
      </c>
      <c r="AC39" s="1803">
        <f t="shared" si="5"/>
        <v>1</v>
      </c>
    </row>
    <row r="40" spans="1:29" s="471" customFormat="1" ht="15.75" thickBot="1">
      <c r="A40" s="468"/>
      <c r="B40" s="1387">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63"/>
      <c r="Q40" s="1802">
        <f t="shared" si="14"/>
        <v>111</v>
      </c>
      <c r="R40" s="777" t="s">
        <v>17</v>
      </c>
      <c r="S40" s="778">
        <f t="shared" si="10"/>
        <v>100</v>
      </c>
      <c r="T40" s="777" t="s">
        <v>17</v>
      </c>
      <c r="U40" s="778">
        <f t="shared" si="11"/>
        <v>100</v>
      </c>
      <c r="V40" s="777" t="s">
        <v>17</v>
      </c>
      <c r="W40" s="778">
        <f t="shared" si="12"/>
        <v>100</v>
      </c>
      <c r="X40" s="779"/>
      <c r="Y40" s="3163"/>
      <c r="Z40" s="780">
        <f t="shared" si="13"/>
        <v>111</v>
      </c>
      <c r="AA40" s="1803">
        <f t="shared" si="3"/>
        <v>1</v>
      </c>
      <c r="AB40" s="1803">
        <f t="shared" si="4"/>
        <v>1</v>
      </c>
      <c r="AC40" s="1803">
        <f t="shared" si="5"/>
        <v>1</v>
      </c>
    </row>
    <row r="41" spans="1:29" ht="15">
      <c r="A41" s="479" t="s">
        <v>2719</v>
      </c>
      <c r="B41" s="2696" t="s">
        <v>2799</v>
      </c>
      <c r="C41" s="682" t="s">
        <v>1</v>
      </c>
      <c r="D41" s="481"/>
      <c r="E41" s="482"/>
      <c r="F41" s="483"/>
      <c r="G41" s="484"/>
      <c r="H41" s="485"/>
      <c r="I41" s="482"/>
      <c r="J41" s="485"/>
      <c r="K41" s="783"/>
      <c r="L41" s="1143"/>
      <c r="M41" s="1131"/>
      <c r="N41" s="1131"/>
      <c r="O41" s="1144"/>
      <c r="P41" s="3156" t="str">
        <f>A41</f>
        <v>成交单价</v>
      </c>
      <c r="Q41" s="3156"/>
      <c r="R41" s="3187">
        <f>E41</f>
        <v>0</v>
      </c>
      <c r="S41" s="3187"/>
      <c r="T41" s="3187">
        <f>G41</f>
        <v>0</v>
      </c>
      <c r="U41" s="3187"/>
      <c r="V41" s="3187">
        <f>I41</f>
        <v>0</v>
      </c>
      <c r="W41" s="3187"/>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56" t="str">
        <f>A42</f>
        <v>比较价值（元/平方米）</v>
      </c>
      <c r="Q42" s="3156"/>
      <c r="R42" s="3245" t="e">
        <f>ROUND(PRODUCT(R41,AA7:AA40),0)</f>
        <v>#DIV/0!</v>
      </c>
      <c r="S42" s="3245"/>
      <c r="T42" s="3245" t="e">
        <f>ROUND(PRODUCT(T41,AB7:AB40),0)</f>
        <v>#DIV/0!</v>
      </c>
      <c r="U42" s="3245"/>
      <c r="V42" s="3245" t="e">
        <f>ROUND(PRODUCT(V41,AC7:AC40),0)</f>
        <v>#DIV/0!</v>
      </c>
      <c r="W42" s="3245"/>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53" t="str">
        <f>A43</f>
        <v>估价对象XX用房的比较价值（楼面单价，元/平方米）</v>
      </c>
      <c r="Q43" s="3154"/>
      <c r="R43" s="3246" t="e">
        <f>ROUND(AVERAGE(R42:V42),0)</f>
        <v>#DIV/0!</v>
      </c>
      <c r="S43" s="3246"/>
      <c r="T43" s="3246"/>
      <c r="U43" s="3246"/>
      <c r="V43" s="3246"/>
      <c r="W43" s="324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697" t="s">
        <v>2759</v>
      </c>
      <c r="D50" s="2698" t="s">
        <v>2760</v>
      </c>
      <c r="E50" s="686" t="s">
        <v>2761</v>
      </c>
      <c r="F50" s="687" t="s">
        <v>2762</v>
      </c>
      <c r="G50" s="3171" t="s">
        <v>2763</v>
      </c>
      <c r="H50" s="3247"/>
      <c r="I50" s="1806" t="s">
        <v>2800</v>
      </c>
      <c r="J50" s="1806">
        <f>项目基本情况!F35</f>
        <v>0</v>
      </c>
      <c r="K50" s="2700" t="s">
        <v>2765</v>
      </c>
      <c r="L50" s="1106"/>
      <c r="M50" s="1144"/>
      <c r="N50" s="1144"/>
      <c r="O50" s="1144"/>
    </row>
    <row r="51" spans="1:17" s="692" customFormat="1">
      <c r="A51" s="688" t="s">
        <v>2766</v>
      </c>
      <c r="B51" s="689" t="e">
        <f>C43</f>
        <v>#DIV/0!</v>
      </c>
      <c r="C51" s="690">
        <v>1</v>
      </c>
      <c r="D51" s="1163">
        <v>1</v>
      </c>
      <c r="E51" s="690">
        <f>'数据-汇总表'!E8+'数据-汇总表'!E9</f>
        <v>232.53</v>
      </c>
      <c r="F51" s="691" t="e">
        <f t="shared" ref="F51:F60" si="15">ROUND(B51*E51/10000,0)</f>
        <v>#DIV/0!</v>
      </c>
      <c r="G51" s="3167"/>
      <c r="H51" s="3156"/>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48"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48"/>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48"/>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48"/>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1"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0.2</v>
      </c>
      <c r="D58" s="1164">
        <v>0.25</v>
      </c>
      <c r="E58" s="261">
        <f>'数据-汇总表'!E13</f>
        <v>0</v>
      </c>
      <c r="F58" s="691" t="e">
        <f t="shared" si="15"/>
        <v>#DIV/0!</v>
      </c>
      <c r="G58" s="1109" t="s">
        <v>2777</v>
      </c>
      <c r="H58" s="1104" t="str">
        <f>IF(G58="商业",项目基本情况!B37,IF(G58="办公",项目基本情况!C37,IF(G58="住宅",项目基本情况!D37,项目基本情况!E37)))</f>
        <v>六级</v>
      </c>
      <c r="I58" s="942">
        <f>SUMIF(修正!A45:A56,H58,修正!H45:H56)</f>
        <v>0.2</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1"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2"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377.51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3" t="s">
        <v>2781</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08" t="s">
        <v>2801</v>
      </c>
      <c r="B66" s="332" t="str">
        <f>"北京市平均增长率"&amp;TEXT(基准地价修正!P24,"0.00%")</f>
        <v>北京市平均增长率1.26%</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topLeftCell="A64" zoomScale="80" zoomScaleNormal="80" zoomScaleSheetLayoutView="96" workbookViewId="0">
      <selection activeCell="H19" sqref="H19"/>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2" customWidth="1"/>
    <col min="33" max="36" width="9.375" style="2780" customWidth="1"/>
    <col min="37" max="38" width="9.375" style="2712" customWidth="1"/>
    <col min="39" max="16384" width="12" style="2712"/>
  </cols>
  <sheetData>
    <row r="1" spans="1:36" ht="28.5">
      <c r="A1" s="240" t="s">
        <v>2803</v>
      </c>
      <c r="B1" s="241"/>
      <c r="C1" s="245" t="s">
        <v>2804</v>
      </c>
      <c r="D1" s="388">
        <f>SUM(D29:D30,D33:D39)</f>
        <v>232.53</v>
      </c>
      <c r="E1" s="2709"/>
      <c r="F1" s="2709"/>
      <c r="G1" s="2709"/>
      <c r="H1" s="2709"/>
      <c r="I1" s="2709"/>
      <c r="J1" s="2709"/>
      <c r="K1" s="1370"/>
      <c r="L1" s="2710" t="s">
        <v>2805</v>
      </c>
      <c r="M1" s="1080">
        <f>SUMPRODUCT((区片价!B5:B9=I2)*(区片价!C3:F3=E2)*(区片价!C5:F9))</f>
        <v>0</v>
      </c>
      <c r="N1" s="1083">
        <f>SUMPRODUCT((因素修正幅度!B5:B9=I2)*(因素修正幅度!C3:F3=E2)*(因素修正幅度!C5:F9))</f>
        <v>0</v>
      </c>
      <c r="O1" s="2711"/>
      <c r="P1" s="271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2014</v>
      </c>
      <c r="C2" s="2713" t="s">
        <v>2812</v>
      </c>
      <c r="D2" s="2714" t="s">
        <v>2813</v>
      </c>
      <c r="E2" s="2715" t="s">
        <v>3067</v>
      </c>
      <c r="F2" s="2714" t="s">
        <v>2814</v>
      </c>
      <c r="G2" s="2716" t="str">
        <f>IF(E2="商业",项目基本情况!B37,IF(E2="办公",项目基本情况!C37,IF(E2="住宅",项目基本情况!D37,项目基本情况!E37)))</f>
        <v>六级</v>
      </c>
      <c r="H2" s="2714" t="s">
        <v>2815</v>
      </c>
      <c r="I2" s="2716" t="str">
        <f>IF(E2="商业",项目基本情况!B38,IF(E2="办公",项目基本情况!C38,IF(E2="住宅",项目基本情况!D38,项目基本情况!E38)))</f>
        <v>Ⅵ-顺1</v>
      </c>
      <c r="J2" s="2717"/>
      <c r="K2" s="1370"/>
      <c r="L2" s="2718"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4.6573000000000002</v>
      </c>
      <c r="T2" s="1602">
        <f ca="1">ROUND($C$5*$C$18*$C$19*$C$20*S2*$C$24,0)</f>
        <v>130382</v>
      </c>
      <c r="U2" s="1603"/>
      <c r="V2" s="1602">
        <f ca="1">ROUND(T2*U2/10000,0)</f>
        <v>0</v>
      </c>
      <c r="W2" s="1606"/>
      <c r="X2" s="1606"/>
      <c r="Y2" s="1606"/>
      <c r="Z2" s="1606"/>
      <c r="AA2" s="1606"/>
      <c r="AB2" s="1606"/>
      <c r="AC2" s="1607"/>
      <c r="AD2" s="1608"/>
      <c r="AE2" s="1608"/>
      <c r="AF2" s="1608"/>
      <c r="AG2" s="1608"/>
      <c r="AH2" s="1608"/>
      <c r="AI2" s="1608"/>
      <c r="AJ2" s="1609"/>
    </row>
    <row r="3" spans="1:36" ht="25.5">
      <c r="A3" s="247" t="s">
        <v>2817</v>
      </c>
      <c r="B3" s="248">
        <f ca="1">ROUND(B2*10000/D1,0)</f>
        <v>86612</v>
      </c>
      <c r="C3" s="2713" t="s">
        <v>2818</v>
      </c>
      <c r="D3" s="2714" t="s">
        <v>2819</v>
      </c>
      <c r="E3" s="2719" t="s">
        <v>3117</v>
      </c>
      <c r="F3" s="2720" t="s">
        <v>3073</v>
      </c>
      <c r="G3" s="916">
        <f>IF(F3="宗地容积率",'数据-汇总表'!I4,IF(F3="估价对象容积率",'数据-汇总表'!I6,'数据-汇总表'!I7))</f>
        <v>0.4</v>
      </c>
      <c r="H3" s="198" t="s">
        <v>2820</v>
      </c>
      <c r="I3" s="944">
        <v>1</v>
      </c>
      <c r="J3" s="2717" t="s">
        <v>2821</v>
      </c>
      <c r="K3" s="1370"/>
      <c r="L3" s="2718"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3.343</v>
      </c>
      <c r="T3" s="1602">
        <f t="shared" ref="T3:T16" ca="1" si="0">ROUND($C$5*$C$18*$C$19*$C$20*S3*$C$24,0)</f>
        <v>93588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6"/>
      <c r="B4" s="3257"/>
      <c r="C4" s="3257"/>
      <c r="D4" s="3258"/>
      <c r="E4" s="3258"/>
      <c r="F4" s="3258"/>
      <c r="G4" s="3258"/>
      <c r="H4" s="3258"/>
      <c r="I4" s="3258"/>
      <c r="J4" s="3259"/>
      <c r="K4" s="1370"/>
      <c r="L4" s="2718"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2.6970000000000001</v>
      </c>
      <c r="T4" s="1602">
        <f t="shared" ca="1" si="0"/>
        <v>75503</v>
      </c>
      <c r="U4" s="1603"/>
      <c r="V4" s="1602">
        <f t="shared" ca="1" si="1"/>
        <v>0</v>
      </c>
      <c r="W4" s="1606"/>
      <c r="X4" s="1606"/>
      <c r="Y4" s="1606"/>
      <c r="Z4" s="1606"/>
      <c r="AA4" s="1606"/>
      <c r="AB4" s="1606"/>
      <c r="AC4" s="1607"/>
      <c r="AD4" s="1608"/>
      <c r="AE4" s="1608"/>
      <c r="AF4" s="1608"/>
      <c r="AG4" s="1608"/>
      <c r="AH4" s="1608"/>
      <c r="AI4" s="1608"/>
      <c r="AJ4" s="1609"/>
    </row>
    <row r="5" spans="1:36" s="2730" customFormat="1" ht="15.75" thickBot="1">
      <c r="A5" s="2721" t="s">
        <v>807</v>
      </c>
      <c r="B5" s="2722" t="s">
        <v>2824</v>
      </c>
      <c r="C5" s="917">
        <f>ROUND(IF(E2="商业",C6*C7+C16,(IF(E2="住宅",C6*C12+C16,C6+C16))),0)</f>
        <v>11906</v>
      </c>
      <c r="D5" s="1779">
        <f>ROUND(C6+C16,0)</f>
        <v>9840</v>
      </c>
      <c r="E5" s="1779"/>
      <c r="F5" s="2723"/>
      <c r="G5" s="2724"/>
      <c r="H5" s="2724"/>
      <c r="I5" s="2724"/>
      <c r="J5" s="2725"/>
      <c r="K5" s="2726"/>
      <c r="L5" s="2718"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2.1640000000000001</v>
      </c>
      <c r="T5" s="1602">
        <f t="shared" ca="1" si="0"/>
        <v>60582</v>
      </c>
      <c r="U5" s="1603"/>
      <c r="V5" s="1602">
        <f t="shared" ca="1" si="1"/>
        <v>0</v>
      </c>
      <c r="W5" s="1606"/>
      <c r="X5" s="1606"/>
      <c r="Y5" s="1606"/>
      <c r="Z5" s="1606"/>
      <c r="AA5" s="1606"/>
      <c r="AB5" s="1606"/>
      <c r="AC5" s="2727"/>
      <c r="AD5" s="2728"/>
      <c r="AE5" s="2728"/>
      <c r="AF5" s="2728"/>
      <c r="AG5" s="2728"/>
      <c r="AH5" s="2728"/>
      <c r="AI5" s="2728"/>
      <c r="AJ5" s="2729"/>
    </row>
    <row r="6" spans="1:36" ht="15.75" thickBot="1">
      <c r="A6" s="2731" t="s">
        <v>2826</v>
      </c>
      <c r="B6" s="2732" t="s">
        <v>2827</v>
      </c>
      <c r="C6" s="918">
        <f>SUMIF(L1:L12,G2,M1:M12)</f>
        <v>9840</v>
      </c>
      <c r="D6" s="2733" t="s">
        <v>2828</v>
      </c>
      <c r="E6" s="2734"/>
      <c r="F6" s="2734"/>
      <c r="G6" s="2735"/>
      <c r="H6" s="2735"/>
      <c r="I6" s="2735"/>
      <c r="J6" s="2736"/>
      <c r="K6" s="1834"/>
      <c r="L6" s="2718" t="s">
        <v>2829</v>
      </c>
      <c r="M6" s="1081">
        <f>SUMPRODUCT((区片价!B110:B157=I2)*(区片价!C3:F3=E2)*(区片价!C110:F157))</f>
        <v>9840</v>
      </c>
      <c r="N6" s="1083">
        <f>SUMPRODUCT((因素修正幅度!B110:B157=I2)*(因素修正幅度!C3:F3=E2)*(因素修正幅度!C110:F157))</f>
        <v>0.112</v>
      </c>
      <c r="O6" s="1370"/>
      <c r="P6" s="1370"/>
      <c r="Q6" s="1370"/>
      <c r="R6" s="1602">
        <v>5</v>
      </c>
      <c r="S6" s="1602">
        <f>ROUND(IF(G3&gt;1,IF(R6&lt;7,SUMPRODUCT((B93:B98=R6)*(C92:N92=G2)*(C93:N98)),SUMIF(C92:N92,G2,C100:N100)),IF(R6&lt;7,SUMPRODUCT((B102:B107=R6)*(C92:N92=G2)*(C102:N107)),SUMIF(C92:N92,G2,C109:N109))),4)</f>
        <v>1.8428</v>
      </c>
      <c r="T6" s="1602">
        <f t="shared" ca="1" si="0"/>
        <v>51590</v>
      </c>
      <c r="U6" s="1603"/>
      <c r="V6" s="1602">
        <f t="shared" ca="1" si="1"/>
        <v>0</v>
      </c>
      <c r="W6" s="1606"/>
      <c r="X6" s="1606"/>
      <c r="Y6" s="1606"/>
      <c r="Z6" s="1606"/>
      <c r="AA6" s="1606"/>
      <c r="AB6" s="1606"/>
      <c r="AC6" s="2727"/>
      <c r="AD6" s="2728"/>
      <c r="AE6" s="2728"/>
      <c r="AF6" s="2728"/>
      <c r="AG6" s="2728"/>
      <c r="AH6" s="2728"/>
      <c r="AI6" s="2728"/>
      <c r="AJ6" s="2729"/>
    </row>
    <row r="7" spans="1:36" ht="24">
      <c r="A7" s="3260" t="str">
        <f>IF(E2="商业",IF(C8="不临58条商业街","",2),"")</f>
        <v/>
      </c>
      <c r="B7" s="2737" t="s">
        <v>2830</v>
      </c>
      <c r="C7" s="919">
        <f>IF(C8="不临58条商业街",1,ROUND(1+(1.6*E8+1.2*E9+0.8*E10+0.4*E11)*C9,4))</f>
        <v>1</v>
      </c>
      <c r="D7" s="2738" t="s">
        <v>2831</v>
      </c>
      <c r="E7" s="945"/>
      <c r="F7" s="2739"/>
      <c r="G7" s="2740"/>
      <c r="H7" s="2740"/>
      <c r="I7" s="2740"/>
      <c r="J7" s="2741"/>
      <c r="K7" s="1834"/>
      <c r="L7" s="2718"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1.6205000000000001</v>
      </c>
      <c r="T7" s="1602">
        <f t="shared" ca="1" si="0"/>
        <v>45366</v>
      </c>
      <c r="U7" s="1603"/>
      <c r="V7" s="1602">
        <f t="shared" ca="1" si="1"/>
        <v>0</v>
      </c>
      <c r="W7" s="1808" t="s">
        <v>2833</v>
      </c>
      <c r="X7" s="1604" t="str">
        <f>G2</f>
        <v>六级</v>
      </c>
      <c r="Y7" s="1604" t="s">
        <v>2834</v>
      </c>
      <c r="Z7" s="1605">
        <f>G3</f>
        <v>0.4</v>
      </c>
      <c r="AA7" s="1606"/>
      <c r="AB7" s="1606"/>
      <c r="AC7" s="1607"/>
      <c r="AD7" s="1608"/>
      <c r="AE7" s="1608"/>
      <c r="AF7" s="1608"/>
      <c r="AG7" s="1608"/>
      <c r="AH7" s="1608"/>
      <c r="AI7" s="1608"/>
      <c r="AJ7" s="1609"/>
    </row>
    <row r="8" spans="1:36" ht="25.5">
      <c r="A8" s="3261"/>
      <c r="B8" s="198" t="s">
        <v>2835</v>
      </c>
      <c r="C8" s="2742" t="s">
        <v>3074</v>
      </c>
      <c r="D8" s="920" t="s">
        <v>139</v>
      </c>
      <c r="E8" s="921" t="e">
        <f>ROUND(C11/E7,4)</f>
        <v>#DIV/0!</v>
      </c>
      <c r="F8" s="2743" t="s">
        <v>2836</v>
      </c>
      <c r="G8" s="2744"/>
      <c r="H8" s="2744"/>
      <c r="I8" s="2744"/>
      <c r="J8" s="2745"/>
      <c r="K8" s="1370"/>
      <c r="L8" s="2718"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3" t="s">
        <v>2838</v>
      </c>
      <c r="X8" s="3254"/>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61"/>
      <c r="B9" s="198" t="s">
        <v>2851</v>
      </c>
      <c r="C9" s="922">
        <f>SUMIF(修正!C59:C119,C8,修正!E59:E119)</f>
        <v>0</v>
      </c>
      <c r="D9" s="200" t="s">
        <v>140</v>
      </c>
      <c r="E9" s="200" t="e">
        <f>ROUND(C11/E7,4)</f>
        <v>#DIV/0!</v>
      </c>
      <c r="F9" s="2743" t="s">
        <v>2852</v>
      </c>
      <c r="G9" s="2744"/>
      <c r="H9" s="2744"/>
      <c r="I9" s="2744"/>
      <c r="J9" s="2745"/>
      <c r="K9" s="1370"/>
      <c r="L9" s="2718"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5" t="s">
        <v>2854</v>
      </c>
      <c r="X9" s="1611" t="s">
        <v>2855</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1"/>
      <c r="B10" s="198" t="s">
        <v>2856</v>
      </c>
      <c r="C10" s="200">
        <f>SUMIF(修正!C59:C119,C8,修正!F59:F119)</f>
        <v>0</v>
      </c>
      <c r="D10" s="200" t="s">
        <v>141</v>
      </c>
      <c r="E10" s="200" t="e">
        <f>ROUND(C11/E7,4)</f>
        <v>#DIV/0!</v>
      </c>
      <c r="F10" s="2743" t="s">
        <v>2857</v>
      </c>
      <c r="G10" s="2744"/>
      <c r="H10" s="2744"/>
      <c r="I10" s="2744"/>
      <c r="J10" s="2745"/>
      <c r="K10" s="1370"/>
      <c r="L10" s="2718"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1"/>
      <c r="B11" s="2746" t="s">
        <v>2859</v>
      </c>
      <c r="C11" s="923">
        <f>C10/4</f>
        <v>0</v>
      </c>
      <c r="D11" s="923" t="s">
        <v>142</v>
      </c>
      <c r="E11" s="923" t="e">
        <f>ROUND(C11/E7,4)</f>
        <v>#DIV/0!</v>
      </c>
      <c r="F11" s="2747" t="s">
        <v>2860</v>
      </c>
      <c r="G11" s="2748"/>
      <c r="H11" s="2748"/>
      <c r="I11" s="2748"/>
      <c r="J11" s="2749"/>
      <c r="K11" s="1370"/>
      <c r="L11" s="2718"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5" t="s">
        <v>2862</v>
      </c>
      <c r="X11" s="1614" t="s">
        <v>2863</v>
      </c>
      <c r="Y11" s="1615">
        <f>$G$3</f>
        <v>0.4</v>
      </c>
      <c r="Z11" s="1615">
        <f t="shared" ref="Z11:AJ11" si="3">$G$3</f>
        <v>0.4</v>
      </c>
      <c r="AA11" s="1615">
        <f t="shared" si="3"/>
        <v>0.4</v>
      </c>
      <c r="AB11" s="1615">
        <f t="shared" si="3"/>
        <v>0.4</v>
      </c>
      <c r="AC11" s="1615">
        <f t="shared" si="3"/>
        <v>0.4</v>
      </c>
      <c r="AD11" s="1615">
        <f t="shared" si="3"/>
        <v>0.4</v>
      </c>
      <c r="AE11" s="1615">
        <f t="shared" si="3"/>
        <v>0.4</v>
      </c>
      <c r="AF11" s="1615">
        <f t="shared" si="3"/>
        <v>0.4</v>
      </c>
      <c r="AG11" s="1615">
        <f t="shared" si="3"/>
        <v>0.4</v>
      </c>
      <c r="AH11" s="1615">
        <f t="shared" si="3"/>
        <v>0.4</v>
      </c>
      <c r="AI11" s="1615">
        <f t="shared" si="3"/>
        <v>0.4</v>
      </c>
      <c r="AJ11" s="1615">
        <f t="shared" si="3"/>
        <v>0.4</v>
      </c>
    </row>
    <row r="12" spans="1:36" ht="25.5" thickBot="1">
      <c r="A12" s="3260" t="s">
        <v>2864</v>
      </c>
      <c r="B12" s="2750" t="s">
        <v>2865</v>
      </c>
      <c r="C12" s="919">
        <f>ROUND(C15*D15*E15*F15*G15*H15*I15*J15,4)</f>
        <v>1.21</v>
      </c>
      <c r="D12" s="2751" t="s">
        <v>2866</v>
      </c>
      <c r="E12" s="2752"/>
      <c r="F12" s="2752"/>
      <c r="G12" s="2753"/>
      <c r="H12" s="2753"/>
      <c r="I12" s="2753"/>
      <c r="J12" s="2754"/>
      <c r="K12" s="1370"/>
      <c r="L12" s="2755"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5"/>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2"/>
      <c r="B13" s="2756" t="s">
        <v>2869</v>
      </c>
      <c r="C13" s="2757" t="s">
        <v>2870</v>
      </c>
      <c r="D13" s="1800" t="s">
        <v>2871</v>
      </c>
      <c r="E13" s="1800" t="s">
        <v>2872</v>
      </c>
      <c r="F13" s="30" t="s">
        <v>2873</v>
      </c>
      <c r="G13" s="2758" t="s">
        <v>2874</v>
      </c>
      <c r="H13" s="2758" t="s">
        <v>2874</v>
      </c>
      <c r="I13" s="2758" t="s">
        <v>2874</v>
      </c>
      <c r="J13" s="2759" t="s">
        <v>2874</v>
      </c>
      <c r="K13" s="1370"/>
      <c r="L13" s="1370"/>
      <c r="M13" s="1370"/>
      <c r="N13" s="1370"/>
      <c r="O13" s="1370"/>
      <c r="P13" s="1370"/>
      <c r="Q13" s="1370"/>
      <c r="R13" s="1602">
        <v>12</v>
      </c>
      <c r="S13" s="1603"/>
      <c r="T13" s="1602">
        <f t="shared" ca="1" si="0"/>
        <v>0</v>
      </c>
      <c r="U13" s="1603"/>
      <c r="V13" s="1602">
        <f t="shared" ca="1" si="1"/>
        <v>0</v>
      </c>
      <c r="W13" s="3255"/>
      <c r="X13" s="1616"/>
      <c r="Y13" s="1613">
        <f>(-0.163*(Y12^2)-0.59*Y12+7617)*(10^(-4))/Y11</f>
        <v>1.90425</v>
      </c>
      <c r="Z13" s="1613">
        <f t="shared" ref="Z13:AJ13" si="5">(-0.163*(Z12^2)-0.59*Z12+7617)*(10^(-4))/Z11</f>
        <v>1.90425</v>
      </c>
      <c r="AA13" s="1613">
        <f t="shared" si="5"/>
        <v>1.90425</v>
      </c>
      <c r="AB13" s="1613">
        <f t="shared" si="5"/>
        <v>1.90425</v>
      </c>
      <c r="AC13" s="1613">
        <f t="shared" si="5"/>
        <v>1.90425</v>
      </c>
      <c r="AD13" s="1613">
        <f t="shared" si="5"/>
        <v>1.90425</v>
      </c>
      <c r="AE13" s="1613">
        <f t="shared" si="5"/>
        <v>1.90425</v>
      </c>
      <c r="AF13" s="1613">
        <f t="shared" si="5"/>
        <v>1.90425</v>
      </c>
      <c r="AG13" s="1613">
        <f t="shared" si="5"/>
        <v>1.90425</v>
      </c>
      <c r="AH13" s="1613">
        <f t="shared" si="5"/>
        <v>1.90425</v>
      </c>
      <c r="AI13" s="1613">
        <f t="shared" si="5"/>
        <v>1.90425</v>
      </c>
      <c r="AJ13" s="1613">
        <f t="shared" si="5"/>
        <v>1.90425</v>
      </c>
    </row>
    <row r="14" spans="1:36" ht="15">
      <c r="A14" s="3262"/>
      <c r="B14" s="2760"/>
      <c r="C14" s="2761" t="s">
        <v>3085</v>
      </c>
      <c r="D14" s="2762" t="s">
        <v>3084</v>
      </c>
      <c r="E14" s="2762" t="s">
        <v>3085</v>
      </c>
      <c r="F14" s="2763" t="s">
        <v>3086</v>
      </c>
      <c r="G14" s="2764" t="s">
        <v>2875</v>
      </c>
      <c r="H14" s="2765"/>
      <c r="I14" s="2766"/>
      <c r="J14" s="276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3"/>
      <c r="B15" s="2768" t="s">
        <v>2876</v>
      </c>
      <c r="C15" s="229">
        <f>IF(C14="有",1.1,1)</f>
        <v>1</v>
      </c>
      <c r="D15" s="229">
        <f>IF(D14="有",1.1,1)</f>
        <v>1.1000000000000001</v>
      </c>
      <c r="E15" s="229">
        <f>IF(E14="有",1.1,1)</f>
        <v>1</v>
      </c>
      <c r="F15" s="229">
        <f>IF(F14="500米范围内",1.2,IF(F14="500-1000米",1.1,1))</f>
        <v>1.1000000000000001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60" t="s">
        <v>2881</v>
      </c>
      <c r="B16" s="2737" t="s">
        <v>2882</v>
      </c>
      <c r="C16" s="2924">
        <f>ROUND(IF(F17="与级别开发程度一致",0,(G17-E17)/C17),0)</f>
        <v>0</v>
      </c>
      <c r="D16" s="3274" t="s">
        <v>2886</v>
      </c>
      <c r="E16" s="3275"/>
      <c r="F16" s="3274" t="s">
        <v>2883</v>
      </c>
      <c r="G16" s="3275"/>
      <c r="H16" s="2771" t="s">
        <v>3076</v>
      </c>
      <c r="I16" s="2771" t="s">
        <v>3077</v>
      </c>
      <c r="J16" s="2928" t="s">
        <v>3078</v>
      </c>
      <c r="K16" s="2771" t="s">
        <v>3079</v>
      </c>
      <c r="L16" s="2771" t="s">
        <v>3080</v>
      </c>
      <c r="M16" s="2771" t="s">
        <v>3081</v>
      </c>
      <c r="N16" s="2771" t="s">
        <v>3082</v>
      </c>
      <c r="O16" s="2772" t="s">
        <v>3083</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4"/>
      <c r="B17" s="2935" t="s">
        <v>2885</v>
      </c>
      <c r="C17" s="2936">
        <f>SUMPRODUCT((修正!A2:A5=E2)*(修正!B1:M1=G2)*(修正!B2:M5))</f>
        <v>2.5</v>
      </c>
      <c r="D17" s="229" t="str">
        <f>IF(OR(G2="八级",G2="九级",G2="十级",G2="十一级",G2="十二级"),"五通一平","七通一平")</f>
        <v>七通一平</v>
      </c>
      <c r="E17" s="2925">
        <f>SUMPRODUCT((修正!B1:M1=G2)*(修正!B15:M15))</f>
        <v>300</v>
      </c>
      <c r="F17" s="2926" t="s">
        <v>3075</v>
      </c>
      <c r="G17" s="2927">
        <f>SUM(H17:O17)</f>
        <v>300</v>
      </c>
      <c r="H17" s="2936">
        <f>SUMPRODUCT((七通一平=H16)*(修正!B1:M1=G2)*(修正!B6:M14))</f>
        <v>65</v>
      </c>
      <c r="I17" s="2936">
        <f>SUMPRODUCT((七通一平=I16)*(修正!B1:M1=G2)*(修正!B6:M14))</f>
        <v>55</v>
      </c>
      <c r="J17" s="2937">
        <f>SUMPRODUCT((七通一平=J16)*(修正!B1:M1=G2)*(修正!B6:M14))</f>
        <v>15</v>
      </c>
      <c r="K17" s="2936">
        <f>SUMPRODUCT((七通一平=K16)*(修正!B1:M1=G2)*(修正!B6:M14))</f>
        <v>25</v>
      </c>
      <c r="L17" s="2936">
        <f>SUMPRODUCT((七通一平=L16)*(修正!B1:M1=G2)*(修正!B6:M14))</f>
        <v>35</v>
      </c>
      <c r="M17" s="2936">
        <f>SUMPRODUCT((七通一平=M16)*(修正!B1:M1=G2)*(修正!B6:M14))</f>
        <v>50</v>
      </c>
      <c r="N17" s="2936">
        <f>SUMPRODUCT((七通一平=N16)*(修正!B1:M1=G2)*(修正!B6:M14))</f>
        <v>40</v>
      </c>
      <c r="O17" s="2938">
        <f>SUMPRODUCT((七通一平=O16)*(修正!B1:M1=G2)*(修正!B6:M14))</f>
        <v>15</v>
      </c>
      <c r="Q17" s="1370"/>
      <c r="R17" s="1370"/>
      <c r="S17" s="1370"/>
      <c r="T17" s="1370"/>
      <c r="U17" s="1370"/>
      <c r="V17" s="1370"/>
      <c r="W17" s="1370"/>
      <c r="X17" s="1370"/>
      <c r="Y17" s="1370"/>
      <c r="Z17" s="1371"/>
      <c r="AE17" s="2775"/>
      <c r="AF17" s="2775"/>
      <c r="AG17" s="2712"/>
      <c r="AH17" s="2712"/>
      <c r="AI17" s="2712"/>
      <c r="AJ17" s="2712"/>
    </row>
    <row r="18" spans="1:37" s="2730" customFormat="1" ht="15.75" thickBot="1">
      <c r="A18" s="2929" t="s">
        <v>808</v>
      </c>
      <c r="B18" s="2930" t="s">
        <v>2888</v>
      </c>
      <c r="C18" s="2931">
        <f>SUMIF(修正!C18:C39,E3,修正!E18:E39)</f>
        <v>1.5</v>
      </c>
      <c r="D18" s="2932"/>
      <c r="E18" s="2933"/>
      <c r="F18" s="2933"/>
      <c r="G18" s="2933"/>
      <c r="H18" s="2933"/>
      <c r="I18" s="2933"/>
      <c r="J18" s="2934"/>
      <c r="K18" s="1377"/>
      <c r="O18" s="1375"/>
      <c r="P18" s="1375"/>
      <c r="Q18" s="1376"/>
      <c r="R18" s="1376"/>
      <c r="S18" s="1376"/>
      <c r="T18" s="1371"/>
      <c r="U18" s="1371"/>
      <c r="V18" s="1371"/>
      <c r="W18" s="1370"/>
      <c r="X18" s="1370"/>
      <c r="Y18" s="1370"/>
      <c r="Z18" s="1377"/>
      <c r="AA18" s="1378"/>
      <c r="AB18" s="1378"/>
      <c r="AC18" s="1378"/>
      <c r="AD18" s="1378"/>
      <c r="AE18" s="1372"/>
      <c r="AF18" s="1372"/>
      <c r="AG18" s="2780"/>
      <c r="AH18" s="2780"/>
      <c r="AI18" s="2780"/>
    </row>
    <row r="19" spans="1:37" s="2730" customFormat="1" ht="27.75" thickBot="1">
      <c r="A19" s="2776" t="s">
        <v>809</v>
      </c>
      <c r="B19" s="2777" t="s">
        <v>2889</v>
      </c>
      <c r="C19" s="924">
        <f>ROUND(IF(H19="按公示增长率计算",SUMPRODUCT((地价!A3:A31=YEAR(G19)&amp;"-"&amp;ROUNDUP(MONTH(G19)/3,0))*(地价!X2:AB2=E2)*(地价!X3:AB31)),IF(H19="地价指数",M20/M19,(1+I19)^O19)),4)</f>
        <v>1.6241000000000001</v>
      </c>
      <c r="D19" s="2781" t="s">
        <v>2890</v>
      </c>
      <c r="E19" s="925">
        <v>41640</v>
      </c>
      <c r="F19" s="2781" t="s">
        <v>2891</v>
      </c>
      <c r="G19" s="926">
        <f>'数据-取费表'!B2</f>
        <v>44032</v>
      </c>
      <c r="H19" s="2782" t="s">
        <v>3087</v>
      </c>
      <c r="I19" s="927" t="str">
        <f>IF(H19="季度增幅（自定义）",SUMIF(N21:N24,E2,O21:O24),"")</f>
        <v/>
      </c>
      <c r="J19" s="2779"/>
      <c r="K19" s="1377"/>
      <c r="L19" s="2783" t="s">
        <v>2892</v>
      </c>
      <c r="M19" s="1734">
        <f>ROUND(SUMIF(地价!B2:F2,E2,地价!B31:F31),0)</f>
        <v>423</v>
      </c>
      <c r="N19" s="2784" t="s">
        <v>2893</v>
      </c>
      <c r="O19" s="928">
        <f>ROUNDDOWN(DATEDIF(E19,G19,"M")/3,0)</f>
        <v>26</v>
      </c>
      <c r="P19" s="1374"/>
      <c r="Q19" s="1376"/>
      <c r="R19" s="1376"/>
      <c r="S19" s="1376"/>
      <c r="T19" s="1371"/>
      <c r="U19" s="1371"/>
      <c r="V19" s="1371"/>
      <c r="W19" s="1370"/>
      <c r="X19" s="1370"/>
      <c r="Y19" s="1370"/>
      <c r="Z19" s="1377"/>
      <c r="AA19" s="1378"/>
      <c r="AB19" s="1378"/>
      <c r="AC19" s="1378"/>
      <c r="AD19" s="1378"/>
      <c r="AE19" s="1378"/>
      <c r="AF19" s="2785"/>
      <c r="AG19" s="2786"/>
      <c r="AH19" s="2780"/>
      <c r="AI19" s="2787"/>
      <c r="AJ19" s="2787"/>
      <c r="AK19" s="2787"/>
    </row>
    <row r="20" spans="1:37" s="2730" customFormat="1" ht="27.75" thickBot="1">
      <c r="A20" s="2788" t="s">
        <v>810</v>
      </c>
      <c r="B20" s="2789" t="s">
        <v>2894</v>
      </c>
      <c r="C20" s="929">
        <f ca="1">ROUND(POWER(1+G20,J20-I20)*(POWER(1+G20,I20)-1)/(POWER(1+G20,J20)-1),4)</f>
        <v>0.9254</v>
      </c>
      <c r="D20" s="2790" t="s">
        <v>2895</v>
      </c>
      <c r="E20" s="1760">
        <f ca="1">存贷款利率!D4/100</f>
        <v>4.3499999999999997E-2</v>
      </c>
      <c r="F20" s="2790" t="s">
        <v>2887</v>
      </c>
      <c r="G20" s="934">
        <f ca="1">SUMIF(M26:P26,E2,M28:P28)</f>
        <v>0.05</v>
      </c>
      <c r="H20" s="2790" t="s">
        <v>2896</v>
      </c>
      <c r="I20" s="935">
        <f>SUMIF('数据-取费表'!C6:C15,E2,'数据-取费表'!F6:F15)/COUNTIF('数据-取费表'!C6:C15,E2)</f>
        <v>46.2</v>
      </c>
      <c r="J20" s="936">
        <f>IF(E2="住宅",70,IF(E2="商业",40,50))</f>
        <v>70</v>
      </c>
      <c r="K20" s="1377"/>
      <c r="L20" s="2791" t="s">
        <v>2897</v>
      </c>
      <c r="M20" s="1735">
        <f>ROUND(SUMPRODUCT((地价!A4:A31=YEAR(G19)&amp;"-"&amp;ROUNDUP(MONTH(G19)/3,0))*(地价!B2:F2=E2)*(地价!B4:F31)),0)</f>
        <v>687</v>
      </c>
      <c r="N20" s="2792" t="s">
        <v>2898</v>
      </c>
      <c r="O20" s="2793" t="s">
        <v>2899</v>
      </c>
      <c r="P20" s="2794" t="s">
        <v>2900</v>
      </c>
      <c r="R20" s="1376"/>
      <c r="S20" s="1376"/>
      <c r="T20" s="1371"/>
      <c r="U20" s="1371"/>
      <c r="V20" s="1371"/>
      <c r="W20" s="1370"/>
      <c r="X20" s="1370"/>
      <c r="Y20" s="1370"/>
      <c r="Z20" s="1377"/>
      <c r="AA20" s="1378"/>
      <c r="AB20" s="1378"/>
      <c r="AC20" s="1378"/>
      <c r="AD20" s="1378"/>
      <c r="AE20" s="1378"/>
      <c r="AF20" s="1378"/>
    </row>
    <row r="21" spans="1:37" s="2730" customFormat="1" ht="15">
      <c r="A21" s="2795" t="s">
        <v>811</v>
      </c>
      <c r="B21" s="2796" t="s">
        <v>3088</v>
      </c>
      <c r="C21" s="937">
        <f>IF(B21="容积率修正",IF(G3&lt;=10,D22,J22),C23)</f>
        <v>3.0939999999999999</v>
      </c>
      <c r="D21" s="2797"/>
      <c r="E21" s="2797"/>
      <c r="F21" s="2797"/>
      <c r="G21" s="2797"/>
      <c r="H21" s="2797"/>
      <c r="I21" s="2797"/>
      <c r="J21" s="2798"/>
      <c r="K21" s="1377"/>
      <c r="N21" s="2799" t="s">
        <v>2901</v>
      </c>
      <c r="O21" s="1561"/>
      <c r="P21" s="1562">
        <f>SUMPRODUCT((地价!A3:A31=YEAR(G19)&amp;"-"&amp;ROUNDUP(MONTH(G19)/3,0))*(地价!AD2:AH2=N21)*(地价!AD3:AH31))</f>
        <v>1.23E-2</v>
      </c>
      <c r="R21" s="1376"/>
      <c r="S21" s="1376"/>
      <c r="T21" s="1371"/>
      <c r="U21" s="1371"/>
      <c r="V21" s="1371"/>
      <c r="W21" s="1370"/>
      <c r="X21" s="1370"/>
      <c r="Y21" s="1370"/>
      <c r="Z21" s="1377"/>
      <c r="AA21" s="1378"/>
      <c r="AB21" s="1378"/>
      <c r="AC21" s="1378"/>
      <c r="AD21" s="1378"/>
      <c r="AE21" s="1378"/>
      <c r="AF21" s="1378"/>
    </row>
    <row r="22" spans="1:37" s="2730" customFormat="1" ht="14.25">
      <c r="A22" s="2656" t="s">
        <v>2902</v>
      </c>
      <c r="B22" s="2800" t="s">
        <v>2903</v>
      </c>
      <c r="C22" s="1802" t="s">
        <v>2904</v>
      </c>
      <c r="D22" s="1802">
        <f>IF(E22=G22,F22,IF(G3&lt;=10,ROUND(F22+(H22-F22)*(G3-E22)/(G22-E22),4),"——"))</f>
        <v>3.0939999999999999</v>
      </c>
      <c r="E22" s="916">
        <f>ROUNDDOWN(G3,1)</f>
        <v>0.4</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3.0939999999999999</v>
      </c>
      <c r="G22" s="916">
        <f>ROUNDUP(G3,1)</f>
        <v>0.4</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3.0939999999999999</v>
      </c>
      <c r="I22" s="1802" t="s">
        <v>155</v>
      </c>
      <c r="J22" s="938" t="str">
        <f>IF(G3&gt;10,D113,"——")</f>
        <v>——</v>
      </c>
      <c r="K22" s="1377"/>
      <c r="N22" s="2799" t="s">
        <v>2905</v>
      </c>
      <c r="O22" s="1561"/>
      <c r="P22" s="1562">
        <f>SUMPRODUCT((地价!A3:A31=YEAR(G19)&amp;"-"&amp;ROUNDUP(MONTH(G19)/3,0))*(地价!AD2:AH2=N22)*(地价!AD3:AH31))</f>
        <v>1.23E-2</v>
      </c>
      <c r="R22" s="1376"/>
      <c r="S22" s="1376"/>
      <c r="T22" s="1371"/>
      <c r="U22" s="1371"/>
      <c r="V22" s="1371"/>
      <c r="W22" s="1370"/>
      <c r="X22" s="1370"/>
      <c r="Y22" s="1370"/>
      <c r="Z22" s="1377"/>
      <c r="AA22" s="1378"/>
      <c r="AB22" s="1378"/>
      <c r="AC22" s="1378"/>
      <c r="AD22" s="1378"/>
      <c r="AE22" s="1378"/>
      <c r="AF22" s="1378"/>
    </row>
    <row r="23" spans="1:37" ht="27.75" thickBot="1">
      <c r="A23" s="2656" t="s">
        <v>2906</v>
      </c>
      <c r="B23" s="2801" t="s">
        <v>2907</v>
      </c>
      <c r="C23" s="1013">
        <f>ROUND(IF(G3&gt;1,IF(I3&lt;7,SUMPRODUCT((B93:B98=I3)*(C92:N92=G2)*(C93:N98)),SUMIF(C92:N92,G2,C100:N100)),IF(I3&lt;7,SUMPRODUCT((B102:B107=I3)*(C92:N92=G2)*(C102:N107)),SUMIF(C92:N92,G2,C109:N109))),4)</f>
        <v>4.6573000000000002</v>
      </c>
      <c r="D23" s="2765"/>
      <c r="E23" s="2765"/>
      <c r="F23" s="2802"/>
      <c r="G23" s="2803"/>
      <c r="H23" s="2804"/>
      <c r="I23" s="2805"/>
      <c r="J23" s="2806"/>
      <c r="K23" s="1370"/>
      <c r="N23" s="2799" t="s">
        <v>2908</v>
      </c>
      <c r="O23" s="1561"/>
      <c r="P23" s="1562">
        <f>SUMPRODUCT((地价!A3:A31=YEAR(G19)&amp;"-"&amp;ROUNDUP(MONTH(G19)/3,0))*(地价!AD2:AH2=N23)*(地价!AD3:AH31))</f>
        <v>1.95E-2</v>
      </c>
      <c r="R23" s="1376"/>
      <c r="S23" s="1376"/>
      <c r="T23" s="1371"/>
      <c r="U23" s="1371"/>
      <c r="V23" s="1371"/>
      <c r="W23" s="1370"/>
      <c r="X23" s="1370"/>
      <c r="Y23" s="1370"/>
      <c r="Z23" s="1377"/>
      <c r="AA23" s="1378"/>
      <c r="AB23" s="1378"/>
      <c r="AC23" s="1378"/>
      <c r="AD23" s="1378"/>
      <c r="AK23" s="2780"/>
    </row>
    <row r="24" spans="1:37" s="2730" customFormat="1" ht="15.75" thickBot="1">
      <c r="A24" s="2788" t="s">
        <v>812</v>
      </c>
      <c r="B24" s="2777" t="s">
        <v>2909</v>
      </c>
      <c r="C24" s="924">
        <f>SUMIF(A45:A88,E2,B45:B88)</f>
        <v>1.0429999999999999</v>
      </c>
      <c r="D24" s="2778"/>
      <c r="E24" s="2807"/>
      <c r="F24" s="2807"/>
      <c r="G24" s="2807"/>
      <c r="H24" s="2807"/>
      <c r="I24" s="2807"/>
      <c r="J24" s="2808"/>
      <c r="K24" s="1377"/>
      <c r="N24" s="2809" t="s">
        <v>2910</v>
      </c>
      <c r="O24" s="1563"/>
      <c r="P24" s="1564">
        <f>SUMPRODUCT((地价!A3:A31=YEAR(G19)&amp;"-"&amp;ROUNDUP(MONTH(G19)/3,0))*(地价!AD2:AH2=N24)*(地价!AD3:AH31))</f>
        <v>1.26E-2</v>
      </c>
      <c r="R24" s="1376"/>
      <c r="S24" s="1376"/>
      <c r="T24" s="1371"/>
      <c r="U24" s="1371"/>
      <c r="V24" s="1371"/>
      <c r="W24" s="1370"/>
      <c r="X24" s="1370"/>
      <c r="Y24" s="1370"/>
      <c r="Z24" s="1377"/>
      <c r="AA24" s="1378"/>
      <c r="AB24" s="1378"/>
      <c r="AC24" s="1378"/>
      <c r="AD24" s="1378"/>
      <c r="AE24" s="1378"/>
      <c r="AF24" s="1378"/>
    </row>
    <row r="25" spans="1:37" ht="15.75" thickBot="1">
      <c r="A25" s="2788" t="s">
        <v>813</v>
      </c>
      <c r="B25" s="2810" t="s">
        <v>2911</v>
      </c>
      <c r="C25" s="930"/>
      <c r="D25" s="2740"/>
      <c r="E25" s="2740"/>
      <c r="F25" s="2811"/>
      <c r="G25" s="2740"/>
      <c r="H25" s="2740"/>
      <c r="I25" s="2740"/>
      <c r="J25" s="2741"/>
      <c r="K25" s="1370"/>
      <c r="N25" s="2812" t="s">
        <v>2912</v>
      </c>
      <c r="O25" s="1565"/>
      <c r="P25" s="1564">
        <f>SUMPRODUCT((地价!A3:A31=YEAR(G19)&amp;"-"&amp;ROUNDUP(MONTH(G19)/3,0))*(地价!AD2:AH2=N25)*(地价!AD3:AH31))</f>
        <v>1.78E-2</v>
      </c>
      <c r="R25" s="1376"/>
      <c r="S25" s="1376"/>
      <c r="T25" s="1371"/>
      <c r="U25" s="1371"/>
      <c r="V25" s="1371"/>
      <c r="W25" s="1370"/>
      <c r="X25" s="1370"/>
      <c r="Y25" s="1370"/>
      <c r="Z25" s="1377"/>
      <c r="AA25" s="1378"/>
      <c r="AB25" s="1378"/>
      <c r="AC25" s="1378"/>
      <c r="AD25" s="1378"/>
    </row>
    <row r="26" spans="1:37" ht="15">
      <c r="A26" s="2813"/>
      <c r="B26" s="2800" t="s">
        <v>2913</v>
      </c>
      <c r="C26" s="206">
        <f ca="1">E29+SUM(E33:E39)</f>
        <v>2014</v>
      </c>
      <c r="D26" s="2814"/>
      <c r="E26" s="2765"/>
      <c r="F26" s="2815"/>
      <c r="G26" s="2765"/>
      <c r="H26" s="2765"/>
      <c r="I26" s="2765"/>
      <c r="J26" s="2816"/>
      <c r="K26" s="1370"/>
      <c r="L26" s="2769" t="s">
        <v>2813</v>
      </c>
      <c r="M26" s="920" t="s">
        <v>2877</v>
      </c>
      <c r="N26" s="920" t="s">
        <v>2878</v>
      </c>
      <c r="O26" s="920" t="s">
        <v>2879</v>
      </c>
      <c r="P26" s="2770" t="s">
        <v>2880</v>
      </c>
      <c r="R26" s="1376"/>
      <c r="S26" s="1376"/>
      <c r="T26" s="1371"/>
      <c r="U26" s="1371"/>
      <c r="V26" s="1371"/>
      <c r="W26" s="1370"/>
      <c r="X26" s="1370"/>
      <c r="Y26" s="1370"/>
      <c r="Z26" s="1377"/>
      <c r="AA26" s="1378"/>
      <c r="AB26" s="1378"/>
      <c r="AC26" s="1378"/>
      <c r="AD26" s="1378"/>
    </row>
    <row r="27" spans="1:37" ht="15.75" thickBot="1">
      <c r="A27" s="2813"/>
      <c r="B27" s="2817" t="s">
        <v>2914</v>
      </c>
      <c r="C27" s="931">
        <f ca="1">E30+SUM(I33:I39)</f>
        <v>0</v>
      </c>
      <c r="D27" s="2818"/>
      <c r="E27" s="2819"/>
      <c r="F27" s="2820"/>
      <c r="G27" s="2819"/>
      <c r="H27" s="2819"/>
      <c r="I27" s="2819"/>
      <c r="J27" s="2821"/>
      <c r="K27" s="1370"/>
      <c r="L27" s="2773"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2"/>
      <c r="B28" s="2823" t="s">
        <v>2915</v>
      </c>
      <c r="C28" s="2824" t="s">
        <v>2916</v>
      </c>
      <c r="D28" s="2824" t="s">
        <v>2917</v>
      </c>
      <c r="E28" s="2825" t="s">
        <v>2918</v>
      </c>
      <c r="F28" s="2826"/>
      <c r="G28" s="2753"/>
      <c r="H28" s="2753"/>
      <c r="I28" s="2753"/>
      <c r="J28" s="2754"/>
      <c r="K28" s="1370"/>
      <c r="L28" s="2774"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7"/>
      <c r="B29" s="2828" t="s">
        <v>2919</v>
      </c>
      <c r="C29" s="206">
        <f ca="1">ROUND(C5*C18*C19*C20*C21*C24,0)</f>
        <v>86617</v>
      </c>
      <c r="D29" s="2829">
        <f>'数据-基础表'!I13</f>
        <v>232.53</v>
      </c>
      <c r="E29" s="942">
        <f ca="1">ROUND(C29*D29/10000,0)</f>
        <v>2014</v>
      </c>
      <c r="F29" s="2830" t="s">
        <v>2920</v>
      </c>
      <c r="G29" s="2831"/>
      <c r="H29" s="2831"/>
      <c r="I29" s="2831"/>
      <c r="J29" s="2832"/>
      <c r="K29" s="1370"/>
      <c r="L29" s="1370"/>
      <c r="M29" s="1370"/>
      <c r="N29" s="1370"/>
      <c r="O29" s="1375"/>
      <c r="P29" s="1375"/>
      <c r="Q29" s="1376"/>
      <c r="R29" s="1376"/>
      <c r="S29" s="1376"/>
      <c r="T29" s="1371"/>
      <c r="U29" s="1371"/>
      <c r="V29" s="1371"/>
      <c r="W29" s="1370"/>
      <c r="X29" s="1370"/>
      <c r="Y29" s="1370"/>
      <c r="Z29" s="1377"/>
      <c r="AA29" s="1378"/>
      <c r="AB29" s="1378"/>
      <c r="AC29" s="1378"/>
      <c r="AD29" s="1378"/>
      <c r="AE29" s="2775"/>
      <c r="AF29" s="2775"/>
      <c r="AG29" s="2712"/>
      <c r="AH29" s="2712"/>
      <c r="AI29" s="2712"/>
      <c r="AJ29" s="2712"/>
    </row>
    <row r="30" spans="1:37" ht="25.5" thickBot="1">
      <c r="A30" s="2833"/>
      <c r="B30" s="2834" t="s">
        <v>2921</v>
      </c>
      <c r="C30" s="229">
        <f ca="1">ROUND(IF(E2="工业",C29*M39,C29*M38),0)</f>
        <v>21654</v>
      </c>
      <c r="D30" s="2835"/>
      <c r="E30" s="942">
        <f ca="1">ROUND(C30*D30/10000,0)</f>
        <v>0</v>
      </c>
      <c r="F30" s="2836" t="s">
        <v>2922</v>
      </c>
      <c r="G30" s="2837"/>
      <c r="H30" s="2837"/>
      <c r="I30" s="2837"/>
      <c r="J30" s="2838"/>
      <c r="K30" s="1370"/>
      <c r="L30" s="1370"/>
      <c r="M30" s="1370"/>
      <c r="N30" s="1370"/>
      <c r="O30" s="1375"/>
      <c r="P30" s="1375"/>
      <c r="Q30" s="1376"/>
      <c r="R30" s="1376"/>
      <c r="S30" s="1376"/>
      <c r="T30" s="1371"/>
      <c r="U30" s="1371"/>
      <c r="V30" s="1371"/>
      <c r="W30" s="1370"/>
      <c r="X30" s="1370"/>
      <c r="Y30" s="1370"/>
      <c r="Z30" s="1377"/>
      <c r="AA30" s="1378"/>
      <c r="AB30" s="1378"/>
      <c r="AC30" s="1378"/>
      <c r="AD30" s="1378"/>
      <c r="AE30" s="2775"/>
      <c r="AF30" s="2775"/>
      <c r="AG30" s="2712"/>
      <c r="AH30" s="2712"/>
      <c r="AI30" s="2712"/>
      <c r="AJ30" s="2712"/>
    </row>
    <row r="31" spans="1:37" ht="14.25">
      <c r="A31" s="2839"/>
      <c r="B31" s="2840" t="s">
        <v>2923</v>
      </c>
      <c r="C31" s="2841" t="s">
        <v>2924</v>
      </c>
      <c r="D31" s="2753"/>
      <c r="E31" s="2841"/>
      <c r="F31" s="2841"/>
      <c r="G31" s="2751" t="s">
        <v>2925</v>
      </c>
      <c r="H31" s="2753"/>
      <c r="I31" s="2842"/>
      <c r="J31" s="2754"/>
      <c r="K31" s="1370"/>
      <c r="L31" s="1370"/>
      <c r="M31" s="1370"/>
      <c r="N31" s="1370"/>
      <c r="O31" s="1375"/>
      <c r="P31" s="1375"/>
      <c r="Q31" s="1376"/>
      <c r="R31" s="1376"/>
      <c r="S31" s="1376"/>
      <c r="T31" s="1371"/>
      <c r="U31" s="1371"/>
      <c r="V31" s="1371"/>
      <c r="W31" s="1370"/>
      <c r="X31" s="1370"/>
      <c r="Y31" s="1370"/>
      <c r="Z31" s="1377"/>
      <c r="AA31" s="1378"/>
      <c r="AB31" s="1378"/>
      <c r="AC31" s="1378"/>
      <c r="AD31" s="1378"/>
      <c r="AE31" s="2775"/>
      <c r="AF31" s="2775"/>
      <c r="AG31" s="2712"/>
      <c r="AH31" s="2712"/>
      <c r="AI31" s="2712"/>
      <c r="AJ31" s="2712"/>
    </row>
    <row r="32" spans="1:37" ht="24">
      <c r="A32" s="2827"/>
      <c r="B32" s="2843"/>
      <c r="C32" s="501" t="s">
        <v>2916</v>
      </c>
      <c r="D32" s="498" t="s">
        <v>2917</v>
      </c>
      <c r="E32" s="498" t="s">
        <v>2918</v>
      </c>
      <c r="F32" s="388" t="s">
        <v>2926</v>
      </c>
      <c r="G32" s="2844" t="s">
        <v>2916</v>
      </c>
      <c r="H32" s="2844" t="s">
        <v>2917</v>
      </c>
      <c r="I32" s="2844"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5"/>
      <c r="AF32" s="2775"/>
      <c r="AG32" s="2712"/>
      <c r="AH32" s="2712"/>
      <c r="AI32" s="2712"/>
      <c r="AJ32" s="2712"/>
    </row>
    <row r="33" spans="1:37" ht="36" customHeight="1">
      <c r="A33" s="3271" t="s">
        <v>2927</v>
      </c>
      <c r="B33" s="2845" t="s">
        <v>2928</v>
      </c>
      <c r="C33" s="206">
        <f ca="1">ROUND(D5*C19*C20*C24*F33,0)</f>
        <v>10797</v>
      </c>
      <c r="D33" s="2829"/>
      <c r="E33" s="200">
        <f ca="1">ROUND(C33*D33/10000,0)</f>
        <v>0</v>
      </c>
      <c r="F33" s="200">
        <f>SUMIF(修正!A45:A56,G2,修正!B45:B56)</f>
        <v>0.7</v>
      </c>
      <c r="G33" s="200">
        <f t="shared" ref="G33" ca="1" si="6">ROUND(IF(E2="工业",C33*$M$39,C33*$M$38),0)</f>
        <v>2699</v>
      </c>
      <c r="H33" s="200">
        <f>D33</f>
        <v>0</v>
      </c>
      <c r="I33" s="200">
        <f ca="1">ROUND(G33*H33/10000,0)</f>
        <v>0</v>
      </c>
      <c r="J33" s="284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2"/>
      <c r="B34" s="2757" t="s">
        <v>2929</v>
      </c>
      <c r="C34" s="206">
        <f ca="1">ROUND(D5*C19*C20*C24*F34,0)</f>
        <v>6170</v>
      </c>
      <c r="D34" s="2829"/>
      <c r="E34" s="200">
        <f t="shared" ref="E34:E39" ca="1" si="7">ROUND(C34*D34/10000,0)</f>
        <v>0</v>
      </c>
      <c r="F34" s="200">
        <f>SUMIF(修正!A45:A56,G2,修正!C45:C56)</f>
        <v>0.4</v>
      </c>
      <c r="G34" s="200">
        <f ca="1">ROUND(IF(E2="工业",C34*$M$39,C34*$M$38),0)</f>
        <v>1543</v>
      </c>
      <c r="H34" s="200">
        <f t="shared" ref="H34:H39" si="8">D34</f>
        <v>0</v>
      </c>
      <c r="I34" s="200">
        <f t="shared" ref="I34:I39" ca="1" si="9">ROUND(G34*H34/10000,0)</f>
        <v>0</v>
      </c>
      <c r="J34" s="284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2"/>
      <c r="B35" s="2757" t="s">
        <v>2930</v>
      </c>
      <c r="C35" s="206">
        <f ca="1">ROUND(D5*C19*C20*C24*F35,0)</f>
        <v>4319</v>
      </c>
      <c r="D35" s="2829"/>
      <c r="E35" s="200">
        <f t="shared" ca="1" si="7"/>
        <v>0</v>
      </c>
      <c r="F35" s="200">
        <f>SUMIF(修正!A45:A56,G2,修正!D45:D56)</f>
        <v>0.28000000000000003</v>
      </c>
      <c r="G35" s="200">
        <f ca="1">ROUND(IF(E2="工业",C35*$M$39,C35*$M$38),0)</f>
        <v>1080</v>
      </c>
      <c r="H35" s="200">
        <f t="shared" si="8"/>
        <v>0</v>
      </c>
      <c r="I35" s="200">
        <f t="shared" ca="1" si="9"/>
        <v>0</v>
      </c>
      <c r="J35" s="2846"/>
      <c r="K35" s="1370"/>
      <c r="L35" s="1370"/>
      <c r="M35" s="1370"/>
      <c r="N35" s="1370"/>
      <c r="O35" s="1370"/>
      <c r="P35" s="1370"/>
      <c r="Q35" s="1370"/>
      <c r="R35" s="1370"/>
      <c r="S35" s="1370"/>
      <c r="T35" s="1370"/>
      <c r="U35" s="1370"/>
      <c r="V35" s="1370"/>
      <c r="W35" s="1370"/>
      <c r="X35" s="1370"/>
      <c r="Y35" s="1370"/>
      <c r="Z35" s="1371"/>
    </row>
    <row r="36" spans="1:37" ht="13.5" thickBot="1">
      <c r="A36" s="3273"/>
      <c r="B36" s="2757" t="s">
        <v>2931</v>
      </c>
      <c r="C36" s="206">
        <f ca="1">ROUND(D5*C19*C20*C24*F36,0)</f>
        <v>3856</v>
      </c>
      <c r="D36" s="2829"/>
      <c r="E36" s="200">
        <f t="shared" ca="1" si="7"/>
        <v>0</v>
      </c>
      <c r="F36" s="200">
        <f>SUMIF(修正!A45:A56,G2,修正!E45:E56)</f>
        <v>0.25</v>
      </c>
      <c r="G36" s="200">
        <f ca="1">ROUND(IF(E2="工业",C36*$M$39,C36*$M$38),0)</f>
        <v>964</v>
      </c>
      <c r="H36" s="200">
        <f t="shared" si="8"/>
        <v>0</v>
      </c>
      <c r="I36" s="200">
        <f t="shared" ca="1" si="9"/>
        <v>0</v>
      </c>
      <c r="J36" s="2846"/>
      <c r="K36" s="1370"/>
      <c r="L36" s="2711"/>
      <c r="M36" s="2711"/>
      <c r="N36" s="1370"/>
      <c r="O36" s="1370"/>
      <c r="P36" s="1370"/>
      <c r="Q36" s="1370"/>
      <c r="R36" s="1370"/>
      <c r="S36" s="1370"/>
      <c r="T36" s="1370"/>
      <c r="U36" s="1370"/>
      <c r="V36" s="1370"/>
      <c r="W36" s="1370"/>
      <c r="X36" s="1370"/>
      <c r="Y36" s="1370"/>
      <c r="Z36" s="1371"/>
    </row>
    <row r="37" spans="1:37">
      <c r="A37" s="2847"/>
      <c r="B37" s="2757" t="s">
        <v>2932</v>
      </c>
      <c r="C37" s="200">
        <f ca="1">ROUND(D5*C19*C20*C24*F37,0)</f>
        <v>3856</v>
      </c>
      <c r="D37" s="2829"/>
      <c r="E37" s="200">
        <f t="shared" ca="1" si="7"/>
        <v>0</v>
      </c>
      <c r="F37" s="206">
        <f>SUMIF(修正!A45:A56,G2,修正!F45:F56)</f>
        <v>0.25</v>
      </c>
      <c r="G37" s="200">
        <f ca="1">ROUND(IF(E2="工业",C37*$M$39,C37*$M$38),0)</f>
        <v>964</v>
      </c>
      <c r="H37" s="200">
        <f t="shared" si="8"/>
        <v>0</v>
      </c>
      <c r="I37" s="200">
        <f t="shared" ca="1" si="9"/>
        <v>0</v>
      </c>
      <c r="J37" s="2846"/>
      <c r="K37" s="1370"/>
      <c r="L37" s="2848" t="s">
        <v>2933</v>
      </c>
      <c r="M37" s="2849"/>
      <c r="N37" s="1370"/>
      <c r="O37" s="1370"/>
      <c r="P37" s="1370"/>
      <c r="Q37" s="1370"/>
      <c r="R37" s="1370"/>
      <c r="S37" s="1370"/>
      <c r="T37" s="1370"/>
      <c r="U37" s="1370"/>
      <c r="V37" s="1370"/>
      <c r="W37" s="1370"/>
      <c r="X37" s="1370"/>
      <c r="Y37" s="1370"/>
      <c r="Z37" s="1371"/>
    </row>
    <row r="38" spans="1:37">
      <c r="A38" s="2847"/>
      <c r="B38" s="2757" t="s">
        <v>2934</v>
      </c>
      <c r="C38" s="200">
        <f ca="1">ROUND(D5*C19*C41*C24*F38,0)</f>
        <v>0</v>
      </c>
      <c r="D38" s="2829"/>
      <c r="E38" s="200">
        <f t="shared" ca="1" si="7"/>
        <v>0</v>
      </c>
      <c r="F38" s="206">
        <f>SUMIF(修正!A45:A56,G2,修正!G45:G56)</f>
        <v>0.25</v>
      </c>
      <c r="G38" s="200">
        <f ca="1">ROUND(IF(E2="工业",C38*$M$39,C38*$M$38),0)</f>
        <v>0</v>
      </c>
      <c r="H38" s="200">
        <f t="shared" si="8"/>
        <v>0</v>
      </c>
      <c r="I38" s="200">
        <f t="shared" ca="1" si="9"/>
        <v>0</v>
      </c>
      <c r="J38" s="2846"/>
      <c r="K38" s="1370"/>
      <c r="L38" s="1879" t="s">
        <v>2935</v>
      </c>
      <c r="M38" s="2850">
        <v>0.25</v>
      </c>
      <c r="N38" s="1370"/>
      <c r="O38" s="1370"/>
      <c r="P38" s="1370"/>
      <c r="Q38" s="1370"/>
      <c r="R38" s="1370"/>
      <c r="S38" s="1370"/>
      <c r="T38" s="1370"/>
      <c r="U38" s="1370"/>
      <c r="V38" s="1370"/>
      <c r="W38" s="1370"/>
      <c r="X38" s="1370"/>
      <c r="Y38" s="1370"/>
      <c r="Z38" s="1371"/>
    </row>
    <row r="39" spans="1:37" ht="13.5" thickBot="1">
      <c r="A39" s="2833"/>
      <c r="B39" s="2851" t="s">
        <v>2936</v>
      </c>
      <c r="C39" s="229">
        <f ca="1">ROUND(D5*C19*C41*C24*F39,0)</f>
        <v>0</v>
      </c>
      <c r="D39" s="2835"/>
      <c r="E39" s="229">
        <f t="shared" ca="1" si="7"/>
        <v>0</v>
      </c>
      <c r="F39" s="932">
        <f>SUMIF(修正!A45:A56,G2,修正!H45:H56)</f>
        <v>0.2</v>
      </c>
      <c r="G39" s="229">
        <f ca="1">ROUND(IF(E2="工业",C39*$M$39,C39*$M$38),0)</f>
        <v>0</v>
      </c>
      <c r="H39" s="229">
        <f t="shared" si="8"/>
        <v>0</v>
      </c>
      <c r="I39" s="229">
        <f t="shared" ca="1" si="9"/>
        <v>0</v>
      </c>
      <c r="J39" s="2852"/>
      <c r="K39" s="1370"/>
      <c r="L39" s="2853" t="s">
        <v>2880</v>
      </c>
      <c r="M39" s="285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2" t="s">
        <v>3044</v>
      </c>
      <c r="C41" s="388">
        <f ca="1">ROUND(POWER(1+E41,H41-G41)*(POWER(1+E41,G41)-1)/(POWER(1+E41,H41)-1),4)</f>
        <v>0</v>
      </c>
      <c r="D41" s="200" t="s">
        <v>2887</v>
      </c>
      <c r="E41" s="2921">
        <f ca="1">G20</f>
        <v>0.05</v>
      </c>
      <c r="F41" s="200" t="s">
        <v>2896</v>
      </c>
      <c r="G41" s="218"/>
      <c r="H41" s="200">
        <v>50</v>
      </c>
      <c r="Z41" s="1371"/>
      <c r="AA41" s="1371"/>
      <c r="AB41" s="1371"/>
      <c r="AC41" s="1371"/>
      <c r="AD41" s="1371"/>
      <c r="AE41" s="1371"/>
      <c r="AF41" s="1371"/>
      <c r="AG41" s="1371"/>
      <c r="AH41" s="1371"/>
      <c r="AI41" s="1371"/>
      <c r="AJ41" s="1371"/>
    </row>
    <row r="42" spans="1:37" s="1370" customFormat="1">
      <c r="A42" s="1371"/>
      <c r="B42" s="2855"/>
      <c r="Z42" s="1371"/>
      <c r="AA42" s="1371"/>
      <c r="AB42" s="1371"/>
      <c r="AC42" s="1371"/>
      <c r="AD42" s="1371"/>
      <c r="AE42" s="1371"/>
      <c r="AF42" s="1371"/>
      <c r="AG42" s="1371"/>
      <c r="AH42" s="1371"/>
      <c r="AI42" s="1371"/>
      <c r="AJ42" s="1371"/>
    </row>
    <row r="43" spans="1:37" s="1370" customFormat="1">
      <c r="A43" s="1371"/>
      <c r="B43" s="2855"/>
      <c r="Z43" s="1371"/>
      <c r="AA43" s="1371"/>
      <c r="AB43" s="1371"/>
      <c r="AC43" s="1371"/>
      <c r="AD43" s="1371"/>
      <c r="AE43" s="1371"/>
      <c r="AF43" s="1371"/>
      <c r="AG43" s="1371"/>
      <c r="AH43" s="1371"/>
      <c r="AI43" s="1371"/>
      <c r="AJ43" s="1371"/>
    </row>
    <row r="44" spans="1:37" s="1370" customFormat="1">
      <c r="A44" s="1371"/>
      <c r="B44" s="2855"/>
      <c r="Z44" s="1371"/>
      <c r="AA44" s="1371"/>
      <c r="AB44" s="1371"/>
      <c r="AC44" s="1371"/>
      <c r="AD44" s="1371"/>
      <c r="AE44" s="1371"/>
      <c r="AF44" s="1371"/>
      <c r="AG44" s="1371"/>
      <c r="AH44" s="1371"/>
      <c r="AI44" s="1371"/>
      <c r="AJ44" s="1371"/>
    </row>
    <row r="45" spans="1:37" s="1370" customFormat="1" ht="15.75" thickBot="1">
      <c r="A45" s="2856" t="s">
        <v>2937</v>
      </c>
      <c r="B45" s="2857"/>
      <c r="C45" s="7"/>
      <c r="D45" s="7"/>
      <c r="E45" s="7"/>
      <c r="F45" s="6"/>
      <c r="G45" s="6"/>
      <c r="H45" s="6"/>
      <c r="I45" s="7"/>
      <c r="J45" s="7"/>
      <c r="K45" s="7"/>
      <c r="L45" s="7"/>
      <c r="M45" s="7"/>
      <c r="N45" s="2775"/>
      <c r="Z45" s="1371"/>
      <c r="AA45" s="1371"/>
      <c r="AB45" s="1371"/>
      <c r="AC45" s="1371"/>
      <c r="AD45" s="1371"/>
      <c r="AE45" s="1371"/>
      <c r="AF45" s="1371"/>
      <c r="AG45" s="1371"/>
      <c r="AH45" s="1371"/>
      <c r="AI45" s="1371"/>
      <c r="AJ45" s="1371"/>
    </row>
    <row r="46" spans="1:37" s="1370" customFormat="1" ht="15">
      <c r="A46" s="2858" t="s">
        <v>2938</v>
      </c>
      <c r="B46" s="2859">
        <f>1+E48</f>
        <v>1</v>
      </c>
      <c r="C46" s="2860"/>
      <c r="D46" s="814"/>
      <c r="E46" s="815"/>
      <c r="F46" s="2861"/>
      <c r="G46" s="6"/>
      <c r="H46" s="7"/>
      <c r="I46" s="7"/>
      <c r="J46" s="7"/>
      <c r="K46" s="7"/>
      <c r="L46" s="7"/>
      <c r="M46" s="7"/>
      <c r="N46" s="2775"/>
      <c r="Z46" s="1371"/>
      <c r="AA46" s="1371"/>
      <c r="AB46" s="1371"/>
      <c r="AC46" s="1371"/>
      <c r="AD46" s="1371"/>
      <c r="AE46" s="1371"/>
      <c r="AF46" s="1371"/>
      <c r="AG46" s="1371"/>
      <c r="AH46" s="1371"/>
      <c r="AI46" s="1371"/>
      <c r="AJ46" s="1371"/>
    </row>
    <row r="47" spans="1:37" s="1370" customFormat="1" ht="24.75">
      <c r="A47" s="2862" t="s">
        <v>2939</v>
      </c>
      <c r="B47" s="1801" t="s">
        <v>2940</v>
      </c>
      <c r="C47" s="1801" t="s">
        <v>2941</v>
      </c>
      <c r="D47" s="1801" t="s">
        <v>2942</v>
      </c>
      <c r="E47" s="819" t="s">
        <v>2943</v>
      </c>
      <c r="F47" s="2863" t="s">
        <v>2944</v>
      </c>
      <c r="G47" s="1801" t="s">
        <v>754</v>
      </c>
      <c r="H47" s="2864" t="s">
        <v>2945</v>
      </c>
      <c r="I47" s="1801"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2" t="s">
        <v>2947</v>
      </c>
      <c r="B48" s="2865" t="str">
        <f>估价对象房地状况!C4</f>
        <v>估价对象位于XX商圈，周边商业氛围成熟，人流量大，商业繁华度好</v>
      </c>
      <c r="C48" s="2762"/>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2" t="s">
        <v>2948</v>
      </c>
      <c r="B49" s="2866" t="str">
        <f>估价对象房地状况!C18</f>
        <v>估价对象周边道路状况、公共交通通达情况、停车便捷程度，综合评价交通便捷度较好</v>
      </c>
      <c r="C49" s="2762"/>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2" t="s">
        <v>2949</v>
      </c>
      <c r="B50" s="2866">
        <f>估价对象房地状况!C19</f>
        <v>0</v>
      </c>
      <c r="C50" s="2762"/>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2" t="s">
        <v>2950</v>
      </c>
      <c r="B51" s="2867" t="s">
        <v>2951</v>
      </c>
      <c r="C51" s="2762"/>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2" t="s">
        <v>2952</v>
      </c>
      <c r="B52" s="2866">
        <f>估价对象房地状况!C24</f>
        <v>0</v>
      </c>
      <c r="C52" s="2762"/>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2" t="s">
        <v>2953</v>
      </c>
      <c r="B53" s="2868" t="s">
        <v>2954</v>
      </c>
      <c r="C53" s="2762"/>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69" t="s">
        <v>2955</v>
      </c>
      <c r="B54" s="1725" t="str">
        <f>估价对象房地状况!C21</f>
        <v>估价对象所在区域公共配套设施齐备情况</v>
      </c>
      <c r="C54" s="2762"/>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69" t="s">
        <v>2956</v>
      </c>
      <c r="B55" s="2866" t="str">
        <f>估价对象房地状况!C22</f>
        <v>估价对象所在区域基础设施水平</v>
      </c>
      <c r="C55" s="2762"/>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0" t="s">
        <v>2957</v>
      </c>
      <c r="B56" s="2871" t="str">
        <f>估价对象房地状况!C20</f>
        <v>区域自然环境：；人文环境；综合评价环境状况一般</v>
      </c>
      <c r="C56" s="2762"/>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8" t="s">
        <v>2958</v>
      </c>
      <c r="B57" s="2859">
        <f>1+E59</f>
        <v>1</v>
      </c>
      <c r="C57" s="814"/>
      <c r="D57" s="814"/>
      <c r="E57" s="815"/>
      <c r="F57" s="286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2" t="s">
        <v>2939</v>
      </c>
      <c r="B58" s="1801"/>
      <c r="C58" s="1801" t="s">
        <v>2941</v>
      </c>
      <c r="D58" s="1801" t="s">
        <v>2942</v>
      </c>
      <c r="E58" s="819" t="s">
        <v>2943</v>
      </c>
      <c r="F58" s="2863" t="s">
        <v>2959</v>
      </c>
      <c r="G58" s="1801" t="s">
        <v>754</v>
      </c>
      <c r="H58" s="2864" t="s">
        <v>2945</v>
      </c>
      <c r="I58" s="1801"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2" t="s">
        <v>2960</v>
      </c>
      <c r="B59" s="2865" t="str">
        <f>估价对象房地状况!C17</f>
        <v>估价对象位于XX商圈，周边办公楼项目较多，入驻率高，办公集聚程度较好</v>
      </c>
      <c r="C59" s="2762"/>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2" t="s">
        <v>2948</v>
      </c>
      <c r="B60" s="2866" t="str">
        <f>估价对象房地状况!C18</f>
        <v>估价对象周边道路状况、公共交通通达情况、停车便捷程度，综合评价交通便捷度较好</v>
      </c>
      <c r="C60" s="2762"/>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2" t="s">
        <v>2949</v>
      </c>
      <c r="B61" s="2866">
        <f>估价对象房地状况!C19</f>
        <v>0</v>
      </c>
      <c r="C61" s="2762"/>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2" t="s">
        <v>2950</v>
      </c>
      <c r="B62" s="2867" t="s">
        <v>2951</v>
      </c>
      <c r="C62" s="2762"/>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2" t="s">
        <v>2952</v>
      </c>
      <c r="B63" s="2866">
        <f>估价对象房地状况!C24</f>
        <v>0</v>
      </c>
      <c r="C63" s="2762"/>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2" t="s">
        <v>2953</v>
      </c>
      <c r="B64" s="2868" t="s">
        <v>2954</v>
      </c>
      <c r="C64" s="2762"/>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2" t="s">
        <v>2955</v>
      </c>
      <c r="B65" s="1725" t="str">
        <f>估价对象房地状况!C21</f>
        <v>估价对象所在区域公共配套设施齐备情况</v>
      </c>
      <c r="C65" s="2762"/>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2" t="s">
        <v>2956</v>
      </c>
      <c r="B66" s="1725" t="str">
        <f>估价对象房地状况!C22</f>
        <v>估价对象所在区域基础设施水平</v>
      </c>
      <c r="C66" s="2762"/>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0" t="s">
        <v>2957</v>
      </c>
      <c r="B67" s="2872" t="str">
        <f>估价对象房地状况!C20</f>
        <v>区域自然环境：；人文环境；综合评价环境状况一般</v>
      </c>
      <c r="C67" s="2762"/>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8" t="s">
        <v>2961</v>
      </c>
      <c r="B68" s="2859">
        <f>1+E70</f>
        <v>1.0429999999999999</v>
      </c>
      <c r="C68" s="814"/>
      <c r="D68" s="814"/>
      <c r="E68" s="815"/>
      <c r="F68" s="286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2" t="s">
        <v>2939</v>
      </c>
      <c r="B69" s="1801"/>
      <c r="C69" s="1801" t="s">
        <v>2941</v>
      </c>
      <c r="D69" s="1801" t="s">
        <v>2942</v>
      </c>
      <c r="E69" s="819" t="s">
        <v>2943</v>
      </c>
      <c r="F69" s="2863" t="s">
        <v>2959</v>
      </c>
      <c r="G69" s="1801" t="s">
        <v>754</v>
      </c>
      <c r="H69" s="2864" t="s">
        <v>2945</v>
      </c>
      <c r="I69" s="1801"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2" t="s">
        <v>2962</v>
      </c>
      <c r="B70" s="2865" t="str">
        <f>估价对象房地状况!C15</f>
        <v>估价对象周边居住用地比例、居住小区规模和社区发展完善程度，综合评价居住社区成熟度一般</v>
      </c>
      <c r="C70" s="2762" t="s">
        <v>3089</v>
      </c>
      <c r="D70" s="1286">
        <f t="shared" ref="D70:D78" si="20">SUMIF($J$69:$N$69,C70,J70:N70)</f>
        <v>7.7999999999999996E-3</v>
      </c>
      <c r="E70" s="821">
        <f>ROUND(SUM(D70:D78),4)</f>
        <v>4.2999999999999997E-2</v>
      </c>
      <c r="F70" s="2495">
        <f>IF(E2="住宅",SUMIF(L1:L12,G2,N1:N12),"——")</f>
        <v>0.112</v>
      </c>
      <c r="G70" s="1284">
        <f>H70</f>
        <v>7.7999999999999996E-3</v>
      </c>
      <c r="H70" s="1288">
        <f t="shared" ref="H70:H78" si="21">IFERROR(ROUNDDOWN($F$70*I70/2,4),"——")</f>
        <v>7.7999999999999996E-3</v>
      </c>
      <c r="I70" s="820">
        <v>0.14000000000000001</v>
      </c>
      <c r="J70" s="1285">
        <f t="shared" ref="J70:J78" si="22">K70+$G70</f>
        <v>1.5599999999999999E-2</v>
      </c>
      <c r="K70" s="1285">
        <f t="shared" ref="K70:K78" si="23">$L70+$G70</f>
        <v>7.7999999999999996E-3</v>
      </c>
      <c r="L70" s="1285">
        <v>0</v>
      </c>
      <c r="M70" s="1285">
        <f t="shared" ref="M70:N78" si="24">L70-$G70</f>
        <v>-7.7999999999999996E-3</v>
      </c>
      <c r="N70" s="1285">
        <f t="shared" si="24"/>
        <v>-1.5599999999999999E-2</v>
      </c>
      <c r="AA70" s="1371"/>
      <c r="AB70" s="1371"/>
      <c r="AC70" s="1371"/>
      <c r="AD70" s="1371"/>
      <c r="AE70" s="1371"/>
      <c r="AF70" s="1371"/>
      <c r="AG70" s="1371"/>
      <c r="AH70" s="1371"/>
      <c r="AI70" s="1371"/>
      <c r="AJ70" s="1371"/>
      <c r="AK70" s="1371"/>
    </row>
    <row r="71" spans="1:37" s="1370" customFormat="1" ht="51">
      <c r="A71" s="2862" t="s">
        <v>2948</v>
      </c>
      <c r="B71" s="2866" t="str">
        <f>估价对象房地状况!C18</f>
        <v>估价对象周边道路状况、公共交通通达情况、停车便捷程度，综合评价交通便捷度较好</v>
      </c>
      <c r="C71" s="2762" t="s">
        <v>3089</v>
      </c>
      <c r="D71" s="1286">
        <f t="shared" si="20"/>
        <v>1.6799999999999999E-2</v>
      </c>
      <c r="E71" s="826"/>
      <c r="F71" s="2495"/>
      <c r="G71" s="1284">
        <f t="shared" ref="G71:G78" si="25">H71</f>
        <v>1.6799999999999999E-2</v>
      </c>
      <c r="H71" s="1288">
        <f t="shared" si="21"/>
        <v>1.6799999999999999E-2</v>
      </c>
      <c r="I71" s="820">
        <v>0.3</v>
      </c>
      <c r="J71" s="1285">
        <f t="shared" si="22"/>
        <v>3.3599999999999998E-2</v>
      </c>
      <c r="K71" s="1285">
        <f t="shared" si="23"/>
        <v>1.6799999999999999E-2</v>
      </c>
      <c r="L71" s="1285">
        <v>0</v>
      </c>
      <c r="M71" s="1285">
        <f t="shared" si="24"/>
        <v>-1.6799999999999999E-2</v>
      </c>
      <c r="N71" s="1285">
        <f t="shared" si="24"/>
        <v>-3.3599999999999998E-2</v>
      </c>
      <c r="AA71" s="1371"/>
      <c r="AB71" s="1371"/>
      <c r="AC71" s="1371"/>
      <c r="AD71" s="1371"/>
      <c r="AE71" s="1371"/>
      <c r="AF71" s="1371"/>
      <c r="AG71" s="1371"/>
      <c r="AH71" s="1371"/>
      <c r="AI71" s="1371"/>
      <c r="AJ71" s="1371"/>
      <c r="AK71" s="1371"/>
    </row>
    <row r="72" spans="1:37" s="1370" customFormat="1" ht="24">
      <c r="A72" s="2862" t="s">
        <v>2949</v>
      </c>
      <c r="B72" s="2866">
        <f>估价对象房地状况!C19</f>
        <v>0</v>
      </c>
      <c r="C72" s="2762" t="s">
        <v>3089</v>
      </c>
      <c r="D72" s="1286">
        <f t="shared" si="20"/>
        <v>4.4000000000000003E-3</v>
      </c>
      <c r="E72" s="826"/>
      <c r="F72" s="2495"/>
      <c r="G72" s="1284">
        <f t="shared" si="25"/>
        <v>4.4000000000000003E-3</v>
      </c>
      <c r="H72" s="1288">
        <f t="shared" si="21"/>
        <v>4.4000000000000003E-3</v>
      </c>
      <c r="I72" s="820">
        <v>0.08</v>
      </c>
      <c r="J72" s="1285">
        <f t="shared" si="22"/>
        <v>8.8000000000000005E-3</v>
      </c>
      <c r="K72" s="1285">
        <f t="shared" si="23"/>
        <v>4.4000000000000003E-3</v>
      </c>
      <c r="L72" s="1285">
        <v>0</v>
      </c>
      <c r="M72" s="1285">
        <f t="shared" si="24"/>
        <v>-4.4000000000000003E-3</v>
      </c>
      <c r="N72" s="1285">
        <f t="shared" si="24"/>
        <v>-8.8000000000000005E-3</v>
      </c>
      <c r="AA72" s="1371"/>
      <c r="AB72" s="1371"/>
      <c r="AC72" s="1371"/>
      <c r="AD72" s="1371"/>
      <c r="AE72" s="1371"/>
      <c r="AF72" s="1371"/>
      <c r="AG72" s="1371"/>
      <c r="AH72" s="1371"/>
      <c r="AI72" s="1371"/>
      <c r="AJ72" s="1371"/>
      <c r="AK72" s="1371"/>
    </row>
    <row r="73" spans="1:37" s="1370" customFormat="1" ht="14.25">
      <c r="A73" s="2862" t="s">
        <v>2963</v>
      </c>
      <c r="B73" s="2866">
        <f>估价对象房地状况!C24</f>
        <v>0</v>
      </c>
      <c r="C73" s="2762" t="s">
        <v>3090</v>
      </c>
      <c r="D73" s="1286">
        <f t="shared" si="20"/>
        <v>0</v>
      </c>
      <c r="E73" s="826"/>
      <c r="F73" s="2495"/>
      <c r="G73" s="1284">
        <f t="shared" si="25"/>
        <v>2.2000000000000001E-3</v>
      </c>
      <c r="H73" s="1288">
        <f t="shared" si="21"/>
        <v>2.2000000000000001E-3</v>
      </c>
      <c r="I73" s="820">
        <v>0.04</v>
      </c>
      <c r="J73" s="1285">
        <f t="shared" si="22"/>
        <v>4.4000000000000003E-3</v>
      </c>
      <c r="K73" s="1285">
        <f t="shared" si="23"/>
        <v>2.2000000000000001E-3</v>
      </c>
      <c r="L73" s="1285">
        <v>0</v>
      </c>
      <c r="M73" s="1285">
        <f t="shared" si="24"/>
        <v>-2.2000000000000001E-3</v>
      </c>
      <c r="N73" s="1285">
        <f t="shared" si="24"/>
        <v>-4.4000000000000003E-3</v>
      </c>
      <c r="AA73" s="1371"/>
      <c r="AB73" s="1371"/>
      <c r="AC73" s="1371"/>
      <c r="AD73" s="1371"/>
      <c r="AE73" s="1371"/>
      <c r="AF73" s="1371"/>
      <c r="AG73" s="1371"/>
      <c r="AH73" s="1371"/>
      <c r="AI73" s="1371"/>
      <c r="AJ73" s="1371"/>
      <c r="AK73" s="1371"/>
    </row>
    <row r="74" spans="1:37" s="1370" customFormat="1" ht="25.5">
      <c r="A74" s="2862" t="s">
        <v>2955</v>
      </c>
      <c r="B74" s="1725" t="str">
        <f>估价对象房地状况!C21</f>
        <v>估价对象所在区域公共配套设施齐备情况</v>
      </c>
      <c r="C74" s="2960" t="s">
        <v>3090</v>
      </c>
      <c r="D74" s="1286">
        <f t="shared" si="20"/>
        <v>0</v>
      </c>
      <c r="E74" s="826"/>
      <c r="F74" s="2495"/>
      <c r="G74" s="1284">
        <f t="shared" si="25"/>
        <v>4.4000000000000003E-3</v>
      </c>
      <c r="H74" s="1288">
        <f t="shared" si="21"/>
        <v>4.4000000000000003E-3</v>
      </c>
      <c r="I74" s="820">
        <v>0.08</v>
      </c>
      <c r="J74" s="1285">
        <f t="shared" si="22"/>
        <v>8.8000000000000005E-3</v>
      </c>
      <c r="K74" s="1285">
        <f t="shared" si="23"/>
        <v>4.4000000000000003E-3</v>
      </c>
      <c r="L74" s="1285">
        <v>0</v>
      </c>
      <c r="M74" s="1285">
        <f t="shared" si="24"/>
        <v>-4.4000000000000003E-3</v>
      </c>
      <c r="N74" s="1285">
        <f t="shared" si="24"/>
        <v>-8.8000000000000005E-3</v>
      </c>
      <c r="AA74" s="1371"/>
      <c r="AB74" s="1371"/>
      <c r="AC74" s="1371"/>
      <c r="AD74" s="1371"/>
      <c r="AE74" s="1371"/>
      <c r="AF74" s="1371"/>
      <c r="AG74" s="1371"/>
      <c r="AH74" s="1371"/>
      <c r="AI74" s="1371"/>
      <c r="AJ74" s="1371"/>
      <c r="AK74" s="1371"/>
    </row>
    <row r="75" spans="1:37" s="1370" customFormat="1" ht="25.5">
      <c r="A75" s="2862" t="s">
        <v>2956</v>
      </c>
      <c r="B75" s="1725" t="str">
        <f>估价对象房地状况!C22</f>
        <v>估价对象所在区域基础设施水平</v>
      </c>
      <c r="C75" s="2762" t="s">
        <v>3091</v>
      </c>
      <c r="D75" s="1286">
        <f t="shared" si="20"/>
        <v>1.34E-2</v>
      </c>
      <c r="E75" s="826"/>
      <c r="F75" s="2495"/>
      <c r="G75" s="1284">
        <f t="shared" si="25"/>
        <v>6.7000000000000002E-3</v>
      </c>
      <c r="H75" s="1288">
        <f t="shared" si="21"/>
        <v>6.7000000000000002E-3</v>
      </c>
      <c r="I75" s="820">
        <v>0.12</v>
      </c>
      <c r="J75" s="1285">
        <f t="shared" si="22"/>
        <v>1.34E-2</v>
      </c>
      <c r="K75" s="1285">
        <f t="shared" si="23"/>
        <v>6.7000000000000002E-3</v>
      </c>
      <c r="L75" s="1285">
        <v>0</v>
      </c>
      <c r="M75" s="1285">
        <f t="shared" si="24"/>
        <v>-6.7000000000000002E-3</v>
      </c>
      <c r="N75" s="1285">
        <f t="shared" si="24"/>
        <v>-1.34E-2</v>
      </c>
      <c r="AA75" s="1371"/>
      <c r="AB75" s="1371"/>
      <c r="AC75" s="1371"/>
      <c r="AD75" s="1371"/>
      <c r="AE75" s="1371"/>
      <c r="AF75" s="1371"/>
      <c r="AG75" s="1371"/>
      <c r="AH75" s="1371"/>
      <c r="AI75" s="1371"/>
      <c r="AJ75" s="1371"/>
      <c r="AK75" s="1371"/>
    </row>
    <row r="76" spans="1:37" s="2711" customFormat="1" ht="24">
      <c r="A76" s="2862" t="s">
        <v>2953</v>
      </c>
      <c r="B76" s="2868" t="s">
        <v>2954</v>
      </c>
      <c r="C76" s="2762" t="s">
        <v>3089</v>
      </c>
      <c r="D76" s="1286">
        <f t="shared" si="20"/>
        <v>2.8E-3</v>
      </c>
      <c r="E76" s="826"/>
      <c r="F76" s="2495"/>
      <c r="G76" s="1284">
        <f t="shared" si="25"/>
        <v>2.8E-3</v>
      </c>
      <c r="H76" s="1288">
        <f t="shared" si="21"/>
        <v>2.8E-3</v>
      </c>
      <c r="I76" s="820">
        <v>0.05</v>
      </c>
      <c r="J76" s="1285">
        <f t="shared" si="22"/>
        <v>5.5999999999999999E-3</v>
      </c>
      <c r="K76" s="1285">
        <f t="shared" si="23"/>
        <v>2.8E-3</v>
      </c>
      <c r="L76" s="1285">
        <v>0</v>
      </c>
      <c r="M76" s="1285">
        <f t="shared" si="24"/>
        <v>-2.8E-3</v>
      </c>
      <c r="N76" s="1285">
        <f t="shared" si="24"/>
        <v>-5.5999999999999999E-3</v>
      </c>
      <c r="AA76" s="2873"/>
      <c r="AB76" s="1371"/>
      <c r="AC76" s="1371"/>
      <c r="AD76" s="1371"/>
      <c r="AE76" s="1371"/>
      <c r="AF76" s="1371"/>
      <c r="AG76" s="1371"/>
      <c r="AH76" s="2873"/>
      <c r="AI76" s="2873"/>
      <c r="AJ76" s="2873"/>
      <c r="AK76" s="2873"/>
    </row>
    <row r="77" spans="1:37" ht="38.25">
      <c r="A77" s="2862" t="s">
        <v>2957</v>
      </c>
      <c r="B77" s="2865" t="str">
        <f>估价对象房地状况!C20</f>
        <v>区域自然环境：；人文环境；综合评价环境状况一般</v>
      </c>
      <c r="C77" s="2762" t="s">
        <v>3090</v>
      </c>
      <c r="D77" s="1286">
        <f t="shared" si="20"/>
        <v>0</v>
      </c>
      <c r="E77" s="826"/>
      <c r="F77" s="2495"/>
      <c r="G77" s="1284">
        <f t="shared" si="25"/>
        <v>8.3999999999999995E-3</v>
      </c>
      <c r="H77" s="1288">
        <f t="shared" si="21"/>
        <v>8.3999999999999995E-3</v>
      </c>
      <c r="I77" s="820">
        <v>0.15</v>
      </c>
      <c r="J77" s="1285">
        <f t="shared" si="22"/>
        <v>1.6799999999999999E-2</v>
      </c>
      <c r="K77" s="1285">
        <f t="shared" si="23"/>
        <v>8.3999999999999995E-3</v>
      </c>
      <c r="L77" s="1285">
        <v>0</v>
      </c>
      <c r="M77" s="1285">
        <f t="shared" si="24"/>
        <v>-8.3999999999999995E-3</v>
      </c>
      <c r="N77" s="1285">
        <f t="shared" si="24"/>
        <v>-1.6799999999999999E-2</v>
      </c>
      <c r="Z77" s="2712"/>
      <c r="AA77" s="2780"/>
      <c r="AG77" s="1372"/>
      <c r="AK77" s="2780"/>
    </row>
    <row r="78" spans="1:37" ht="24.75" thickBot="1">
      <c r="A78" s="2870" t="s">
        <v>2964</v>
      </c>
      <c r="B78" s="2874"/>
      <c r="C78" s="2762" t="s">
        <v>3092</v>
      </c>
      <c r="D78" s="1286">
        <f t="shared" si="20"/>
        <v>-2.2000000000000001E-3</v>
      </c>
      <c r="E78" s="827"/>
      <c r="F78" s="2495"/>
      <c r="G78" s="1284">
        <f t="shared" si="25"/>
        <v>2.2000000000000001E-3</v>
      </c>
      <c r="H78" s="1288">
        <f t="shared" si="21"/>
        <v>2.2000000000000001E-3</v>
      </c>
      <c r="I78" s="824">
        <v>0.04</v>
      </c>
      <c r="J78" s="1285">
        <f t="shared" si="22"/>
        <v>4.4000000000000003E-3</v>
      </c>
      <c r="K78" s="1285">
        <f t="shared" si="23"/>
        <v>2.2000000000000001E-3</v>
      </c>
      <c r="L78" s="1285">
        <v>0</v>
      </c>
      <c r="M78" s="1285">
        <f t="shared" si="24"/>
        <v>-2.2000000000000001E-3</v>
      </c>
      <c r="N78" s="1285">
        <f t="shared" si="24"/>
        <v>-4.4000000000000003E-3</v>
      </c>
      <c r="Z78" s="2712"/>
      <c r="AA78" s="2780"/>
      <c r="AG78" s="1372"/>
      <c r="AK78" s="2780"/>
    </row>
    <row r="79" spans="1:37" ht="15">
      <c r="A79" s="2858" t="s">
        <v>2965</v>
      </c>
      <c r="B79" s="2859">
        <f>1+E81</f>
        <v>1</v>
      </c>
      <c r="C79" s="814"/>
      <c r="D79" s="814"/>
      <c r="E79" s="815"/>
      <c r="F79" s="2861"/>
      <c r="G79" s="6"/>
      <c r="H79" s="6"/>
      <c r="I79" s="6"/>
      <c r="J79" s="7"/>
      <c r="K79" s="7"/>
      <c r="L79" s="7"/>
      <c r="M79" s="7"/>
      <c r="N79" s="7"/>
      <c r="Z79" s="2712"/>
      <c r="AA79" s="2780"/>
      <c r="AG79" s="1372"/>
      <c r="AK79" s="2780"/>
    </row>
    <row r="80" spans="1:37" ht="24.75">
      <c r="A80" s="2862" t="s">
        <v>2939</v>
      </c>
      <c r="B80" s="1801"/>
      <c r="C80" s="1801" t="s">
        <v>2941</v>
      </c>
      <c r="D80" s="1801" t="s">
        <v>2942</v>
      </c>
      <c r="E80" s="819" t="s">
        <v>2943</v>
      </c>
      <c r="F80" s="2863" t="s">
        <v>2959</v>
      </c>
      <c r="G80" s="1801" t="s">
        <v>754</v>
      </c>
      <c r="H80" s="2864" t="s">
        <v>2945</v>
      </c>
      <c r="I80" s="1801" t="s">
        <v>2946</v>
      </c>
      <c r="J80" s="603" t="s">
        <v>2596</v>
      </c>
      <c r="K80" s="603" t="s">
        <v>2597</v>
      </c>
      <c r="L80" s="603" t="s">
        <v>2598</v>
      </c>
      <c r="M80" s="603" t="s">
        <v>2599</v>
      </c>
      <c r="N80" s="603" t="s">
        <v>2600</v>
      </c>
      <c r="Z80" s="2712"/>
      <c r="AA80" s="2780"/>
      <c r="AG80" s="1372"/>
      <c r="AK80" s="2780"/>
    </row>
    <row r="81" spans="1:37" ht="38.25">
      <c r="A81" s="2862" t="s">
        <v>2966</v>
      </c>
      <c r="B81" s="2866" t="str">
        <f>估价对象房地状况!G15</f>
        <v>估价对象位于XX开发区，园区建设成熟度XX，产业集聚程度XX</v>
      </c>
      <c r="C81" s="2762"/>
      <c r="D81" s="1286">
        <f t="shared" ref="D81:D88" si="26">SUMIF($J$80:$N$80,C81,J81:N81)</f>
        <v>0</v>
      </c>
      <c r="E81" s="821">
        <f>ROUND(SUM(D81:D88),4)</f>
        <v>0</v>
      </c>
      <c r="F81" s="2495"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2"/>
      <c r="AA81" s="2780"/>
      <c r="AG81" s="1372"/>
      <c r="AK81" s="2780"/>
    </row>
    <row r="82" spans="1:37" ht="51">
      <c r="A82" s="2862" t="s">
        <v>2948</v>
      </c>
      <c r="B82" s="2866" t="str">
        <f>估价对象房地状况!G16</f>
        <v>估价对象周边道路状况、公共交通通达情况、停车便捷程度，综合评价交通便捷度较好</v>
      </c>
      <c r="C82" s="2762"/>
      <c r="D82" s="1286">
        <f t="shared" si="26"/>
        <v>0</v>
      </c>
      <c r="E82" s="826"/>
      <c r="F82" s="2495"/>
      <c r="G82" s="1284"/>
      <c r="H82" s="1288" t="str">
        <f t="shared" si="27"/>
        <v>——</v>
      </c>
      <c r="I82" s="820">
        <v>0.33</v>
      </c>
      <c r="J82" s="1285">
        <f t="shared" si="28"/>
        <v>0</v>
      </c>
      <c r="K82" s="1285">
        <f t="shared" si="29"/>
        <v>0</v>
      </c>
      <c r="L82" s="1285">
        <v>0</v>
      </c>
      <c r="M82" s="1285">
        <f t="shared" si="30"/>
        <v>0</v>
      </c>
      <c r="N82" s="1285">
        <f t="shared" si="30"/>
        <v>0</v>
      </c>
      <c r="Z82" s="2712"/>
      <c r="AA82" s="2780"/>
      <c r="AG82" s="1372"/>
      <c r="AK82" s="2780"/>
    </row>
    <row r="83" spans="1:37" ht="24">
      <c r="A83" s="2862" t="s">
        <v>2949</v>
      </c>
      <c r="B83" s="2866">
        <f>估价对象房地状况!G17</f>
        <v>0</v>
      </c>
      <c r="C83" s="2762"/>
      <c r="D83" s="1286">
        <f t="shared" si="26"/>
        <v>0</v>
      </c>
      <c r="E83" s="826"/>
      <c r="F83" s="2495"/>
      <c r="G83" s="1284"/>
      <c r="H83" s="1288" t="str">
        <f t="shared" si="27"/>
        <v>——</v>
      </c>
      <c r="I83" s="820">
        <v>0.05</v>
      </c>
      <c r="J83" s="1285">
        <f t="shared" si="28"/>
        <v>0</v>
      </c>
      <c r="K83" s="1285">
        <f t="shared" si="29"/>
        <v>0</v>
      </c>
      <c r="L83" s="1285">
        <v>0</v>
      </c>
      <c r="M83" s="1285">
        <f t="shared" si="30"/>
        <v>0</v>
      </c>
      <c r="N83" s="1285">
        <f t="shared" si="30"/>
        <v>0</v>
      </c>
      <c r="Z83" s="2712"/>
      <c r="AA83" s="2780"/>
      <c r="AG83" s="1372"/>
      <c r="AK83" s="2780"/>
    </row>
    <row r="84" spans="1:37" ht="14.25">
      <c r="A84" s="2862" t="s">
        <v>2963</v>
      </c>
      <c r="B84" s="2866">
        <f>估价对象房地状况!G22</f>
        <v>0</v>
      </c>
      <c r="C84" s="2762"/>
      <c r="D84" s="1286">
        <f t="shared" si="26"/>
        <v>0</v>
      </c>
      <c r="E84" s="826"/>
      <c r="F84" s="2495"/>
      <c r="G84" s="1284"/>
      <c r="H84" s="1288" t="str">
        <f t="shared" si="27"/>
        <v>——</v>
      </c>
      <c r="I84" s="820">
        <v>0.04</v>
      </c>
      <c r="J84" s="1285">
        <f t="shared" si="28"/>
        <v>0</v>
      </c>
      <c r="K84" s="1285">
        <f t="shared" si="29"/>
        <v>0</v>
      </c>
      <c r="L84" s="1285">
        <v>0</v>
      </c>
      <c r="M84" s="1285">
        <f t="shared" si="30"/>
        <v>0</v>
      </c>
      <c r="N84" s="1285">
        <f t="shared" si="30"/>
        <v>0</v>
      </c>
      <c r="Z84" s="2712"/>
      <c r="AA84" s="2780"/>
      <c r="AG84" s="1372"/>
      <c r="AK84" s="2780"/>
    </row>
    <row r="85" spans="1:37" ht="25.5">
      <c r="A85" s="2862" t="s">
        <v>2955</v>
      </c>
      <c r="B85" s="1725" t="str">
        <f>估价对象房地状况!G19</f>
        <v>估价对象所在区域公共配套设施齐备情况</v>
      </c>
      <c r="C85" s="2762"/>
      <c r="D85" s="1286">
        <f t="shared" si="26"/>
        <v>0</v>
      </c>
      <c r="E85" s="826"/>
      <c r="F85" s="2495"/>
      <c r="G85" s="1284"/>
      <c r="H85" s="1288" t="str">
        <f t="shared" si="27"/>
        <v>——</v>
      </c>
      <c r="I85" s="820">
        <v>0.06</v>
      </c>
      <c r="J85" s="1285">
        <f t="shared" si="28"/>
        <v>0</v>
      </c>
      <c r="K85" s="1285">
        <f t="shared" si="29"/>
        <v>0</v>
      </c>
      <c r="L85" s="1285">
        <v>0</v>
      </c>
      <c r="M85" s="1285">
        <f t="shared" si="30"/>
        <v>0</v>
      </c>
      <c r="N85" s="1285">
        <f t="shared" si="30"/>
        <v>0</v>
      </c>
      <c r="Z85" s="2712"/>
      <c r="AA85" s="2780"/>
      <c r="AG85" s="1372"/>
      <c r="AK85" s="2780"/>
    </row>
    <row r="86" spans="1:37" ht="25.5">
      <c r="A86" s="2862" t="s">
        <v>2956</v>
      </c>
      <c r="B86" s="1725" t="str">
        <f>估价对象房地状况!G20</f>
        <v>估价对象所在区域基础设施水平</v>
      </c>
      <c r="C86" s="2762"/>
      <c r="D86" s="1286">
        <f t="shared" si="26"/>
        <v>0</v>
      </c>
      <c r="E86" s="826"/>
      <c r="F86" s="2495"/>
      <c r="G86" s="1284"/>
      <c r="H86" s="1288" t="str">
        <f t="shared" si="27"/>
        <v>——</v>
      </c>
      <c r="I86" s="820">
        <v>0.15</v>
      </c>
      <c r="J86" s="1285">
        <f t="shared" si="28"/>
        <v>0</v>
      </c>
      <c r="K86" s="1285">
        <f t="shared" si="29"/>
        <v>0</v>
      </c>
      <c r="L86" s="1285">
        <v>0</v>
      </c>
      <c r="M86" s="1285">
        <f t="shared" si="30"/>
        <v>0</v>
      </c>
      <c r="N86" s="1285">
        <f t="shared" si="30"/>
        <v>0</v>
      </c>
      <c r="Z86" s="2712"/>
      <c r="AA86" s="2780"/>
      <c r="AG86" s="1372"/>
      <c r="AK86" s="2780"/>
    </row>
    <row r="87" spans="1:37" ht="24">
      <c r="A87" s="2862" t="s">
        <v>2953</v>
      </c>
      <c r="B87" s="2868" t="s">
        <v>2967</v>
      </c>
      <c r="C87" s="2762"/>
      <c r="D87" s="1286">
        <f t="shared" si="26"/>
        <v>0</v>
      </c>
      <c r="E87" s="826"/>
      <c r="F87" s="2495"/>
      <c r="G87" s="1284"/>
      <c r="H87" s="1288" t="str">
        <f t="shared" si="27"/>
        <v>——</v>
      </c>
      <c r="I87" s="820">
        <v>0.05</v>
      </c>
      <c r="J87" s="1285">
        <f t="shared" si="28"/>
        <v>0</v>
      </c>
      <c r="K87" s="1285">
        <f t="shared" si="29"/>
        <v>0</v>
      </c>
      <c r="L87" s="1285">
        <v>0</v>
      </c>
      <c r="M87" s="1285">
        <f t="shared" si="30"/>
        <v>0</v>
      </c>
      <c r="N87" s="1285">
        <f t="shared" si="30"/>
        <v>0</v>
      </c>
      <c r="Z87" s="2712"/>
      <c r="AA87" s="2780"/>
      <c r="AG87" s="1372"/>
      <c r="AK87" s="2780"/>
    </row>
    <row r="88" spans="1:37" ht="39" thickBot="1">
      <c r="A88" s="2870" t="s">
        <v>2968</v>
      </c>
      <c r="B88" s="2875" t="str">
        <f>估价对象房地状况!G18</f>
        <v>该园区内是否有污染型企业，绿化情况，卫生条件，整体环境状况判断</v>
      </c>
      <c r="C88" s="2762"/>
      <c r="D88" s="1286">
        <f t="shared" si="26"/>
        <v>0</v>
      </c>
      <c r="E88" s="827"/>
      <c r="F88" s="2495"/>
      <c r="G88" s="1284"/>
      <c r="H88" s="1288" t="str">
        <f t="shared" si="27"/>
        <v>——</v>
      </c>
      <c r="I88" s="824">
        <v>0.06</v>
      </c>
      <c r="J88" s="1285">
        <f t="shared" si="28"/>
        <v>0</v>
      </c>
      <c r="K88" s="1285">
        <f t="shared" si="29"/>
        <v>0</v>
      </c>
      <c r="L88" s="1285">
        <v>0</v>
      </c>
      <c r="M88" s="1285">
        <f t="shared" si="30"/>
        <v>0</v>
      </c>
      <c r="N88" s="1285">
        <f t="shared" si="30"/>
        <v>0</v>
      </c>
      <c r="Z88" s="2712"/>
      <c r="AA88" s="2780"/>
      <c r="AG88" s="1372"/>
      <c r="AK88" s="2780"/>
    </row>
    <row r="90" spans="1:37">
      <c r="A90" s="3265" t="s">
        <v>2969</v>
      </c>
      <c r="B90" s="3265"/>
      <c r="C90" s="3265"/>
      <c r="D90" s="3265"/>
      <c r="E90" s="3265"/>
      <c r="F90" s="3265"/>
      <c r="G90" s="3265"/>
      <c r="H90" s="3265"/>
      <c r="I90" s="3265"/>
      <c r="J90" s="3265"/>
      <c r="K90" s="2876"/>
      <c r="L90" s="2876"/>
      <c r="M90" s="2876"/>
      <c r="N90" s="2876"/>
    </row>
    <row r="91" spans="1:37">
      <c r="A91" s="3267" t="s">
        <v>2970</v>
      </c>
      <c r="B91" s="3267" t="s">
        <v>2971</v>
      </c>
      <c r="C91" s="2830" t="s">
        <v>2972</v>
      </c>
      <c r="D91" s="2831"/>
      <c r="E91" s="2831"/>
      <c r="F91" s="2831"/>
      <c r="G91" s="2831"/>
      <c r="H91" s="2831"/>
      <c r="I91" s="2831"/>
      <c r="J91" s="2877"/>
      <c r="K91" s="2878"/>
      <c r="L91" s="2878"/>
      <c r="M91" s="2878"/>
      <c r="N91" s="2878"/>
    </row>
    <row r="92" spans="1:37">
      <c r="A92" s="3267"/>
      <c r="B92" s="3267"/>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68" t="s">
        <v>2973</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69"/>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69"/>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69"/>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69"/>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69"/>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69"/>
      <c r="B99" s="2879" t="s">
        <v>2855</v>
      </c>
      <c r="C99" s="2881">
        <f>$I$3</f>
        <v>1</v>
      </c>
      <c r="D99" s="2881">
        <f t="shared" ref="D99:M99" si="31">$I$3</f>
        <v>1</v>
      </c>
      <c r="E99" s="2881">
        <f t="shared" si="31"/>
        <v>1</v>
      </c>
      <c r="F99" s="2881">
        <f t="shared" si="31"/>
        <v>1</v>
      </c>
      <c r="G99" s="2881">
        <f t="shared" si="31"/>
        <v>1</v>
      </c>
      <c r="H99" s="2881">
        <f t="shared" si="31"/>
        <v>1</v>
      </c>
      <c r="I99" s="2881">
        <f t="shared" si="31"/>
        <v>1</v>
      </c>
      <c r="J99" s="2881">
        <f t="shared" si="31"/>
        <v>1</v>
      </c>
      <c r="K99" s="2881">
        <f t="shared" si="31"/>
        <v>1</v>
      </c>
      <c r="L99" s="2881">
        <f t="shared" si="31"/>
        <v>1</v>
      </c>
      <c r="M99" s="2881">
        <f t="shared" si="31"/>
        <v>1</v>
      </c>
      <c r="N99" s="2881">
        <f>$I$3</f>
        <v>1</v>
      </c>
    </row>
    <row r="100" spans="1:14">
      <c r="A100" s="3270"/>
      <c r="B100" s="2879">
        <v>7</v>
      </c>
      <c r="C100" s="2882">
        <f>(-0.163*(C99^2)-0.59*C99+7617)*(10^(-4))</f>
        <v>0.76162470000000004</v>
      </c>
      <c r="D100" s="2882">
        <f>(-0.163*(D99^2)-0.59*D99+7617)*(10^(-4))</f>
        <v>0.76162470000000004</v>
      </c>
      <c r="E100" s="2882">
        <f>(-0.161*(E99^2)-7.509*E99+6533)*(10^(-4))</f>
        <v>0.65253300000000003</v>
      </c>
      <c r="F100" s="2882">
        <f>(-0.161*(F99^2)-7.509*F99+6533)*(10^(-4))</f>
        <v>0.65253300000000003</v>
      </c>
      <c r="G100" s="2882">
        <f>(-0.161*(G99^2)-7.509*G99+6533)*(10^(-4))</f>
        <v>0.65253300000000003</v>
      </c>
      <c r="H100" s="2882">
        <f>(-0.161*(H99^2)-7.509*H99+6533)*(10^(-4))</f>
        <v>0.65253300000000003</v>
      </c>
      <c r="I100" s="2882">
        <f>(-0.161*(I99^2)-7.509*I99+6533)*(10^(-4))</f>
        <v>0.65253300000000003</v>
      </c>
      <c r="J100" s="2882">
        <f>(-0.214*(J99^2)-21.991*J99+4665)*(10^(-4))</f>
        <v>0.46427950000000001</v>
      </c>
      <c r="K100" s="2882">
        <f>(-0.214*(K99^2)-21.991*K99+4665)*(10^(-4))</f>
        <v>0.46427950000000001</v>
      </c>
      <c r="L100" s="2882">
        <f>(-0.214*(L99^2)-21.991*L99+4665)*(10^(-4))</f>
        <v>0.46427950000000001</v>
      </c>
      <c r="M100" s="2882">
        <f>(-0.214*(M99^2)-21.991*M99+4665)*(10^(-4))</f>
        <v>0.46427950000000001</v>
      </c>
      <c r="N100" s="2882">
        <f>(-0.214*(N99^2)-21.991*N99+4665)*(10^(-4))</f>
        <v>0.46427950000000001</v>
      </c>
    </row>
    <row r="101" spans="1:14">
      <c r="A101" s="3268" t="s">
        <v>2974</v>
      </c>
      <c r="B101" s="2883" t="s">
        <v>2975</v>
      </c>
      <c r="C101" s="2884">
        <f>$G$3</f>
        <v>0.4</v>
      </c>
      <c r="D101" s="2884">
        <f t="shared" ref="D101:N101" si="32">$G$3</f>
        <v>0.4</v>
      </c>
      <c r="E101" s="2884">
        <f t="shared" si="32"/>
        <v>0.4</v>
      </c>
      <c r="F101" s="2884">
        <f t="shared" si="32"/>
        <v>0.4</v>
      </c>
      <c r="G101" s="2884">
        <f t="shared" si="32"/>
        <v>0.4</v>
      </c>
      <c r="H101" s="2884">
        <f t="shared" si="32"/>
        <v>0.4</v>
      </c>
      <c r="I101" s="2884">
        <f t="shared" si="32"/>
        <v>0.4</v>
      </c>
      <c r="J101" s="2884">
        <f t="shared" si="32"/>
        <v>0.4</v>
      </c>
      <c r="K101" s="2884">
        <f t="shared" si="32"/>
        <v>0.4</v>
      </c>
      <c r="L101" s="2884">
        <f t="shared" si="32"/>
        <v>0.4</v>
      </c>
      <c r="M101" s="2884">
        <f t="shared" si="32"/>
        <v>0.4</v>
      </c>
      <c r="N101" s="2884">
        <f t="shared" si="32"/>
        <v>0.4</v>
      </c>
    </row>
    <row r="102" spans="1:14">
      <c r="A102" s="3269"/>
      <c r="B102" s="2879">
        <v>1</v>
      </c>
      <c r="C102" s="2880">
        <f>1.9362/C101</f>
        <v>4.8404999999999996</v>
      </c>
      <c r="D102" s="2880">
        <f>1.9362/D101</f>
        <v>4.8404999999999996</v>
      </c>
      <c r="E102" s="2880">
        <f>1.8629/E101</f>
        <v>4.6572499999999994</v>
      </c>
      <c r="F102" s="2880">
        <f>1.8629/F101</f>
        <v>4.6572499999999994</v>
      </c>
      <c r="G102" s="2880">
        <f>1.8629/G101</f>
        <v>4.6572499999999994</v>
      </c>
      <c r="H102" s="2880">
        <f>1.8629/H101</f>
        <v>4.6572499999999994</v>
      </c>
      <c r="I102" s="2880">
        <f>1.8629/I101</f>
        <v>4.6572499999999994</v>
      </c>
      <c r="J102" s="2880">
        <f>1.942/J101</f>
        <v>4.8549999999999995</v>
      </c>
      <c r="K102" s="2880">
        <f>1.942/K101</f>
        <v>4.8549999999999995</v>
      </c>
      <c r="L102" s="2880">
        <f>1.942/L101</f>
        <v>4.8549999999999995</v>
      </c>
      <c r="M102" s="2880">
        <f>1.942/M101</f>
        <v>4.8549999999999995</v>
      </c>
      <c r="N102" s="2880">
        <f>1.942/N101</f>
        <v>4.8549999999999995</v>
      </c>
    </row>
    <row r="103" spans="1:14">
      <c r="A103" s="3269"/>
      <c r="B103" s="2879">
        <v>2</v>
      </c>
      <c r="C103" s="2880">
        <f>1.4198/C101</f>
        <v>3.5494999999999997</v>
      </c>
      <c r="D103" s="2880">
        <f>1.4198/D101</f>
        <v>3.5494999999999997</v>
      </c>
      <c r="E103" s="2880">
        <f>1.3372/E101</f>
        <v>3.3429999999999995</v>
      </c>
      <c r="F103" s="2880">
        <f>1.3372/F101</f>
        <v>3.3429999999999995</v>
      </c>
      <c r="G103" s="2880">
        <f>1.3372/G101</f>
        <v>3.3429999999999995</v>
      </c>
      <c r="H103" s="2880">
        <f>1.3372/H101</f>
        <v>3.3429999999999995</v>
      </c>
      <c r="I103" s="2880">
        <f>1.3372/I101</f>
        <v>3.3429999999999995</v>
      </c>
      <c r="J103" s="2880">
        <f>1.2799/J101</f>
        <v>3.1997499999999999</v>
      </c>
      <c r="K103" s="2880">
        <f>1.2799/K101</f>
        <v>3.1997499999999999</v>
      </c>
      <c r="L103" s="2880">
        <f>1.2799/L101</f>
        <v>3.1997499999999999</v>
      </c>
      <c r="M103" s="2880">
        <f>1.2799/M101</f>
        <v>3.1997499999999999</v>
      </c>
      <c r="N103" s="2880">
        <f>1.2799/N101</f>
        <v>3.1997499999999999</v>
      </c>
    </row>
    <row r="104" spans="1:14">
      <c r="A104" s="3269"/>
      <c r="B104" s="2879">
        <v>3</v>
      </c>
      <c r="C104" s="2880">
        <f>1.1594/C101</f>
        <v>2.8984999999999999</v>
      </c>
      <c r="D104" s="2880">
        <f>1.1594/D101</f>
        <v>2.8984999999999999</v>
      </c>
      <c r="E104" s="2880">
        <f>1.0788/E101</f>
        <v>2.6969999999999996</v>
      </c>
      <c r="F104" s="2880">
        <f>1.0788/F101</f>
        <v>2.6969999999999996</v>
      </c>
      <c r="G104" s="2880">
        <f>1.0788/G101</f>
        <v>2.6969999999999996</v>
      </c>
      <c r="H104" s="2880">
        <f>1.0788/H101</f>
        <v>2.6969999999999996</v>
      </c>
      <c r="I104" s="2880">
        <f>1.0788/I101</f>
        <v>2.6969999999999996</v>
      </c>
      <c r="J104" s="2880">
        <f>1.0072/J101</f>
        <v>2.5180000000000002</v>
      </c>
      <c r="K104" s="2880">
        <f>1.0072/K101</f>
        <v>2.5180000000000002</v>
      </c>
      <c r="L104" s="2880">
        <f>1.0072/L101</f>
        <v>2.5180000000000002</v>
      </c>
      <c r="M104" s="2880">
        <f>1.0072/M101</f>
        <v>2.5180000000000002</v>
      </c>
      <c r="N104" s="2880">
        <f>1.0072/N101</f>
        <v>2.5180000000000002</v>
      </c>
    </row>
    <row r="105" spans="1:14">
      <c r="A105" s="3269"/>
      <c r="B105" s="2879">
        <v>4</v>
      </c>
      <c r="C105" s="2880">
        <f>0.9622/C101</f>
        <v>2.4055</v>
      </c>
      <c r="D105" s="2880">
        <f>0.9622/D101</f>
        <v>2.4055</v>
      </c>
      <c r="E105" s="2880">
        <f>0.8656/E101</f>
        <v>2.1640000000000001</v>
      </c>
      <c r="F105" s="2880">
        <f>0.8656/F101</f>
        <v>2.1640000000000001</v>
      </c>
      <c r="G105" s="2880">
        <f>0.8656/G101</f>
        <v>2.1640000000000001</v>
      </c>
      <c r="H105" s="2880">
        <f>0.8656/H101</f>
        <v>2.1640000000000001</v>
      </c>
      <c r="I105" s="2880">
        <f>0.8656/I101</f>
        <v>2.1640000000000001</v>
      </c>
      <c r="J105" s="2880">
        <f>0.7525/J101</f>
        <v>1.8812499999999999</v>
      </c>
      <c r="K105" s="2880">
        <f>0.7525/K101</f>
        <v>1.8812499999999999</v>
      </c>
      <c r="L105" s="2880">
        <f>0.7525/L101</f>
        <v>1.8812499999999999</v>
      </c>
      <c r="M105" s="2880">
        <f>0.7525/M101</f>
        <v>1.8812499999999999</v>
      </c>
      <c r="N105" s="2880">
        <f>0.7525/N101</f>
        <v>1.8812499999999999</v>
      </c>
    </row>
    <row r="106" spans="1:14">
      <c r="A106" s="3269"/>
      <c r="B106" s="2879">
        <v>5</v>
      </c>
      <c r="C106" s="2880">
        <f>0.8417/C101</f>
        <v>2.10425</v>
      </c>
      <c r="D106" s="2880">
        <f>0.8417/D101</f>
        <v>2.10425</v>
      </c>
      <c r="E106" s="2880">
        <f>0.7371/E101</f>
        <v>1.8427499999999999</v>
      </c>
      <c r="F106" s="2880">
        <f>0.7371/F101</f>
        <v>1.8427499999999999</v>
      </c>
      <c r="G106" s="2880">
        <f>0.7371/G101</f>
        <v>1.8427499999999999</v>
      </c>
      <c r="H106" s="2880">
        <f>0.7371/H101</f>
        <v>1.8427499999999999</v>
      </c>
      <c r="I106" s="2880">
        <f>0.7371/I101</f>
        <v>1.8427499999999999</v>
      </c>
      <c r="J106" s="2880">
        <f>0.5659/J101</f>
        <v>1.4147499999999997</v>
      </c>
      <c r="K106" s="2880">
        <f>0.5659/K101</f>
        <v>1.4147499999999997</v>
      </c>
      <c r="L106" s="2880">
        <f>0.5659/L101</f>
        <v>1.4147499999999997</v>
      </c>
      <c r="M106" s="2880">
        <f>0.5659/M101</f>
        <v>1.4147499999999997</v>
      </c>
      <c r="N106" s="2880">
        <f>0.5659/N101</f>
        <v>1.4147499999999997</v>
      </c>
    </row>
    <row r="107" spans="1:14">
      <c r="A107" s="3269"/>
      <c r="B107" s="2879">
        <v>6</v>
      </c>
      <c r="C107" s="2880">
        <f>0.7608/C101</f>
        <v>1.9019999999999999</v>
      </c>
      <c r="D107" s="2880">
        <f>0.7608/D101</f>
        <v>1.9019999999999999</v>
      </c>
      <c r="E107" s="2880">
        <f>0.6482/E101</f>
        <v>1.6204999999999998</v>
      </c>
      <c r="F107" s="2880">
        <f>0.6482/F101</f>
        <v>1.6204999999999998</v>
      </c>
      <c r="G107" s="2880">
        <f>0.6482/G101</f>
        <v>1.6204999999999998</v>
      </c>
      <c r="H107" s="2880">
        <f>0.6482/H101</f>
        <v>1.6204999999999998</v>
      </c>
      <c r="I107" s="2880">
        <f>0.6482/I101</f>
        <v>1.6204999999999998</v>
      </c>
      <c r="J107" s="2880">
        <f>0.4525/J101</f>
        <v>1.1312499999999999</v>
      </c>
      <c r="K107" s="2880">
        <f>0.4525/K101</f>
        <v>1.1312499999999999</v>
      </c>
      <c r="L107" s="2880">
        <f>0.4525/L101</f>
        <v>1.1312499999999999</v>
      </c>
      <c r="M107" s="2880">
        <f>0.4525/M101</f>
        <v>1.1312499999999999</v>
      </c>
      <c r="N107" s="2880">
        <f>0.4525/N101</f>
        <v>1.1312499999999999</v>
      </c>
    </row>
    <row r="108" spans="1:14">
      <c r="A108" s="3269"/>
      <c r="B108" s="3124" t="s">
        <v>2976</v>
      </c>
      <c r="C108" s="2881">
        <f>C99</f>
        <v>1</v>
      </c>
      <c r="D108" s="2881">
        <f t="shared" ref="D108:N108" si="33">D99</f>
        <v>1</v>
      </c>
      <c r="E108" s="2881">
        <f t="shared" si="33"/>
        <v>1</v>
      </c>
      <c r="F108" s="2881">
        <f t="shared" si="33"/>
        <v>1</v>
      </c>
      <c r="G108" s="2881">
        <f t="shared" si="33"/>
        <v>1</v>
      </c>
      <c r="H108" s="2881">
        <f t="shared" si="33"/>
        <v>1</v>
      </c>
      <c r="I108" s="2881">
        <f t="shared" si="33"/>
        <v>1</v>
      </c>
      <c r="J108" s="2881">
        <f t="shared" si="33"/>
        <v>1</v>
      </c>
      <c r="K108" s="2881">
        <f t="shared" si="33"/>
        <v>1</v>
      </c>
      <c r="L108" s="2881">
        <f t="shared" si="33"/>
        <v>1</v>
      </c>
      <c r="M108" s="2881">
        <f t="shared" si="33"/>
        <v>1</v>
      </c>
      <c r="N108" s="2881">
        <f t="shared" si="33"/>
        <v>1</v>
      </c>
    </row>
    <row r="109" spans="1:14">
      <c r="A109" s="3270"/>
      <c r="B109" s="3125"/>
      <c r="C109" s="2882">
        <f>(-0.163*(C108^2)-0.59*C108+7617)*(10^(-4))/C101</f>
        <v>1.9040617500000001</v>
      </c>
      <c r="D109" s="2882">
        <f>(-0.163*(D108^2)-0.59*D108+7617)*(10^(-4))/D101</f>
        <v>1.9040617500000001</v>
      </c>
      <c r="E109" s="2882">
        <f>(-0.161*(E108^2)-7.509*E108+6533)*(10^(-4))/E101</f>
        <v>1.6313325000000001</v>
      </c>
      <c r="F109" s="2882">
        <f>(-0.161*(F108^2)-7.509*F108+6533)*(10^(-4))/F101</f>
        <v>1.6313325000000001</v>
      </c>
      <c r="G109" s="2882">
        <f>(-0.161*(G108^2)-7.509*G108+6533)*(10^(-4))/G101</f>
        <v>1.6313325000000001</v>
      </c>
      <c r="H109" s="2882">
        <f>(-0.161*(H108^2)-7.509*H108+6533)*(10^(-4))/H101</f>
        <v>1.6313325000000001</v>
      </c>
      <c r="I109" s="2882">
        <f>(-0.161*(I108^2)-7.509*I108+6533)*(10^(-4))/I101</f>
        <v>1.6313325000000001</v>
      </c>
      <c r="J109" s="2882">
        <f>(-0.214*(J108^2)-21.991*J108+4665)*(10^(-4))/J101</f>
        <v>1.1606987499999999</v>
      </c>
      <c r="K109" s="2882">
        <f>(-0.214*(K108^2)-21.991*K108+4665)*(10^(-4))/K101</f>
        <v>1.1606987499999999</v>
      </c>
      <c r="L109" s="2882">
        <f>(-0.214*(L108^2)-21.991*L108+4665)*(10^(-4))/L101</f>
        <v>1.1606987499999999</v>
      </c>
      <c r="M109" s="2882">
        <f>(-0.214*(M108^2)-21.991*M108+4665)*(10^(-4))/M101</f>
        <v>1.1606987499999999</v>
      </c>
      <c r="N109" s="2882">
        <f>(-0.214*(N108^2)-21.991*N108+4665)*(10^(-4))/N101</f>
        <v>1.1606987499999999</v>
      </c>
    </row>
    <row r="110" spans="1:14">
      <c r="A110" s="3266" t="s">
        <v>2977</v>
      </c>
      <c r="B110" s="3266"/>
      <c r="C110" s="3266"/>
      <c r="D110" s="3266"/>
      <c r="E110" s="3266"/>
      <c r="F110" s="3266"/>
      <c r="G110" s="3266"/>
      <c r="H110" s="3266"/>
      <c r="I110" s="3266"/>
      <c r="J110" s="3266"/>
      <c r="K110" s="2885"/>
      <c r="L110" s="2885"/>
      <c r="M110" s="2885"/>
      <c r="N110" s="2885"/>
    </row>
    <row r="112" spans="1:14" ht="13.5" thickBot="1"/>
    <row r="113" spans="1:13" ht="25.5" thickBot="1">
      <c r="A113" s="903" t="s">
        <v>2978</v>
      </c>
      <c r="B113" s="1287">
        <f>G3</f>
        <v>0.4</v>
      </c>
      <c r="C113" s="904" t="s">
        <v>2979</v>
      </c>
      <c r="D113" s="905">
        <f>SUMPRODUCT((A115:A118=F113)*(B114:M114=H113)*B115:M118)</f>
        <v>0.87160000000000004</v>
      </c>
      <c r="E113" s="2716" t="s">
        <v>2813</v>
      </c>
      <c r="F113" s="2887" t="str">
        <f>E2</f>
        <v>住宅</v>
      </c>
      <c r="G113" s="2716" t="s">
        <v>2814</v>
      </c>
      <c r="H113" s="2887" t="str">
        <f>G2</f>
        <v>六级</v>
      </c>
      <c r="I113" s="2716"/>
      <c r="J113" s="2888"/>
      <c r="K113" s="2888"/>
      <c r="L113" s="2888"/>
      <c r="M113" s="2888"/>
    </row>
    <row r="114" spans="1:13">
      <c r="A114" s="908"/>
      <c r="B114" s="2889" t="s">
        <v>2980</v>
      </c>
      <c r="C114" s="2889" t="s">
        <v>2981</v>
      </c>
      <c r="D114" s="2889" t="s">
        <v>2982</v>
      </c>
      <c r="E114" s="2890" t="s">
        <v>2983</v>
      </c>
      <c r="F114" s="2890" t="s">
        <v>2984</v>
      </c>
      <c r="G114" s="2890" t="s">
        <v>2985</v>
      </c>
      <c r="H114" s="2891" t="s">
        <v>2986</v>
      </c>
      <c r="I114" s="2891" t="s">
        <v>2987</v>
      </c>
      <c r="J114" s="2892" t="s">
        <v>2988</v>
      </c>
      <c r="K114" s="2892" t="s">
        <v>2989</v>
      </c>
      <c r="L114" s="2892" t="s">
        <v>2990</v>
      </c>
      <c r="M114" s="2893" t="s">
        <v>2991</v>
      </c>
    </row>
    <row r="115" spans="1:13">
      <c r="A115" s="909" t="s">
        <v>2877</v>
      </c>
      <c r="B115" s="910">
        <f>ROUND(0.9335-0.0094*B113,4)</f>
        <v>0.92969999999999997</v>
      </c>
      <c r="C115" s="910">
        <f>B115</f>
        <v>0.92969999999999997</v>
      </c>
      <c r="D115" s="910">
        <f>ROUND(0.8331-0.0109*B113,4)</f>
        <v>0.82869999999999999</v>
      </c>
      <c r="E115" s="910">
        <f>D115</f>
        <v>0.82869999999999999</v>
      </c>
      <c r="F115" s="910">
        <f>E115</f>
        <v>0.82869999999999999</v>
      </c>
      <c r="G115" s="910">
        <f>F115</f>
        <v>0.82869999999999999</v>
      </c>
      <c r="H115" s="910">
        <f>G115</f>
        <v>0.82869999999999999</v>
      </c>
      <c r="I115" s="910">
        <f>ROUND(0.689-0.0155*B113,4)</f>
        <v>0.68279999999999996</v>
      </c>
      <c r="J115" s="910">
        <f t="shared" ref="J115:M118" si="34">I115</f>
        <v>0.68279999999999996</v>
      </c>
      <c r="K115" s="910">
        <f t="shared" si="34"/>
        <v>0.68279999999999996</v>
      </c>
      <c r="L115" s="910">
        <f t="shared" si="34"/>
        <v>0.68279999999999996</v>
      </c>
      <c r="M115" s="911">
        <f t="shared" si="34"/>
        <v>0.68279999999999996</v>
      </c>
    </row>
    <row r="116" spans="1:13">
      <c r="A116" s="909" t="s">
        <v>2878</v>
      </c>
      <c r="B116" s="910">
        <f>ROUND(0.949-0.012*B113,4)</f>
        <v>0.94420000000000004</v>
      </c>
      <c r="C116" s="910">
        <f>B116</f>
        <v>0.94420000000000004</v>
      </c>
      <c r="D116" s="910">
        <f>ROUND(0.8567-0.013*B113,4)</f>
        <v>0.85150000000000003</v>
      </c>
      <c r="E116" s="910">
        <f t="shared" ref="E116:H117" si="35">D116</f>
        <v>0.85150000000000003</v>
      </c>
      <c r="F116" s="910">
        <f t="shared" si="35"/>
        <v>0.85150000000000003</v>
      </c>
      <c r="G116" s="910">
        <f t="shared" si="35"/>
        <v>0.85150000000000003</v>
      </c>
      <c r="H116" s="910">
        <f t="shared" si="35"/>
        <v>0.85150000000000003</v>
      </c>
      <c r="I116" s="910">
        <f>ROUND(0.7694-0.014*B113,4)</f>
        <v>0.76380000000000003</v>
      </c>
      <c r="J116" s="910">
        <f t="shared" si="34"/>
        <v>0.76380000000000003</v>
      </c>
      <c r="K116" s="910">
        <f t="shared" si="34"/>
        <v>0.76380000000000003</v>
      </c>
      <c r="L116" s="910">
        <f t="shared" si="34"/>
        <v>0.76380000000000003</v>
      </c>
      <c r="M116" s="911">
        <f t="shared" si="34"/>
        <v>0.76380000000000003</v>
      </c>
    </row>
    <row r="117" spans="1:13">
      <c r="A117" s="909" t="s">
        <v>2879</v>
      </c>
      <c r="B117" s="910">
        <f>ROUND(0.8808-0.006*B113,4)</f>
        <v>0.87839999999999996</v>
      </c>
      <c r="C117" s="910">
        <f>B117</f>
        <v>0.87839999999999996</v>
      </c>
      <c r="D117" s="910">
        <f>ROUND(0.8748-0.008*B113,4)</f>
        <v>0.87160000000000004</v>
      </c>
      <c r="E117" s="910">
        <f t="shared" si="35"/>
        <v>0.87160000000000004</v>
      </c>
      <c r="F117" s="910">
        <f t="shared" si="35"/>
        <v>0.87160000000000004</v>
      </c>
      <c r="G117" s="910">
        <f t="shared" si="35"/>
        <v>0.87160000000000004</v>
      </c>
      <c r="H117" s="910">
        <f t="shared" si="35"/>
        <v>0.87160000000000004</v>
      </c>
      <c r="I117" s="910">
        <f>ROUND(0.7412-0.0095*B113,4)</f>
        <v>0.73740000000000006</v>
      </c>
      <c r="J117" s="910">
        <f t="shared" si="34"/>
        <v>0.73740000000000006</v>
      </c>
      <c r="K117" s="910">
        <f t="shared" si="34"/>
        <v>0.73740000000000006</v>
      </c>
      <c r="L117" s="910">
        <f t="shared" si="34"/>
        <v>0.73740000000000006</v>
      </c>
      <c r="M117" s="911">
        <f t="shared" si="34"/>
        <v>0.73740000000000006</v>
      </c>
    </row>
    <row r="118" spans="1:13" ht="13.5" thickBot="1">
      <c r="A118" s="714" t="s">
        <v>2880</v>
      </c>
      <c r="B118" s="912">
        <f>ROUND(0.7275-0.01*B113,4)</f>
        <v>0.72350000000000003</v>
      </c>
      <c r="C118" s="912">
        <f>B118</f>
        <v>0.72350000000000003</v>
      </c>
      <c r="D118" s="912">
        <f>ROUND(0.7043-0.012*B113,4)</f>
        <v>0.69950000000000001</v>
      </c>
      <c r="E118" s="912">
        <f>D118</f>
        <v>0.69950000000000001</v>
      </c>
      <c r="F118" s="912">
        <f>E118</f>
        <v>0.69950000000000001</v>
      </c>
      <c r="G118" s="912">
        <f>ROUND(0.6299-0.0122*B113,4)</f>
        <v>0.625</v>
      </c>
      <c r="H118" s="912">
        <f>G118</f>
        <v>0.625</v>
      </c>
      <c r="I118" s="912">
        <f>ROUND(0.5667-0.0136*B113,4)</f>
        <v>0.56130000000000002</v>
      </c>
      <c r="J118" s="912">
        <f t="shared" si="34"/>
        <v>0.56130000000000002</v>
      </c>
      <c r="K118" s="912">
        <f t="shared" si="34"/>
        <v>0.56130000000000002</v>
      </c>
      <c r="L118" s="912">
        <f t="shared" si="34"/>
        <v>0.56130000000000002</v>
      </c>
      <c r="M118" s="913">
        <f t="shared" si="34"/>
        <v>0.56130000000000002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3.1968000000000001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3000</v>
      </c>
    </row>
    <row r="2" spans="1:5" ht="15.75">
      <c r="A2" s="2894" t="s">
        <v>2992</v>
      </c>
      <c r="B2" s="2895">
        <f ca="1">SUMIF(B6:B13,"&lt;&gt;#ref!",B6:B13)</f>
        <v>2014</v>
      </c>
      <c r="C2" s="2894" t="s">
        <v>2993</v>
      </c>
      <c r="D2" s="2894" t="s">
        <v>2994</v>
      </c>
      <c r="E2" s="2895">
        <f ca="1">SUMIF(E6:E13,"&lt;&gt;#ref!",E6:E13)</f>
        <v>232.53</v>
      </c>
    </row>
    <row r="3" spans="1:5" ht="15.75">
      <c r="A3" s="2894" t="s">
        <v>2995</v>
      </c>
      <c r="B3" s="2895">
        <f ca="1">ROUND(B2*10000/E2,0)</f>
        <v>86612</v>
      </c>
      <c r="C3" s="2894" t="s">
        <v>3001</v>
      </c>
      <c r="D3" s="2896"/>
      <c r="E3" s="2896"/>
    </row>
    <row r="4" spans="1:5" ht="15.75">
      <c r="A4" s="2897"/>
      <c r="B4" s="2896"/>
      <c r="C4" s="2896"/>
      <c r="D4" s="2896"/>
      <c r="E4" s="2896"/>
    </row>
    <row r="5" spans="1:5" ht="28.5">
      <c r="A5" s="2898" t="s">
        <v>2996</v>
      </c>
      <c r="B5" s="2894" t="s">
        <v>2997</v>
      </c>
      <c r="C5" s="2895"/>
      <c r="D5" s="2896"/>
      <c r="E5" s="2894" t="s">
        <v>2998</v>
      </c>
    </row>
    <row r="6" spans="1:5" ht="15.75">
      <c r="A6" s="2899" t="s">
        <v>2999</v>
      </c>
      <c r="B6" s="2895">
        <f ca="1">SUMIF(INDIRECT("'"&amp;A6&amp;"'"&amp;"!A:A"),"总价",INDIRECT("'"&amp;A6&amp;"'"&amp;"!B:B"))</f>
        <v>2014</v>
      </c>
      <c r="C6" s="2894" t="s">
        <v>2993</v>
      </c>
      <c r="D6" s="2896"/>
      <c r="E6" s="2569">
        <f ca="1">SUMIF(INDIRECT("'"&amp;A6&amp;"'"&amp;"!C:C"),"建筑面积",INDIRECT("'"&amp;A6&amp;"'"&amp;"!D:D"))</f>
        <v>232.53</v>
      </c>
    </row>
    <row r="7" spans="1:5" ht="15.75">
      <c r="A7" s="2899"/>
      <c r="B7" s="2895" t="e">
        <f ca="1">SUMIF(INDIRECT("'"&amp;A7&amp;"'"&amp;"!A:A"),"总价",INDIRECT("'"&amp;A7&amp;"'"&amp;"!B:B"))</f>
        <v>#REF!</v>
      </c>
      <c r="C7" s="2894" t="s">
        <v>2993</v>
      </c>
      <c r="D7" s="2896"/>
      <c r="E7" s="2569" t="e">
        <f t="shared" ref="E7:E13" ca="1" si="0">SUMIF(INDIRECT("'"&amp;A7&amp;"'"&amp;"!C:C"),"建筑面积",INDIRECT("'"&amp;A7&amp;"'"&amp;"!D:D"))</f>
        <v>#REF!</v>
      </c>
    </row>
    <row r="8" spans="1:5" ht="15.75">
      <c r="A8" s="2899"/>
      <c r="B8" s="2895" t="e">
        <f t="shared" ref="B8:B13" ca="1" si="1">SUMIF(INDIRECT("'"&amp;A8&amp;"'"&amp;"!A:A"),"总价",INDIRECT("'"&amp;A8&amp;"'"&amp;"!B:B"))</f>
        <v>#REF!</v>
      </c>
      <c r="C8" s="2894" t="s">
        <v>2993</v>
      </c>
      <c r="D8" s="2896"/>
      <c r="E8" s="2569" t="e">
        <f t="shared" ca="1" si="0"/>
        <v>#REF!</v>
      </c>
    </row>
    <row r="9" spans="1:5" ht="15.75">
      <c r="A9" s="2899"/>
      <c r="B9" s="2895" t="e">
        <f t="shared" ca="1" si="1"/>
        <v>#REF!</v>
      </c>
      <c r="C9" s="2894" t="s">
        <v>2993</v>
      </c>
      <c r="D9" s="2896"/>
      <c r="E9" s="2569" t="e">
        <f t="shared" ca="1" si="0"/>
        <v>#REF!</v>
      </c>
    </row>
    <row r="10" spans="1:5" ht="15.75">
      <c r="A10" s="2899"/>
      <c r="B10" s="2895" t="e">
        <f t="shared" ca="1" si="1"/>
        <v>#REF!</v>
      </c>
      <c r="C10" s="2894" t="s">
        <v>2993</v>
      </c>
      <c r="D10" s="2896"/>
      <c r="E10" s="2569" t="e">
        <f t="shared" ca="1" si="0"/>
        <v>#REF!</v>
      </c>
    </row>
    <row r="11" spans="1:5" ht="15.75">
      <c r="A11" s="2899"/>
      <c r="B11" s="2895" t="e">
        <f t="shared" ca="1" si="1"/>
        <v>#REF!</v>
      </c>
      <c r="C11" s="2894" t="s">
        <v>2993</v>
      </c>
      <c r="D11" s="2896"/>
      <c r="E11" s="2569" t="e">
        <f t="shared" ca="1" si="0"/>
        <v>#REF!</v>
      </c>
    </row>
    <row r="12" spans="1:5" ht="15.75">
      <c r="A12" s="2899"/>
      <c r="B12" s="2895" t="e">
        <f t="shared" ca="1" si="1"/>
        <v>#REF!</v>
      </c>
      <c r="C12" s="2894" t="s">
        <v>2993</v>
      </c>
      <c r="D12" s="2896"/>
      <c r="E12" s="2569" t="e">
        <f t="shared" ca="1" si="0"/>
        <v>#REF!</v>
      </c>
    </row>
    <row r="13" spans="1:5" ht="15.75">
      <c r="A13" s="2899"/>
      <c r="B13" s="2895" t="e">
        <f t="shared" ca="1" si="1"/>
        <v>#REF!</v>
      </c>
      <c r="C13" s="2894" t="s">
        <v>2993</v>
      </c>
      <c r="D13" s="289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2" t="s">
        <v>1145</v>
      </c>
      <c r="C1" s="3282"/>
      <c r="D1" s="3282"/>
      <c r="E1" s="3282"/>
      <c r="F1" s="3282"/>
      <c r="G1" s="3281" t="s">
        <v>1146</v>
      </c>
      <c r="H1" s="3281"/>
      <c r="I1" s="3281"/>
      <c r="J1" s="3281"/>
      <c r="K1" s="3281"/>
      <c r="L1" s="3281"/>
      <c r="N1" s="3281" t="s">
        <v>1147</v>
      </c>
      <c r="O1" s="3281"/>
      <c r="P1" s="3281"/>
      <c r="Q1" s="3281"/>
      <c r="R1" s="1446"/>
      <c r="S1" s="3281" t="s">
        <v>1148</v>
      </c>
      <c r="T1" s="3281"/>
      <c r="U1" s="3281"/>
      <c r="V1" s="3281"/>
      <c r="X1" s="3280" t="s">
        <v>1149</v>
      </c>
      <c r="Y1" s="3281"/>
      <c r="Z1" s="3281"/>
      <c r="AA1" s="3281"/>
      <c r="AB1" s="3281"/>
      <c r="AD1" s="3280" t="s">
        <v>1150</v>
      </c>
      <c r="AE1" s="3281"/>
      <c r="AF1" s="3281"/>
      <c r="AG1" s="3281"/>
      <c r="AH1" s="3281"/>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0" customFormat="1" ht="14.25">
      <c r="A3" s="2919" t="s">
        <v>3035</v>
      </c>
      <c r="B3" s="2911"/>
      <c r="C3" s="2911"/>
      <c r="D3" s="2912"/>
      <c r="E3" s="2912"/>
      <c r="F3" s="2911"/>
      <c r="G3" s="2913"/>
      <c r="H3" s="2914"/>
      <c r="I3" s="2915">
        <f>ROUND(AVERAGE($I4:$I31),2)</f>
        <v>1.78</v>
      </c>
      <c r="J3" s="2915">
        <f>ROUND(AVERAGE($J4:$J31),2)</f>
        <v>1.23</v>
      </c>
      <c r="K3" s="2915">
        <f>ROUND(AVERAGE($K4:$K31),2)</f>
        <v>1.95</v>
      </c>
      <c r="L3" s="2915">
        <f>ROUND(AVERAGE($L4:$L31),2)</f>
        <v>1.26</v>
      </c>
      <c r="N3" s="2913"/>
      <c r="O3" s="2916"/>
      <c r="P3" s="2916"/>
      <c r="Q3" s="2916"/>
      <c r="R3" s="2916"/>
      <c r="S3" s="2913"/>
      <c r="T3" s="2916"/>
      <c r="U3" s="2916"/>
      <c r="V3" s="2916"/>
      <c r="W3" s="2908"/>
      <c r="X3" s="2917">
        <f>ROUND(SUMPRODUCT(PRODUCT(1+N3:N$30)),4)</f>
        <v>1.5605</v>
      </c>
      <c r="Y3" s="2917">
        <f>ROUND(SUMPRODUCT(PRODUCT(1+O3:O$30)),4)</f>
        <v>1.3577999999999999</v>
      </c>
      <c r="Z3" s="2917">
        <f t="shared" ref="Z3:Z28" si="0">Y3</f>
        <v>1.3577999999999999</v>
      </c>
      <c r="AA3" s="2917">
        <f>ROUND(SUMPRODUCT(PRODUCT(1+P3:P$30)),4)</f>
        <v>1.6254999999999999</v>
      </c>
      <c r="AB3" s="2917">
        <f>ROUND(SUMPRODUCT(PRODUCT(1+Q3:Q$30)),4)</f>
        <v>1.3815999999999999</v>
      </c>
      <c r="AD3" s="2918">
        <f>ROUND(AVERAGE(I3:I$31)/100,4)</f>
        <v>1.78E-2</v>
      </c>
      <c r="AE3" s="2918">
        <f>ROUND(AVERAGE(J3:J$31)/100,4)</f>
        <v>1.23E-2</v>
      </c>
      <c r="AF3" s="2918">
        <f t="shared" ref="AF3:AF29" si="1">AE3</f>
        <v>1.23E-2</v>
      </c>
      <c r="AG3" s="2918">
        <f>ROUND(AVERAGE(K3:K$31)/100,4)</f>
        <v>1.95E-2</v>
      </c>
      <c r="AH3" s="2918">
        <f>ROUND(AVERAGE(L3:L$31)/100,4)</f>
        <v>1.26E-2</v>
      </c>
    </row>
    <row r="4" spans="1:34" s="1453" customFormat="1" ht="14.25">
      <c r="B4" s="1454"/>
      <c r="C4" s="1454"/>
      <c r="D4" s="1455"/>
      <c r="E4" s="1455"/>
      <c r="F4" s="1454"/>
      <c r="G4" s="1456"/>
      <c r="H4" s="1457"/>
      <c r="I4" s="2905"/>
      <c r="J4" s="2905"/>
      <c r="K4" s="2905"/>
      <c r="L4" s="290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3059</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58">
        <v>2020</v>
      </c>
      <c r="H5" s="1730">
        <v>3</v>
      </c>
      <c r="I5" s="2906">
        <v>0</v>
      </c>
      <c r="J5" s="2906">
        <v>0</v>
      </c>
      <c r="K5" s="2906">
        <v>0</v>
      </c>
      <c r="L5" s="2906">
        <v>0</v>
      </c>
      <c r="N5" s="1467">
        <f t="shared" ref="N5" si="7">I5/100</f>
        <v>0</v>
      </c>
      <c r="O5" s="1467">
        <f t="shared" ref="O5" si="8">J5/100</f>
        <v>0</v>
      </c>
      <c r="P5" s="1467">
        <f t="shared" ref="P5" si="9">K5/100</f>
        <v>0</v>
      </c>
      <c r="Q5" s="1467">
        <f t="shared" ref="Q5" si="10">L5/100</f>
        <v>0</v>
      </c>
      <c r="R5" s="1732"/>
      <c r="S5" s="1733"/>
      <c r="T5" s="1732"/>
      <c r="U5" s="1732"/>
      <c r="V5" s="1732"/>
      <c r="W5" s="2909" t="s">
        <v>3036</v>
      </c>
      <c r="X5" s="1726">
        <f>ROUND(IF(项目基本情况!B7="出让",SUMPRODUCT(PRODUCT(1+N5:N$31)),SUMPRODUCT(PRODUCT(1+N5:N$30))),4)</f>
        <v>1.5605</v>
      </c>
      <c r="Y5" s="1726">
        <f>ROUND(IF(项目基本情况!B7="出让",SUMPRODUCT(PRODUCT(1+O5:O$31)),SUMPRODUCT(PRODUCT(1+O5:O$30))),4)</f>
        <v>1.3577999999999999</v>
      </c>
      <c r="Z5" s="1726">
        <f t="shared" ref="Z5" si="11">Y5</f>
        <v>1.3577999999999999</v>
      </c>
      <c r="AA5" s="1726">
        <f>ROUND(IF(项目基本情况!B7="出让",SUMPRODUCT(PRODUCT(1+P5:P$31)),SUMPRODUCT(PRODUCT(1+P5:P$30))),4)</f>
        <v>1.6254999999999999</v>
      </c>
      <c r="AB5" s="1726">
        <f>ROUND(IF(项目基本情况!B7="出让",SUMPRODUCT(PRODUCT(1+Q5:Q$31)),SUMPRODUCT(PRODUCT(1+Q5:Q$30))),4)</f>
        <v>1.3815999999999999</v>
      </c>
      <c r="AD5" s="1468">
        <f>ROUND(AVERAGE(I5:I$31)/100,4)</f>
        <v>1.78E-2</v>
      </c>
      <c r="AE5" s="1468">
        <f>ROUND(AVERAGE(J5:J$31)/100,4)</f>
        <v>1.23E-2</v>
      </c>
      <c r="AF5" s="1468">
        <f t="shared" ref="AF5" si="12">AE5</f>
        <v>1.23E-2</v>
      </c>
      <c r="AG5" s="1468">
        <f>ROUND(AVERAGE(K5:K$31)/100,4)</f>
        <v>1.95E-2</v>
      </c>
      <c r="AH5" s="1468">
        <f>ROUND(AVERAGE(L5:L$31)/100,4)</f>
        <v>1.26E-2</v>
      </c>
    </row>
    <row r="6" spans="1:34" s="1466" customFormat="1">
      <c r="A6" s="1461" t="s">
        <v>3058</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8">
        <v>2020</v>
      </c>
      <c r="H6" s="1464">
        <v>2</v>
      </c>
      <c r="I6" s="2946">
        <v>0</v>
      </c>
      <c r="J6" s="2946">
        <v>0</v>
      </c>
      <c r="K6" s="2946">
        <v>0</v>
      </c>
      <c r="L6" s="2947">
        <v>0</v>
      </c>
      <c r="M6" s="1471"/>
      <c r="N6" s="1472">
        <f t="shared" ref="N6" si="18">I6/100</f>
        <v>0</v>
      </c>
      <c r="O6" s="1473">
        <f t="shared" ref="O6" si="19">J6/100</f>
        <v>0</v>
      </c>
      <c r="P6" s="1473">
        <f t="shared" ref="P6" si="20">K6/100</f>
        <v>0</v>
      </c>
      <c r="Q6" s="1473">
        <f t="shared" ref="Q6" si="21">L6/100</f>
        <v>0</v>
      </c>
      <c r="R6" s="1474"/>
      <c r="S6" s="1472"/>
      <c r="T6" s="1473"/>
      <c r="U6" s="1473"/>
      <c r="V6" s="1473"/>
      <c r="W6" s="1782"/>
      <c r="X6" s="1780">
        <f>ROUND(IF(项目基本情况!B8="出让",SUMPRODUCT(PRODUCT(1+N6:N$31)),SUMPRODUCT(PRODUCT(1+N6:N$30))),4)</f>
        <v>1.5605</v>
      </c>
      <c r="Y6" s="1780">
        <f>ROUND(IF(项目基本情况!B8="出让",SUMPRODUCT(PRODUCT(1+O6:O$31)),SUMPRODUCT(PRODUCT(1+O6:O$30))),4)</f>
        <v>1.3577999999999999</v>
      </c>
      <c r="Z6" s="1780">
        <f t="shared" ref="Z6" si="22">Y6</f>
        <v>1.3577999999999999</v>
      </c>
      <c r="AA6" s="1780">
        <f>ROUND(IF(项目基本情况!B8="出让",SUMPRODUCT(PRODUCT(1+P6:P$31)),SUMPRODUCT(PRODUCT(1+P6:P$30))),4)</f>
        <v>1.6254999999999999</v>
      </c>
      <c r="AB6" s="1780">
        <f>ROUND(IF(项目基本情况!B8="出让",SUMPRODUCT(PRODUCT(1+Q6:Q$31)),SUMPRODUCT(PRODUCT(1+Q6:Q$30))),4)</f>
        <v>1.3815999999999999</v>
      </c>
      <c r="AC6" s="1782"/>
      <c r="AD6" s="1781">
        <f>ROUND(AVERAGE(I6:I$31)/100,4)</f>
        <v>1.8499999999999999E-2</v>
      </c>
      <c r="AE6" s="1781">
        <f>ROUND(AVERAGE(J6:J$31)/100,4)</f>
        <v>1.2800000000000001E-2</v>
      </c>
      <c r="AF6" s="1781">
        <f t="shared" ref="AF6" si="23">AE6</f>
        <v>1.2800000000000001E-2</v>
      </c>
      <c r="AG6" s="1781">
        <f>ROUND(AVERAGE(K6:K$31)/100,4)</f>
        <v>2.0299999999999999E-2</v>
      </c>
      <c r="AH6" s="1781">
        <f>ROUND(AVERAGE(L6:L$31)/100,4)</f>
        <v>1.3100000000000001E-2</v>
      </c>
    </row>
    <row r="7" spans="1:34" s="1466" customFormat="1">
      <c r="A7" s="1461" t="s">
        <v>3054</v>
      </c>
      <c r="B7" s="1477">
        <f t="shared" ref="B7" si="24">B8*(1+N7)</f>
        <v>479.92259063878413</v>
      </c>
      <c r="C7" s="1477">
        <f t="shared" ref="C7" si="25">C8*(1+O7)</f>
        <v>350.02082268341775</v>
      </c>
      <c r="D7" s="1477">
        <f t="shared" ref="D7" si="26">C7</f>
        <v>350.02082268341775</v>
      </c>
      <c r="E7" s="1477">
        <f t="shared" ref="E7" si="27">E8*(1+P7)</f>
        <v>687.42265944181099</v>
      </c>
      <c r="F7" s="1477">
        <f t="shared" ref="F7" si="28">F8*(1+Q7)</f>
        <v>317.63846657708956</v>
      </c>
      <c r="G7" s="2945">
        <v>2020</v>
      </c>
      <c r="H7" s="1464">
        <v>1</v>
      </c>
      <c r="I7" s="2946">
        <v>0.12</v>
      </c>
      <c r="J7" s="2946">
        <v>-0.4</v>
      </c>
      <c r="K7" s="2946">
        <v>0.21</v>
      </c>
      <c r="L7" s="2947">
        <v>0.27</v>
      </c>
      <c r="M7" s="1471"/>
      <c r="N7" s="1472">
        <f t="shared" ref="N7" si="29">I7/100</f>
        <v>1.1999999999999999E-3</v>
      </c>
      <c r="O7" s="1473">
        <f t="shared" ref="O7" si="30">J7/100</f>
        <v>-4.0000000000000001E-3</v>
      </c>
      <c r="P7" s="1473">
        <f t="shared" ref="P7" si="31">K7/100</f>
        <v>2.0999999999999999E-3</v>
      </c>
      <c r="Q7" s="1473">
        <f t="shared" ref="Q7" si="32">L7/100</f>
        <v>2.7000000000000001E-3</v>
      </c>
      <c r="R7" s="1474"/>
      <c r="S7" s="1472">
        <f>B7/B8-1</f>
        <v>1.2000000000000899E-3</v>
      </c>
      <c r="T7" s="1473">
        <f t="shared" ref="T7" si="33">C7/C8-1</f>
        <v>-4.0000000000000036E-3</v>
      </c>
      <c r="U7" s="1473">
        <f t="shared" ref="U7" si="34">D7/D8-1</f>
        <v>-4.0000000000000036E-3</v>
      </c>
      <c r="V7" s="1473">
        <f t="shared" ref="V7" si="35">E7/E8-1</f>
        <v>2.0999999999999908E-3</v>
      </c>
      <c r="W7" s="1782"/>
      <c r="X7" s="1780">
        <f>ROUND(IF(项目基本情况!B8="出让",SUMPRODUCT(PRODUCT(1+N7:N$31)),SUMPRODUCT(PRODUCT(1+N7:N$30))),4)</f>
        <v>1.5605</v>
      </c>
      <c r="Y7" s="1780">
        <f>ROUND(IF(项目基本情况!B8="出让",SUMPRODUCT(PRODUCT(1+O7:O$31)),SUMPRODUCT(PRODUCT(1+O7:O$30))),4)</f>
        <v>1.3577999999999999</v>
      </c>
      <c r="Z7" s="1780">
        <f t="shared" ref="Z7" si="36">Y7</f>
        <v>1.3577999999999999</v>
      </c>
      <c r="AA7" s="1780">
        <f>ROUND(IF(项目基本情况!B8="出让",SUMPRODUCT(PRODUCT(1+P7:P$31)),SUMPRODUCT(PRODUCT(1+P7:P$30))),4)</f>
        <v>1.6254999999999999</v>
      </c>
      <c r="AB7" s="1780">
        <f>ROUND(IF(项目基本情况!B8="出让",SUMPRODUCT(PRODUCT(1+Q7:Q$31)),SUMPRODUCT(PRODUCT(1+Q7:Q$30))),4)</f>
        <v>1.3815999999999999</v>
      </c>
      <c r="AC7" s="1782"/>
      <c r="AD7" s="1781">
        <f>ROUND(AVERAGE(I7:I$31)/100,4)</f>
        <v>1.9199999999999998E-2</v>
      </c>
      <c r="AE7" s="1781">
        <f>ROUND(AVERAGE(J7:J$31)/100,4)</f>
        <v>1.3299999999999999E-2</v>
      </c>
      <c r="AF7" s="1781">
        <f t="shared" ref="AF7" si="37">AE7</f>
        <v>1.3299999999999999E-2</v>
      </c>
      <c r="AG7" s="1781">
        <f>ROUND(AVERAGE(K7:K$31)/100,4)</f>
        <v>2.1100000000000001E-2</v>
      </c>
      <c r="AH7" s="1781">
        <f>ROUND(AVERAGE(L7:L$31)/100,4)</f>
        <v>1.3599999999999999E-2</v>
      </c>
    </row>
    <row r="8" spans="1:34" s="1466" customFormat="1">
      <c r="A8" s="1461" t="s">
        <v>3053</v>
      </c>
      <c r="B8" s="1477">
        <f t="shared" ref="B8" si="38">B9*(1+N8)</f>
        <v>479.34737379023579</v>
      </c>
      <c r="C8" s="1477">
        <f t="shared" ref="C8" si="39">C9*(1+O8)</f>
        <v>351.4265287986122</v>
      </c>
      <c r="D8" s="1477">
        <f t="shared" ref="D8" si="40">C8</f>
        <v>351.4265287986122</v>
      </c>
      <c r="E8" s="1477">
        <f t="shared" ref="E8" si="41">E9*(1+P8)</f>
        <v>685.98209703803116</v>
      </c>
      <c r="F8" s="1477">
        <f t="shared" ref="F8" si="42">F9*(1+Q8)</f>
        <v>316.78315206651001</v>
      </c>
      <c r="G8" s="2944">
        <v>2019</v>
      </c>
      <c r="H8" s="1464">
        <v>4</v>
      </c>
      <c r="I8" s="1464">
        <v>0.45</v>
      </c>
      <c r="J8" s="1464">
        <v>-0.12</v>
      </c>
      <c r="K8" s="1464">
        <v>0.54</v>
      </c>
      <c r="L8" s="1478">
        <v>0.48</v>
      </c>
      <c r="M8" s="1471"/>
      <c r="N8" s="1472">
        <f t="shared" ref="N8:N13" si="43">I8/100</f>
        <v>4.5000000000000005E-3</v>
      </c>
      <c r="O8" s="1473">
        <f t="shared" ref="O8" si="44">J8/100</f>
        <v>-1.1999999999999999E-3</v>
      </c>
      <c r="P8" s="1473">
        <f t="shared" ref="P8" si="45">K8/100</f>
        <v>5.4000000000000003E-3</v>
      </c>
      <c r="Q8" s="1473">
        <f t="shared" ref="Q8" si="46">L8/100</f>
        <v>4.7999999999999996E-3</v>
      </c>
      <c r="R8" s="1474"/>
      <c r="S8" s="1472"/>
      <c r="T8" s="1473"/>
      <c r="U8" s="1473"/>
      <c r="V8" s="1473"/>
      <c r="W8" s="1782"/>
      <c r="X8" s="1780">
        <f>ROUND(IF(项目基本情况!B8="出让",SUMPRODUCT(PRODUCT(1+N8:N$31)),SUMPRODUCT(PRODUCT(1+N8:N$30))),4)</f>
        <v>1.5586</v>
      </c>
      <c r="Y8" s="1780">
        <f>ROUND(IF(项目基本情况!B8="出让",SUMPRODUCT(PRODUCT(1+O8:O$31)),SUMPRODUCT(PRODUCT(1+O8:O$30))),4)</f>
        <v>1.3633</v>
      </c>
      <c r="Z8" s="1780">
        <f t="shared" ref="Z8" si="47">Y8</f>
        <v>1.3633</v>
      </c>
      <c r="AA8" s="1780">
        <f>ROUND(IF(项目基本情况!B8="出让",SUMPRODUCT(PRODUCT(1+P8:P$31)),SUMPRODUCT(PRODUCT(1+P8:P$30))),4)</f>
        <v>1.6221000000000001</v>
      </c>
      <c r="AB8" s="1780">
        <f>ROUND(IF(项目基本情况!B8="出让",SUMPRODUCT(PRODUCT(1+Q8:Q$31)),SUMPRODUCT(PRODUCT(1+Q8:Q$30))),4)</f>
        <v>1.3777999999999999</v>
      </c>
      <c r="AC8" s="1782"/>
      <c r="AD8" s="1781">
        <f>ROUND(AVERAGE(I8:I$31)/100,4)</f>
        <v>0.02</v>
      </c>
      <c r="AE8" s="1781">
        <f>ROUND(AVERAGE(J8:J$31)/100,4)</f>
        <v>1.4E-2</v>
      </c>
      <c r="AF8" s="1781">
        <f t="shared" ref="AF8" si="48">AE8</f>
        <v>1.4E-2</v>
      </c>
      <c r="AG8" s="1781">
        <f>ROUND(AVERAGE(K8:K$31)/100,4)</f>
        <v>2.1899999999999999E-2</v>
      </c>
      <c r="AH8" s="1781">
        <f>ROUND(AVERAGE(L8:L$31)/100,4)</f>
        <v>1.4E-2</v>
      </c>
    </row>
    <row r="9" spans="1:34" s="1466" customFormat="1" ht="13.5" thickBot="1">
      <c r="A9" s="1461" t="s">
        <v>3049</v>
      </c>
      <c r="B9" s="1477">
        <f t="shared" ref="B9" si="49">B10*(1+N9)</f>
        <v>477.19997390765138</v>
      </c>
      <c r="C9" s="1477">
        <f t="shared" ref="C9" si="50">C10*(1+O9)</f>
        <v>351.84874729536665</v>
      </c>
      <c r="D9" s="1477">
        <f t="shared" ref="D9" si="51">C9</f>
        <v>351.84874729536665</v>
      </c>
      <c r="E9" s="1477">
        <f t="shared" ref="E9" si="52">E10*(1+P9)</f>
        <v>682.29768951465201</v>
      </c>
      <c r="F9" s="1477">
        <f t="shared" ref="F9" si="53">F10*(1+Q9)</f>
        <v>315.26985675409043</v>
      </c>
      <c r="G9" s="2943">
        <v>2019</v>
      </c>
      <c r="H9" s="1464">
        <v>3</v>
      </c>
      <c r="I9" s="1464">
        <v>0.61</v>
      </c>
      <c r="J9" s="1464">
        <v>0.67</v>
      </c>
      <c r="K9" s="1464">
        <v>0.6</v>
      </c>
      <c r="L9" s="1478">
        <v>1.03</v>
      </c>
      <c r="M9" s="1471"/>
      <c r="N9" s="1472">
        <f t="shared" si="43"/>
        <v>6.0999999999999995E-3</v>
      </c>
      <c r="O9" s="1473">
        <f t="shared" ref="O9" si="54">J9/100</f>
        <v>6.7000000000000002E-3</v>
      </c>
      <c r="P9" s="1473">
        <f t="shared" ref="P9" si="55">K9/100</f>
        <v>6.0000000000000001E-3</v>
      </c>
      <c r="Q9" s="1473">
        <f t="shared" ref="Q9" si="56">L9/100</f>
        <v>1.03E-2</v>
      </c>
      <c r="R9" s="1474"/>
      <c r="S9" s="1472"/>
      <c r="T9" s="1473"/>
      <c r="U9" s="1473"/>
      <c r="V9" s="1473"/>
      <c r="W9" s="1782"/>
      <c r="X9" s="1780">
        <f>ROUND(IF(项目基本情况!B8="出让",SUMPRODUCT(PRODUCT(1+N9:N$31)),SUMPRODUCT(PRODUCT(1+N9:N$30))),4)</f>
        <v>1.5516000000000001</v>
      </c>
      <c r="Y9" s="1780">
        <f>ROUND(IF(项目基本情况!B8="出让",SUMPRODUCT(PRODUCT(1+O9:O$31)),SUMPRODUCT(PRODUCT(1+O9:O$30))),4)</f>
        <v>1.3649</v>
      </c>
      <c r="Z9" s="1780">
        <f t="shared" ref="Z9" si="57">Y9</f>
        <v>1.3649</v>
      </c>
      <c r="AA9" s="1780">
        <f>ROUND(IF(项目基本情况!B8="出让",SUMPRODUCT(PRODUCT(1+P9:P$31)),SUMPRODUCT(PRODUCT(1+P9:P$30))),4)</f>
        <v>1.6133999999999999</v>
      </c>
      <c r="AB9" s="1780">
        <f>ROUND(IF(项目基本情况!B8="出让",SUMPRODUCT(PRODUCT(1+Q9:Q$31)),SUMPRODUCT(PRODUCT(1+Q9:Q$30))),4)</f>
        <v>1.3713</v>
      </c>
      <c r="AC9" s="1782"/>
      <c r="AD9" s="1781">
        <f>ROUND(AVERAGE(I9:I$31)/100,4)</f>
        <v>2.07E-2</v>
      </c>
      <c r="AE9" s="1781">
        <f>ROUND(AVERAGE(J9:J$31)/100,4)</f>
        <v>1.47E-2</v>
      </c>
      <c r="AF9" s="1781">
        <f t="shared" ref="AF9" si="58">AE9</f>
        <v>1.47E-2</v>
      </c>
      <c r="AG9" s="1781">
        <f>ROUND(AVERAGE(K9:K$31)/100,4)</f>
        <v>2.2599999999999999E-2</v>
      </c>
      <c r="AH9" s="1781">
        <f>ROUND(AVERAGE(L9:L$31)/100,4)</f>
        <v>1.44E-2</v>
      </c>
    </row>
    <row r="10" spans="1:34" s="1466" customFormat="1">
      <c r="A10" s="1461" t="s">
        <v>3047</v>
      </c>
      <c r="B10" s="1477">
        <f t="shared" ref="B10" si="59">B11*(1+N10)</f>
        <v>474.30670301923408</v>
      </c>
      <c r="C10" s="1477">
        <f t="shared" ref="C10" si="60">C11*(1+O10)</f>
        <v>349.50705005996491</v>
      </c>
      <c r="D10" s="1477">
        <f t="shared" ref="D10" si="61">C10</f>
        <v>349.50705005996491</v>
      </c>
      <c r="E10" s="1477">
        <f t="shared" ref="E10" si="62">E11*(1+P10)</f>
        <v>678.22831959706957</v>
      </c>
      <c r="F10" s="1477">
        <f t="shared" ref="F10" si="63">F11*(1+Q10)</f>
        <v>312.0556832169558</v>
      </c>
      <c r="G10" s="2939">
        <v>2019</v>
      </c>
      <c r="H10" s="1462">
        <v>2</v>
      </c>
      <c r="I10" s="1462">
        <v>1.53</v>
      </c>
      <c r="J10" s="1462">
        <v>1.01</v>
      </c>
      <c r="K10" s="1462">
        <v>1.62</v>
      </c>
      <c r="L10" s="1463">
        <v>1.25</v>
      </c>
      <c r="M10" s="1471"/>
      <c r="N10" s="1472">
        <f t="shared" si="43"/>
        <v>1.5300000000000001E-2</v>
      </c>
      <c r="O10" s="1473">
        <f t="shared" ref="O10" si="64">J10/100</f>
        <v>1.01E-2</v>
      </c>
      <c r="P10" s="1473">
        <f t="shared" ref="P10" si="65">K10/100</f>
        <v>1.6200000000000003E-2</v>
      </c>
      <c r="Q10" s="1473">
        <f t="shared" ref="Q10" si="66">L10/100</f>
        <v>1.2500000000000001E-2</v>
      </c>
      <c r="R10" s="1474"/>
      <c r="S10" s="1472"/>
      <c r="T10" s="1473"/>
      <c r="U10" s="1473"/>
      <c r="V10" s="1473"/>
      <c r="W10" s="1782"/>
      <c r="X10" s="1780">
        <f>ROUND(IF(项目基本情况!B8="出让",SUMPRODUCT(PRODUCT(1+N10:N$31)),SUMPRODUCT(PRODUCT(1+N10:N$30))),4)</f>
        <v>1.5422</v>
      </c>
      <c r="Y10" s="1780">
        <f>ROUND(IF(项目基本情况!B8="出让",SUMPRODUCT(PRODUCT(1+O10:O$31)),SUMPRODUCT(PRODUCT(1+O10:O$30))),4)</f>
        <v>1.3557999999999999</v>
      </c>
      <c r="Z10" s="1780">
        <f t="shared" ref="Z10" si="67">Y10</f>
        <v>1.3557999999999999</v>
      </c>
      <c r="AA10" s="1780">
        <f>ROUND(IF(项目基本情况!B8="出让",SUMPRODUCT(PRODUCT(1+P10:P$31)),SUMPRODUCT(PRODUCT(1+P10:P$30))),4)</f>
        <v>1.6036999999999999</v>
      </c>
      <c r="AB10" s="1780">
        <f>ROUND(IF(项目基本情况!B8="出让",SUMPRODUCT(PRODUCT(1+Q10:Q$31)),SUMPRODUCT(PRODUCT(1+Q10:Q$30))),4)</f>
        <v>1.3573</v>
      </c>
      <c r="AC10" s="1782"/>
      <c r="AD10" s="1781">
        <f>ROUND(AVERAGE(I10:I$31)/100,4)</f>
        <v>2.1299999999999999E-2</v>
      </c>
      <c r="AE10" s="1781">
        <f>ROUND(AVERAGE(J10:J$31)/100,4)</f>
        <v>1.4999999999999999E-2</v>
      </c>
      <c r="AF10" s="1781">
        <f t="shared" ref="AF10" si="68">AE10</f>
        <v>1.4999999999999999E-2</v>
      </c>
      <c r="AG10" s="1781">
        <f>ROUND(AVERAGE(K10:K$31)/100,4)</f>
        <v>2.3300000000000001E-2</v>
      </c>
      <c r="AH10" s="1781">
        <f>ROUND(AVERAGE(L10:L$31)/100,4)</f>
        <v>1.46E-2</v>
      </c>
    </row>
    <row r="11" spans="1:34" s="1466" customFormat="1" ht="13.5" thickBot="1">
      <c r="A11" s="1461" t="s">
        <v>3045</v>
      </c>
      <c r="B11" s="1477">
        <f t="shared" ref="B11" si="69">B12*(1+N11)</f>
        <v>467.15916775261894</v>
      </c>
      <c r="C11" s="1477">
        <f t="shared" ref="C11" si="70">C12*(1+O11)</f>
        <v>346.01232557169084</v>
      </c>
      <c r="D11" s="1477">
        <f t="shared" ref="D11" si="71">C11</f>
        <v>346.01232557169084</v>
      </c>
      <c r="E11" s="1477">
        <f t="shared" ref="E11" si="72">E12*(1+P11)</f>
        <v>667.41617752122568</v>
      </c>
      <c r="F11" s="1477">
        <f t="shared" ref="F11" si="73">F12*(1+Q11)</f>
        <v>308.20314391798104</v>
      </c>
      <c r="G11" s="2923">
        <v>2019</v>
      </c>
      <c r="H11" s="1464">
        <v>1</v>
      </c>
      <c r="I11" s="1464">
        <v>0.6</v>
      </c>
      <c r="J11" s="1464">
        <v>0.37</v>
      </c>
      <c r="K11" s="1464">
        <v>0.63</v>
      </c>
      <c r="L11" s="1478">
        <v>1.1299999999999999</v>
      </c>
      <c r="M11" s="1471"/>
      <c r="N11" s="1472">
        <f t="shared" si="43"/>
        <v>6.0000000000000001E-3</v>
      </c>
      <c r="O11" s="1473">
        <f t="shared" ref="O11" si="74">J11/100</f>
        <v>3.7000000000000002E-3</v>
      </c>
      <c r="P11" s="1473">
        <f t="shared" ref="P11" si="75">K11/100</f>
        <v>6.3E-3</v>
      </c>
      <c r="Q11" s="1473">
        <f t="shared" ref="Q11" si="76">L11/100</f>
        <v>1.1299999999999999E-2</v>
      </c>
      <c r="R11" s="1474"/>
      <c r="S11" s="1472">
        <f>B11/B12-1</f>
        <v>6.0000000000000053E-3</v>
      </c>
      <c r="T11" s="1473">
        <f t="shared" ref="T11" si="77">C11/C12-1</f>
        <v>3.7000000000000366E-3</v>
      </c>
      <c r="U11" s="1473">
        <f t="shared" ref="U11" si="78">D11/D12-1</f>
        <v>3.7000000000000366E-3</v>
      </c>
      <c r="V11" s="1473">
        <f t="shared" ref="V11" si="79">E11/E12-1</f>
        <v>6.2999999999999723E-3</v>
      </c>
      <c r="W11" s="1782"/>
      <c r="X11" s="1780">
        <f>ROUND(IF(项目基本情况!B8="出让",SUMPRODUCT(PRODUCT(1+N11:N$31)),SUMPRODUCT(PRODUCT(1+N11:N$30))),4)</f>
        <v>1.5189999999999999</v>
      </c>
      <c r="Y11" s="1780">
        <f>ROUND(IF(项目基本情况!B8="出让",SUMPRODUCT(PRODUCT(1+O11:O$31)),SUMPRODUCT(PRODUCT(1+O11:O$30))),4)</f>
        <v>1.3423</v>
      </c>
      <c r="Z11" s="1780">
        <f t="shared" ref="Z11" si="80">Y11</f>
        <v>1.3423</v>
      </c>
      <c r="AA11" s="1780">
        <f>ROUND(IF(项目基本情况!B8="出让",SUMPRODUCT(PRODUCT(1+P11:P$31)),SUMPRODUCT(PRODUCT(1+P11:P$30))),4)</f>
        <v>1.5782</v>
      </c>
      <c r="AB11" s="1780">
        <f>ROUND(IF(项目基本情况!B8="出让",SUMPRODUCT(PRODUCT(1+Q11:Q$31)),SUMPRODUCT(PRODUCT(1+Q11:Q$30))),4)</f>
        <v>1.3405</v>
      </c>
      <c r="AC11" s="1782"/>
      <c r="AD11" s="1781">
        <f>ROUND(AVERAGE(I11:I$31)/100,4)</f>
        <v>2.1600000000000001E-2</v>
      </c>
      <c r="AE11" s="1781">
        <f>ROUND(AVERAGE(J11:J$31)/100,4)</f>
        <v>1.5299999999999999E-2</v>
      </c>
      <c r="AF11" s="1781">
        <f t="shared" ref="AF11" si="81">AE11</f>
        <v>1.5299999999999999E-2</v>
      </c>
      <c r="AG11" s="1781">
        <f>ROUND(AVERAGE(K11:K$31)/100,4)</f>
        <v>2.3699999999999999E-2</v>
      </c>
      <c r="AH11" s="1781">
        <f>ROUND(AVERAGE(L11:L$31)/100,4)</f>
        <v>1.47E-2</v>
      </c>
    </row>
    <row r="12" spans="1:34" s="1466" customFormat="1">
      <c r="A12" s="1461" t="s">
        <v>3048</v>
      </c>
      <c r="B12" s="2940">
        <f t="shared" ref="B12" si="82">B13*(1+N12)</f>
        <v>464.37293017158942</v>
      </c>
      <c r="C12" s="2940">
        <f t="shared" ref="C12" si="83">C13*(1+O12)</f>
        <v>344.73679941385956</v>
      </c>
      <c r="D12" s="2940">
        <f t="shared" ref="D12" si="84">C12</f>
        <v>344.73679941385956</v>
      </c>
      <c r="E12" s="2940">
        <f t="shared" ref="E12" si="85">E13*(1+P12)</f>
        <v>663.2377795103107</v>
      </c>
      <c r="F12" s="2941">
        <f t="shared" ref="F12" si="86">F13*(1+Q12)</f>
        <v>304.75936311478398</v>
      </c>
      <c r="G12" s="3278">
        <v>2018</v>
      </c>
      <c r="H12" s="1462">
        <v>4</v>
      </c>
      <c r="I12" s="1462">
        <v>0.96</v>
      </c>
      <c r="J12" s="1462">
        <v>1.03</v>
      </c>
      <c r="K12" s="1462">
        <v>0.92</v>
      </c>
      <c r="L12" s="1463">
        <v>1.29</v>
      </c>
      <c r="M12" s="1471"/>
      <c r="N12" s="1472">
        <f t="shared" si="43"/>
        <v>9.5999999999999992E-3</v>
      </c>
      <c r="O12" s="1473">
        <f t="shared" ref="O12" si="87">J12/100</f>
        <v>1.03E-2</v>
      </c>
      <c r="P12" s="1473">
        <f t="shared" ref="P12" si="88">K12/100</f>
        <v>9.1999999999999998E-3</v>
      </c>
      <c r="Q12" s="1473">
        <f t="shared" ref="Q12" si="89">L12/100</f>
        <v>1.29E-2</v>
      </c>
      <c r="R12" s="1474"/>
      <c r="S12" s="1472"/>
      <c r="T12" s="1473"/>
      <c r="U12" s="1473"/>
      <c r="V12" s="1473"/>
      <c r="W12" s="1782"/>
      <c r="X12" s="1780">
        <f>ROUND(SUMPRODUCT(PRODUCT(1+N12:N$30)),4)</f>
        <v>1.5099</v>
      </c>
      <c r="Y12" s="1780">
        <f>ROUND(SUMPRODUCT(PRODUCT(1+O12:O$30)),4)</f>
        <v>1.3372999999999999</v>
      </c>
      <c r="Z12" s="1780">
        <f t="shared" ref="Z12" si="90">Y12</f>
        <v>1.3372999999999999</v>
      </c>
      <c r="AA12" s="1780">
        <f>ROUND(SUMPRODUCT(PRODUCT(1+P12:P$30)),4)</f>
        <v>1.5683</v>
      </c>
      <c r="AB12" s="1780">
        <f>ROUND(SUMPRODUCT(PRODUCT(1+Q12:Q$30)),4)</f>
        <v>1.3255999999999999</v>
      </c>
      <c r="AC12" s="1782"/>
      <c r="AD12" s="1781">
        <f>ROUND(AVERAGE(I12:I$31)/100,4)</f>
        <v>2.24E-2</v>
      </c>
      <c r="AE12" s="1781">
        <f>ROUND(AVERAGE(J12:J$31)/100,4)</f>
        <v>1.5800000000000002E-2</v>
      </c>
      <c r="AF12" s="1781">
        <f t="shared" ref="AF12" si="91">AE12</f>
        <v>1.5800000000000002E-2</v>
      </c>
      <c r="AG12" s="1781">
        <f>ROUND(AVERAGE(K12:K$31)/100,4)</f>
        <v>2.4500000000000001E-2</v>
      </c>
      <c r="AH12" s="1781">
        <f>ROUND(AVERAGE(L12:L$31)/100,4)</f>
        <v>1.49E-2</v>
      </c>
    </row>
    <row r="13" spans="1:34" s="1466" customFormat="1" ht="14.45" customHeight="1">
      <c r="A13" s="1461" t="s">
        <v>3042</v>
      </c>
      <c r="B13" s="1477">
        <f t="shared" ref="B13" si="92">B14*(1+N13)</f>
        <v>459.95733971036987</v>
      </c>
      <c r="C13" s="1477">
        <f t="shared" ref="C13" si="93">C14*(1+O13)</f>
        <v>341.22221064422405</v>
      </c>
      <c r="D13" s="1477">
        <f t="shared" ref="D13" si="94">C13</f>
        <v>341.22221064422405</v>
      </c>
      <c r="E13" s="1477">
        <f t="shared" ref="E13" si="95">E14*(1+P13)</f>
        <v>657.19161663724799</v>
      </c>
      <c r="F13" s="1477">
        <f t="shared" ref="F13" si="96">F14*(1+Q13)</f>
        <v>300.87803644464805</v>
      </c>
      <c r="G13" s="3278"/>
      <c r="H13" s="1464">
        <v>3</v>
      </c>
      <c r="I13" s="1464">
        <v>1.51</v>
      </c>
      <c r="J13" s="1464">
        <v>1.41</v>
      </c>
      <c r="K13" s="1464">
        <v>1.52</v>
      </c>
      <c r="L13" s="1478">
        <v>1.74</v>
      </c>
      <c r="M13" s="1471"/>
      <c r="N13" s="1472">
        <f t="shared" si="43"/>
        <v>1.5100000000000001E-2</v>
      </c>
      <c r="O13" s="1473">
        <f t="shared" ref="O13" si="97">J13/100</f>
        <v>1.41E-2</v>
      </c>
      <c r="P13" s="1473">
        <f t="shared" ref="P13" si="98">K13/100</f>
        <v>1.52E-2</v>
      </c>
      <c r="Q13" s="1473">
        <f t="shared" ref="Q13" si="99">L13/100</f>
        <v>1.7399999999999999E-2</v>
      </c>
      <c r="R13" s="1474"/>
      <c r="S13" s="1472"/>
      <c r="T13" s="1473"/>
      <c r="U13" s="1473"/>
      <c r="V13" s="1473"/>
      <c r="W13" s="1782"/>
      <c r="X13" s="1780">
        <f>ROUND(SUMPRODUCT(PRODUCT(1+N13:N$30)),4)</f>
        <v>1.4956</v>
      </c>
      <c r="Y13" s="1780">
        <f>ROUND(SUMPRODUCT(PRODUCT(1+O13:O$30)),4)</f>
        <v>1.3237000000000001</v>
      </c>
      <c r="Z13" s="1780">
        <f t="shared" ref="Z13" si="100">Y13</f>
        <v>1.3237000000000001</v>
      </c>
      <c r="AA13" s="1780">
        <f>ROUND(SUMPRODUCT(PRODUCT(1+P13:P$30)),4)</f>
        <v>1.554</v>
      </c>
      <c r="AB13" s="1780">
        <f>ROUND(SUMPRODUCT(PRODUCT(1+Q13:Q$30)),4)</f>
        <v>1.3087</v>
      </c>
      <c r="AC13" s="1782"/>
      <c r="AD13" s="1781">
        <f>ROUND(AVERAGE(I13:I$31)/100,4)</f>
        <v>2.3099999999999999E-2</v>
      </c>
      <c r="AE13" s="1781">
        <f>ROUND(AVERAGE(J13:J$31)/100,4)</f>
        <v>1.61E-2</v>
      </c>
      <c r="AF13" s="1781">
        <f t="shared" ref="AF13" si="101">AE13</f>
        <v>1.61E-2</v>
      </c>
      <c r="AG13" s="1781">
        <f>ROUND(AVERAGE(K13:K$31)/100,4)</f>
        <v>2.53E-2</v>
      </c>
      <c r="AH13" s="1781">
        <f>ROUND(AVERAGE(L13:L$31)/100,4)</f>
        <v>1.4999999999999999E-2</v>
      </c>
    </row>
    <row r="14" spans="1:34" s="1466" customFormat="1" ht="14.45" customHeight="1">
      <c r="A14" s="1461" t="s">
        <v>3041</v>
      </c>
      <c r="B14" s="1477">
        <f t="shared" ref="B14" si="102">B15*(1+N14)</f>
        <v>453.11529869999993</v>
      </c>
      <c r="C14" s="1477">
        <f t="shared" ref="C14" si="103">C15*(1+O14)</f>
        <v>336.47787264000004</v>
      </c>
      <c r="D14" s="1477">
        <f t="shared" ref="D14" si="104">C14</f>
        <v>336.47787264000004</v>
      </c>
      <c r="E14" s="1477">
        <f t="shared" ref="E14" si="105">E15*(1+P14)</f>
        <v>647.35186823999993</v>
      </c>
      <c r="F14" s="1477">
        <f t="shared" ref="F14" si="106">F15*(1+Q14)</f>
        <v>295.73229452000004</v>
      </c>
      <c r="G14" s="3278"/>
      <c r="H14" s="1465">
        <v>2</v>
      </c>
      <c r="I14" s="1465">
        <v>1.49</v>
      </c>
      <c r="J14" s="1465">
        <v>0.96</v>
      </c>
      <c r="K14" s="1465">
        <v>1.58</v>
      </c>
      <c r="L14" s="1479">
        <v>2.44</v>
      </c>
      <c r="M14" s="1471"/>
      <c r="N14" s="1472">
        <f t="shared" ref="N14" si="107">I14/100</f>
        <v>1.49E-2</v>
      </c>
      <c r="O14" s="1473">
        <f t="shared" ref="O14" si="108">J14/100</f>
        <v>9.5999999999999992E-3</v>
      </c>
      <c r="P14" s="1473">
        <f t="shared" ref="P14" si="109">K14/100</f>
        <v>1.5800000000000002E-2</v>
      </c>
      <c r="Q14" s="1473">
        <f t="shared" ref="Q14" si="110">L14/100</f>
        <v>2.4399999999999998E-2</v>
      </c>
      <c r="R14" s="1474"/>
      <c r="S14" s="1472"/>
      <c r="T14" s="1473"/>
      <c r="U14" s="1473"/>
      <c r="V14" s="1473"/>
      <c r="W14" s="1782"/>
      <c r="X14" s="1780">
        <f>ROUND(SUMPRODUCT(PRODUCT(1+N14:N$30)),4)</f>
        <v>1.4733000000000001</v>
      </c>
      <c r="Y14" s="1780">
        <f>ROUND(SUMPRODUCT(PRODUCT(1+O14:O$30)),4)</f>
        <v>1.3052999999999999</v>
      </c>
      <c r="Z14" s="1780">
        <f t="shared" ref="Z14" si="111">Y14</f>
        <v>1.3052999999999999</v>
      </c>
      <c r="AA14" s="1780">
        <f>ROUND(SUMPRODUCT(PRODUCT(1+P14:P$30)),4)</f>
        <v>1.5306999999999999</v>
      </c>
      <c r="AB14" s="1780">
        <f>ROUND(SUMPRODUCT(PRODUCT(1+Q14:Q$30)),4)</f>
        <v>1.2863</v>
      </c>
      <c r="AC14" s="1782"/>
      <c r="AD14" s="1781">
        <f>ROUND(AVERAGE(I14:I$31)/100,4)</f>
        <v>2.35E-2</v>
      </c>
      <c r="AE14" s="1781">
        <f>ROUND(AVERAGE(J14:J$31)/100,4)</f>
        <v>1.6199999999999999E-2</v>
      </c>
      <c r="AF14" s="1781">
        <f t="shared" ref="AF14" si="112">AE14</f>
        <v>1.6199999999999999E-2</v>
      </c>
      <c r="AG14" s="1781">
        <f>ROUND(AVERAGE(K14:K$31)/100,4)</f>
        <v>2.5899999999999999E-2</v>
      </c>
      <c r="AH14" s="1781">
        <f>ROUND(AVERAGE(L14:L$31)/100,4)</f>
        <v>1.49E-2</v>
      </c>
    </row>
    <row r="15" spans="1:34" s="1466" customFormat="1" ht="15" customHeight="1" thickBot="1">
      <c r="A15" s="1461" t="s">
        <v>3034</v>
      </c>
      <c r="B15" s="1477">
        <f t="shared" ref="B15" si="113">B16*(1+N15)</f>
        <v>446.46299999999997</v>
      </c>
      <c r="C15" s="1477">
        <f t="shared" ref="C15" si="114">C16*(1+O15)</f>
        <v>333.27840000000003</v>
      </c>
      <c r="D15" s="1477">
        <f t="shared" ref="D15" si="115">C15</f>
        <v>333.27840000000003</v>
      </c>
      <c r="E15" s="1477">
        <f t="shared" ref="E15" si="116">E16*(1+P15)</f>
        <v>637.28279999999995</v>
      </c>
      <c r="F15" s="1477">
        <f t="shared" ref="F15" si="117">F16*(1+Q15)</f>
        <v>288.68830000000003</v>
      </c>
      <c r="G15" s="3287"/>
      <c r="H15" s="1464">
        <v>1</v>
      </c>
      <c r="I15" s="1464">
        <v>1.7</v>
      </c>
      <c r="J15" s="1464">
        <v>1.92</v>
      </c>
      <c r="K15" s="1464">
        <v>1.64</v>
      </c>
      <c r="L15" s="1478">
        <v>2.0099999999999998</v>
      </c>
      <c r="M15" s="1471"/>
      <c r="N15" s="1472">
        <f t="shared" ref="N15:N20" si="118">I15/100</f>
        <v>1.7000000000000001E-2</v>
      </c>
      <c r="O15" s="1473">
        <f t="shared" ref="O15" si="119">J15/100</f>
        <v>1.9199999999999998E-2</v>
      </c>
      <c r="P15" s="1473">
        <f t="shared" ref="P15" si="120">K15/100</f>
        <v>1.6399999999999998E-2</v>
      </c>
      <c r="Q15" s="1473">
        <f t="shared" ref="Q15" si="121">L15/100</f>
        <v>2.0099999999999996E-2</v>
      </c>
      <c r="R15" s="1474"/>
      <c r="S15" s="1472">
        <f>B15/B16-1</f>
        <v>1.6999999999999904E-2</v>
      </c>
      <c r="T15" s="1473">
        <f t="shared" ref="T15" si="122">C15/C16-1</f>
        <v>1.9200000000000106E-2</v>
      </c>
      <c r="U15" s="1473">
        <f t="shared" ref="U15" si="123">D15/D16-1</f>
        <v>1.9200000000000106E-2</v>
      </c>
      <c r="V15" s="1473">
        <f t="shared" ref="V15" si="124">E15/E16-1</f>
        <v>1.639999999999997E-2</v>
      </c>
      <c r="W15" s="1782"/>
      <c r="X15" s="1780">
        <f>ROUND(SUMPRODUCT(PRODUCT(1+N15:N$30)),4)</f>
        <v>1.4517</v>
      </c>
      <c r="Y15" s="1780">
        <f>ROUND(SUMPRODUCT(PRODUCT(1+O15:O$30)),4)</f>
        <v>1.2928999999999999</v>
      </c>
      <c r="Z15" s="1780">
        <f t="shared" ref="Z15" si="125">Y15</f>
        <v>1.2928999999999999</v>
      </c>
      <c r="AA15" s="1780">
        <f>ROUND(SUMPRODUCT(PRODUCT(1+P15:P$30)),4)</f>
        <v>1.5068999999999999</v>
      </c>
      <c r="AB15" s="1780">
        <f>ROUND(SUMPRODUCT(PRODUCT(1+Q15:Q$30)),4)</f>
        <v>1.2557</v>
      </c>
      <c r="AC15" s="1782"/>
      <c r="AD15" s="1781">
        <f>ROUND(AVERAGE(I15:I$31)/100,4)</f>
        <v>2.4E-2</v>
      </c>
      <c r="AE15" s="1781">
        <f>ROUND(AVERAGE(J15:J$31)/100,4)</f>
        <v>1.66E-2</v>
      </c>
      <c r="AF15" s="1781">
        <f t="shared" ref="AF15" si="126">AE15</f>
        <v>1.66E-2</v>
      </c>
      <c r="AG15" s="1781">
        <f>ROUND(AVERAGE(K15:K$31)/100,4)</f>
        <v>2.6499999999999999E-2</v>
      </c>
      <c r="AH15" s="1781">
        <f>ROUND(AVERAGE(L15:L$31)/100,4)</f>
        <v>1.43E-2</v>
      </c>
    </row>
    <row r="16" spans="1:34">
      <c r="A16" s="1461" t="s">
        <v>3031</v>
      </c>
      <c r="B16" s="1469">
        <v>439</v>
      </c>
      <c r="C16" s="1469">
        <v>327</v>
      </c>
      <c r="D16" s="1469">
        <f>C16</f>
        <v>327</v>
      </c>
      <c r="E16" s="1469">
        <v>627</v>
      </c>
      <c r="F16" s="1470">
        <v>283</v>
      </c>
      <c r="G16" s="3283">
        <v>2017</v>
      </c>
      <c r="H16" s="1462">
        <v>4</v>
      </c>
      <c r="I16" s="1462">
        <v>1.71</v>
      </c>
      <c r="J16" s="1462">
        <v>1.78</v>
      </c>
      <c r="K16" s="1462">
        <v>1.71</v>
      </c>
      <c r="L16" s="1463">
        <v>1.43</v>
      </c>
      <c r="N16" s="1472">
        <f t="shared" si="118"/>
        <v>1.7100000000000001E-2</v>
      </c>
      <c r="O16" s="1473">
        <f t="shared" ref="O16" si="127">J16/100</f>
        <v>1.78E-2</v>
      </c>
      <c r="P16" s="1473">
        <f t="shared" ref="P16" si="128">K16/100</f>
        <v>1.7100000000000001E-2</v>
      </c>
      <c r="Q16" s="1473">
        <f t="shared" ref="Q16" si="129">L16/100</f>
        <v>1.43E-2</v>
      </c>
      <c r="R16" s="1474"/>
      <c r="S16" s="1475"/>
      <c r="T16" s="1476"/>
      <c r="U16" s="1476"/>
      <c r="V16" s="1476"/>
      <c r="X16" s="1459">
        <f>ROUND(SUMPRODUCT(PRODUCT(1+N16:N$30)),4)</f>
        <v>1.4274</v>
      </c>
      <c r="Y16" s="1459">
        <f>ROUND(SUMPRODUCT(PRODUCT(1+O16:O$30)),4)</f>
        <v>1.2685</v>
      </c>
      <c r="Z16" s="1459">
        <f t="shared" si="0"/>
        <v>1.2685</v>
      </c>
      <c r="AA16" s="1459">
        <f>ROUND(SUMPRODUCT(PRODUCT(1+P16:P$30)),4)</f>
        <v>1.4825999999999999</v>
      </c>
      <c r="AB16" s="1459">
        <f>ROUND(SUMPRODUCT(PRODUCT(1+Q16:Q$30)),4)</f>
        <v>1.2309000000000001</v>
      </c>
      <c r="AD16" s="1460">
        <f>ROUND(AVERAGE(I16:I$31)/100,4)</f>
        <v>2.4500000000000001E-2</v>
      </c>
      <c r="AE16" s="1460">
        <f>ROUND(AVERAGE(J16:J$31)/100,4)</f>
        <v>1.6500000000000001E-2</v>
      </c>
      <c r="AF16" s="1460">
        <f t="shared" si="1"/>
        <v>1.6500000000000001E-2</v>
      </c>
      <c r="AG16" s="1460">
        <f>ROUND(AVERAGE(K16:K$31)/100,4)</f>
        <v>2.7099999999999999E-2</v>
      </c>
      <c r="AH16" s="1460">
        <f>ROUND(AVERAGE(L16:L$31)/100,4)</f>
        <v>1.3899999999999999E-2</v>
      </c>
    </row>
    <row r="17" spans="1:34" s="1466" customFormat="1" ht="14.45" customHeight="1">
      <c r="A17" s="1461" t="s">
        <v>3032</v>
      </c>
      <c r="B17" s="1477">
        <f t="shared" ref="B17:B18" si="130">B18*(1+N17)</f>
        <v>431.80730811680002</v>
      </c>
      <c r="C17" s="1477">
        <f t="shared" ref="C17:C18" si="131">C18*(1+O17)</f>
        <v>320.57880516480003</v>
      </c>
      <c r="D17" s="1477">
        <f t="shared" ref="D17:D18" si="132">C17</f>
        <v>320.57880516480003</v>
      </c>
      <c r="E17" s="1477">
        <f t="shared" ref="E17:E18" si="133">E18*(1+P17)</f>
        <v>615.96110553196797</v>
      </c>
      <c r="F17" s="1477">
        <f t="shared" ref="F17:F18" si="134">F18*(1+Q17)</f>
        <v>279.46777300108801</v>
      </c>
      <c r="G17" s="3278"/>
      <c r="H17" s="1464">
        <v>3</v>
      </c>
      <c r="I17" s="1464">
        <v>2.98</v>
      </c>
      <c r="J17" s="1464">
        <v>2.11</v>
      </c>
      <c r="K17" s="1464">
        <v>3.24</v>
      </c>
      <c r="L17" s="1478">
        <v>1.72</v>
      </c>
      <c r="M17" s="1471"/>
      <c r="N17" s="1472">
        <f t="shared" si="118"/>
        <v>2.98E-2</v>
      </c>
      <c r="O17" s="1473">
        <f t="shared" ref="O17" si="135">J17/100</f>
        <v>2.1099999999999997E-2</v>
      </c>
      <c r="P17" s="1473">
        <f t="shared" ref="P17" si="136">K17/100</f>
        <v>3.2400000000000005E-2</v>
      </c>
      <c r="Q17" s="1473">
        <f t="shared" ref="Q17" si="137">L17/100</f>
        <v>1.72E-2</v>
      </c>
      <c r="R17" s="1474"/>
      <c r="S17" s="1472"/>
      <c r="T17" s="1473"/>
      <c r="U17" s="1473"/>
      <c r="V17" s="1473"/>
      <c r="W17" s="1782"/>
      <c r="X17" s="1780">
        <f>ROUND(SUMPRODUCT(PRODUCT(1+N17:N$30)),4)</f>
        <v>1.4034</v>
      </c>
      <c r="Y17" s="1780">
        <f>ROUND(SUMPRODUCT(PRODUCT(1+O17:O$30)),4)</f>
        <v>1.2463</v>
      </c>
      <c r="Z17" s="1780">
        <f t="shared" si="0"/>
        <v>1.2463</v>
      </c>
      <c r="AA17" s="1780">
        <f>ROUND(SUMPRODUCT(PRODUCT(1+P17:P$30)),4)</f>
        <v>1.4577</v>
      </c>
      <c r="AB17" s="1780">
        <f>ROUND(SUMPRODUCT(PRODUCT(1+Q17:Q$30)),4)</f>
        <v>1.2136</v>
      </c>
      <c r="AC17" s="1782"/>
      <c r="AD17" s="1781">
        <f>ROUND(AVERAGE(I17:I$31)/100,4)</f>
        <v>2.4899999999999999E-2</v>
      </c>
      <c r="AE17" s="1781">
        <f>ROUND(AVERAGE(J17:J$31)/100,4)</f>
        <v>1.6400000000000001E-2</v>
      </c>
      <c r="AF17" s="1781">
        <f t="shared" si="1"/>
        <v>1.6400000000000001E-2</v>
      </c>
      <c r="AG17" s="1781">
        <f>ROUND(AVERAGE(K17:K$31)/100,4)</f>
        <v>2.7799999999999998E-2</v>
      </c>
      <c r="AH17" s="1781">
        <f>ROUND(AVERAGE(L17:L$31)/100,4)</f>
        <v>1.3899999999999999E-2</v>
      </c>
    </row>
    <row r="18" spans="1:34" s="1731" customFormat="1" ht="14.45" customHeight="1">
      <c r="A18" s="1461" t="s">
        <v>1380</v>
      </c>
      <c r="B18" s="1477">
        <f t="shared" si="130"/>
        <v>419.31181600000002</v>
      </c>
      <c r="C18" s="1477">
        <f t="shared" si="131"/>
        <v>313.95436800000004</v>
      </c>
      <c r="D18" s="1477">
        <f t="shared" si="132"/>
        <v>313.95436800000004</v>
      </c>
      <c r="E18" s="1477">
        <f t="shared" si="133"/>
        <v>596.63028431999999</v>
      </c>
      <c r="F18" s="1477">
        <f t="shared" si="134"/>
        <v>274.74220703999998</v>
      </c>
      <c r="G18" s="3278"/>
      <c r="H18" s="1465">
        <v>2</v>
      </c>
      <c r="I18" s="1465">
        <v>3.4</v>
      </c>
      <c r="J18" s="1465">
        <v>2</v>
      </c>
      <c r="K18" s="1465">
        <v>3.82</v>
      </c>
      <c r="L18" s="1479">
        <v>1.68</v>
      </c>
      <c r="M18" s="1471"/>
      <c r="N18" s="1472">
        <f t="shared" si="118"/>
        <v>3.4000000000000002E-2</v>
      </c>
      <c r="O18" s="1473">
        <f t="shared" ref="O18" si="138">J18/100</f>
        <v>0.02</v>
      </c>
      <c r="P18" s="1473">
        <f t="shared" ref="P18" si="139">K18/100</f>
        <v>3.8199999999999998E-2</v>
      </c>
      <c r="Q18" s="1473">
        <f t="shared" ref="Q18" si="140">L18/100</f>
        <v>1.6799999999999999E-2</v>
      </c>
      <c r="R18" s="1474"/>
      <c r="S18" s="1475"/>
      <c r="T18" s="1476"/>
      <c r="U18" s="1476"/>
      <c r="V18" s="1476"/>
      <c r="W18" s="1453"/>
      <c r="X18" s="1780">
        <f>ROUND(SUMPRODUCT(PRODUCT(1+N18:N$30)),4)</f>
        <v>1.3628</v>
      </c>
      <c r="Y18" s="1780">
        <f>ROUND(SUMPRODUCT(PRODUCT(1+O18:O$30)),4)</f>
        <v>1.2205999999999999</v>
      </c>
      <c r="Z18" s="1780">
        <f t="shared" si="0"/>
        <v>1.2205999999999999</v>
      </c>
      <c r="AA18" s="1780">
        <f>ROUND(SUMPRODUCT(PRODUCT(1+P18:P$30)),4)</f>
        <v>1.4118999999999999</v>
      </c>
      <c r="AB18" s="1780">
        <f>ROUND(SUMPRODUCT(PRODUCT(1+Q18:Q$30)),4)</f>
        <v>1.1930000000000001</v>
      </c>
      <c r="AC18" s="1453"/>
      <c r="AD18" s="1781">
        <f>ROUND(AVERAGE(I18:I$31)/100,4)</f>
        <v>2.46E-2</v>
      </c>
      <c r="AE18" s="1781">
        <f>ROUND(AVERAGE(J18:J$31)/100,4)</f>
        <v>1.6E-2</v>
      </c>
      <c r="AF18" s="1781">
        <f t="shared" si="1"/>
        <v>1.6E-2</v>
      </c>
      <c r="AG18" s="1781">
        <f>ROUND(AVERAGE(K18:K$31)/100,4)</f>
        <v>2.75E-2</v>
      </c>
      <c r="AH18" s="1781">
        <f>ROUND(AVERAGE(L18:L$31)/100,4)</f>
        <v>1.37E-2</v>
      </c>
    </row>
    <row r="19" spans="1:34" s="1466" customFormat="1" ht="15" customHeight="1" thickBot="1">
      <c r="A19" s="1461" t="s">
        <v>1156</v>
      </c>
      <c r="B19" s="1477">
        <f>B20*(1+N19)</f>
        <v>405.524</v>
      </c>
      <c r="C19" s="1477">
        <f>C20*(1+O19)</f>
        <v>307.79840000000002</v>
      </c>
      <c r="D19" s="1477">
        <f>C19</f>
        <v>307.79840000000002</v>
      </c>
      <c r="E19" s="1477">
        <f>E20*(1+P19)</f>
        <v>574.67759999999998</v>
      </c>
      <c r="F19" s="1477">
        <f>F20*(1+Q19)</f>
        <v>270.20280000000002</v>
      </c>
      <c r="G19" s="3287"/>
      <c r="H19" s="1464">
        <v>1</v>
      </c>
      <c r="I19" s="1464">
        <v>3.45</v>
      </c>
      <c r="J19" s="1464">
        <v>1.92</v>
      </c>
      <c r="K19" s="1464">
        <v>3.92</v>
      </c>
      <c r="L19" s="1478">
        <v>1.58</v>
      </c>
      <c r="M19" s="1471"/>
      <c r="N19" s="1472">
        <f t="shared" si="118"/>
        <v>3.4500000000000003E-2</v>
      </c>
      <c r="O19" s="1473">
        <f t="shared" ref="O19:Q34" si="141">J19/100</f>
        <v>1.9199999999999998E-2</v>
      </c>
      <c r="P19" s="1473">
        <f t="shared" si="141"/>
        <v>3.9199999999999999E-2</v>
      </c>
      <c r="Q19" s="1473">
        <f t="shared" si="141"/>
        <v>1.5800000000000002E-2</v>
      </c>
      <c r="R19" s="1474"/>
      <c r="S19" s="1472">
        <f>B19/B20-1</f>
        <v>3.4499999999999975E-2</v>
      </c>
      <c r="T19" s="1473">
        <f t="shared" ref="T19:V19" si="142">C19/C20-1</f>
        <v>1.9200000000000106E-2</v>
      </c>
      <c r="U19" s="1473">
        <f t="shared" si="142"/>
        <v>1.9200000000000106E-2</v>
      </c>
      <c r="V19" s="1473">
        <f t="shared" si="142"/>
        <v>3.9199999999999902E-2</v>
      </c>
      <c r="W19" s="1782"/>
      <c r="X19" s="1780">
        <f>ROUND(SUMPRODUCT(PRODUCT(1+N19:N$30)),4)</f>
        <v>1.3180000000000001</v>
      </c>
      <c r="Y19" s="1780">
        <f>ROUND(SUMPRODUCT(PRODUCT(1+O19:O$30)),4)</f>
        <v>1.1966000000000001</v>
      </c>
      <c r="Z19" s="1780">
        <f t="shared" si="0"/>
        <v>1.1966000000000001</v>
      </c>
      <c r="AA19" s="1780">
        <f>ROUND(SUMPRODUCT(PRODUCT(1+P19:P$30)),4)</f>
        <v>1.36</v>
      </c>
      <c r="AB19" s="1780">
        <f>ROUND(SUMPRODUCT(PRODUCT(1+Q19:Q$30)),4)</f>
        <v>1.1733</v>
      </c>
      <c r="AC19" s="1782"/>
      <c r="AD19" s="1781">
        <f>ROUND(AVERAGE(I19:I$31)/100,4)</f>
        <v>2.3900000000000001E-2</v>
      </c>
      <c r="AE19" s="1781">
        <f>ROUND(AVERAGE(J19:J$31)/100,4)</f>
        <v>1.5699999999999999E-2</v>
      </c>
      <c r="AF19" s="1781">
        <f t="shared" si="1"/>
        <v>1.5699999999999999E-2</v>
      </c>
      <c r="AG19" s="1781">
        <f>ROUND(AVERAGE(K19:K$31)/100,4)</f>
        <v>2.6599999999999999E-2</v>
      </c>
      <c r="AH19" s="1781">
        <f>ROUND(AVERAGE(L19:L$31)/100,4)</f>
        <v>1.34E-2</v>
      </c>
    </row>
    <row r="20" spans="1:34">
      <c r="A20" s="1461" t="s">
        <v>154</v>
      </c>
      <c r="B20" s="1469">
        <v>392</v>
      </c>
      <c r="C20" s="1469">
        <v>302</v>
      </c>
      <c r="D20" s="1469">
        <f>C20</f>
        <v>302</v>
      </c>
      <c r="E20" s="1469">
        <v>553</v>
      </c>
      <c r="F20" s="1470">
        <v>266</v>
      </c>
      <c r="G20" s="3283">
        <v>2016</v>
      </c>
      <c r="H20" s="1462">
        <v>4</v>
      </c>
      <c r="I20" s="1462">
        <v>4.5599999999999996</v>
      </c>
      <c r="J20" s="1462">
        <v>2.15</v>
      </c>
      <c r="K20" s="1462">
        <v>5.32</v>
      </c>
      <c r="L20" s="1463">
        <v>1.57</v>
      </c>
      <c r="N20" s="1472">
        <f t="shared" si="118"/>
        <v>4.5599999999999995E-2</v>
      </c>
      <c r="O20" s="1473">
        <f t="shared" si="141"/>
        <v>2.1499999999999998E-2</v>
      </c>
      <c r="P20" s="1473">
        <f t="shared" si="141"/>
        <v>5.3200000000000004E-2</v>
      </c>
      <c r="Q20" s="1473">
        <f t="shared" si="141"/>
        <v>1.5700000000000002E-2</v>
      </c>
      <c r="R20" s="1474"/>
      <c r="S20" s="1475"/>
      <c r="T20" s="1476"/>
      <c r="U20" s="1476"/>
      <c r="V20" s="1476"/>
      <c r="X20" s="1459">
        <f>ROUND(SUMPRODUCT(PRODUCT(1+N20:N$30)),4)</f>
        <v>1.274</v>
      </c>
      <c r="Y20" s="1459">
        <f>ROUND(SUMPRODUCT(PRODUCT(1+O20:O$30)),4)</f>
        <v>1.1740999999999999</v>
      </c>
      <c r="Z20" s="1459">
        <f t="shared" si="0"/>
        <v>1.1740999999999999</v>
      </c>
      <c r="AA20" s="1459">
        <f>ROUND(SUMPRODUCT(PRODUCT(1+P20:P$30)),4)</f>
        <v>1.3087</v>
      </c>
      <c r="AB20" s="1459">
        <f>ROUND(SUMPRODUCT(PRODUCT(1+Q20:Q$30)),4)</f>
        <v>1.1551</v>
      </c>
      <c r="AD20" s="1460">
        <f>ROUND(AVERAGE(I20:I$31)/100,4)</f>
        <v>2.3E-2</v>
      </c>
      <c r="AE20" s="1460">
        <f>ROUND(AVERAGE(J20:J$31)/100,4)</f>
        <v>1.55E-2</v>
      </c>
      <c r="AF20" s="1460">
        <f t="shared" si="1"/>
        <v>1.55E-2</v>
      </c>
      <c r="AG20" s="1460">
        <f>ROUND(AVERAGE(K20:K$31)/100,4)</f>
        <v>2.5600000000000001E-2</v>
      </c>
      <c r="AH20" s="1460">
        <f>ROUND(AVERAGE(L20:L$31)/100,4)</f>
        <v>1.32E-2</v>
      </c>
    </row>
    <row r="21" spans="1:34">
      <c r="A21" s="1461" t="s">
        <v>153</v>
      </c>
      <c r="B21" s="1477">
        <f t="shared" ref="B21:C23" si="143">B20/(1+N20)</f>
        <v>374.90436113236416</v>
      </c>
      <c r="C21" s="1477">
        <f t="shared" si="143"/>
        <v>295.64366128242779</v>
      </c>
      <c r="D21" s="1477">
        <f t="shared" ref="D21:D80" si="144">C21</f>
        <v>295.64366128242779</v>
      </c>
      <c r="E21" s="1477">
        <f t="shared" ref="E21:F23" si="145">E20/(1+P20)</f>
        <v>525.06646410938095</v>
      </c>
      <c r="F21" s="1477">
        <f t="shared" si="145"/>
        <v>261.88835286009646</v>
      </c>
      <c r="G21" s="3278"/>
      <c r="H21" s="1464">
        <v>3</v>
      </c>
      <c r="I21" s="1464">
        <v>4.12</v>
      </c>
      <c r="J21" s="1464">
        <v>2</v>
      </c>
      <c r="K21" s="1464">
        <v>4.79</v>
      </c>
      <c r="L21" s="1478">
        <v>1.97</v>
      </c>
      <c r="N21" s="1472">
        <f t="shared" ref="N21:Q55" si="146">I21/100</f>
        <v>4.1200000000000001E-2</v>
      </c>
      <c r="O21" s="1473">
        <f t="shared" si="141"/>
        <v>0.02</v>
      </c>
      <c r="P21" s="1473">
        <f t="shared" si="141"/>
        <v>4.7899999999999998E-2</v>
      </c>
      <c r="Q21" s="1473">
        <f t="shared" si="141"/>
        <v>1.9699999999999999E-2</v>
      </c>
      <c r="R21" s="1474"/>
      <c r="S21" s="1472"/>
      <c r="T21" s="1473"/>
      <c r="U21" s="1473"/>
      <c r="V21" s="1473"/>
      <c r="X21" s="1459">
        <f>ROUND(SUMPRODUCT(PRODUCT(1+N21:N$30)),4)</f>
        <v>1.2184999999999999</v>
      </c>
      <c r="Y21" s="1459">
        <f>ROUND(SUMPRODUCT(PRODUCT(1+O21:O$30)),4)</f>
        <v>1.1494</v>
      </c>
      <c r="Z21" s="1459">
        <f t="shared" si="0"/>
        <v>1.1494</v>
      </c>
      <c r="AA21" s="1459">
        <f>ROUND(SUMPRODUCT(PRODUCT(1+P21:P$30)),4)</f>
        <v>1.2425999999999999</v>
      </c>
      <c r="AB21" s="1459">
        <f>ROUND(SUMPRODUCT(PRODUCT(1+Q21:Q$30)),4)</f>
        <v>1.1372</v>
      </c>
      <c r="AD21" s="1460">
        <f>ROUND(AVERAGE(I21:I$31)/100,4)</f>
        <v>2.0899999999999998E-2</v>
      </c>
      <c r="AE21" s="1460">
        <f>ROUND(AVERAGE(J21:J$31)/100,4)</f>
        <v>1.49E-2</v>
      </c>
      <c r="AF21" s="1460">
        <f t="shared" si="1"/>
        <v>1.49E-2</v>
      </c>
      <c r="AG21" s="1460">
        <f>ROUND(AVERAGE(K21:K$31)/100,4)</f>
        <v>2.3099999999999999E-2</v>
      </c>
      <c r="AH21" s="1460">
        <f>ROUND(AVERAGE(L21:L$31)/100,4)</f>
        <v>1.2999999999999999E-2</v>
      </c>
    </row>
    <row r="22" spans="1:34">
      <c r="A22" s="1461" t="s">
        <v>143</v>
      </c>
      <c r="B22" s="1477">
        <f t="shared" si="143"/>
        <v>360.06949782209392</v>
      </c>
      <c r="C22" s="1477">
        <f t="shared" si="143"/>
        <v>289.84672674747821</v>
      </c>
      <c r="D22" s="1477">
        <f t="shared" si="144"/>
        <v>289.84672674747821</v>
      </c>
      <c r="E22" s="1477">
        <f t="shared" si="145"/>
        <v>501.06543001181495</v>
      </c>
      <c r="F22" s="1477">
        <f t="shared" si="145"/>
        <v>256.82882500744967</v>
      </c>
      <c r="G22" s="3278"/>
      <c r="H22" s="1465">
        <v>2</v>
      </c>
      <c r="I22" s="1465">
        <v>3.85</v>
      </c>
      <c r="J22" s="1465">
        <v>1.95</v>
      </c>
      <c r="K22" s="1465">
        <v>4.4800000000000004</v>
      </c>
      <c r="L22" s="1479">
        <v>1.41</v>
      </c>
      <c r="N22" s="1472">
        <f t="shared" si="146"/>
        <v>3.85E-2</v>
      </c>
      <c r="O22" s="1473">
        <f t="shared" si="141"/>
        <v>1.95E-2</v>
      </c>
      <c r="P22" s="1473">
        <f t="shared" si="141"/>
        <v>4.4800000000000006E-2</v>
      </c>
      <c r="Q22" s="1473">
        <f t="shared" si="141"/>
        <v>1.41E-2</v>
      </c>
      <c r="R22" s="1474"/>
      <c r="S22" s="1472"/>
      <c r="T22" s="1473"/>
      <c r="U22" s="1473"/>
      <c r="V22" s="1473"/>
      <c r="X22" s="1459">
        <f>ROUND(SUMPRODUCT(PRODUCT(1+N22:N$30)),4)</f>
        <v>1.1702999999999999</v>
      </c>
      <c r="Y22" s="1459">
        <f>ROUND(SUMPRODUCT(PRODUCT(1+O22:O$30)),4)</f>
        <v>1.1269</v>
      </c>
      <c r="Z22" s="1459">
        <f t="shared" si="0"/>
        <v>1.1269</v>
      </c>
      <c r="AA22" s="1459">
        <f>ROUND(SUMPRODUCT(PRODUCT(1+P22:P$30)),4)</f>
        <v>1.1858</v>
      </c>
      <c r="AB22" s="1459">
        <f>ROUND(SUMPRODUCT(PRODUCT(1+Q22:Q$30)),4)</f>
        <v>1.1152</v>
      </c>
      <c r="AD22" s="1460">
        <f>ROUND(AVERAGE(I22:I$31)/100,4)</f>
        <v>1.89E-2</v>
      </c>
      <c r="AE22" s="1460">
        <f>ROUND(AVERAGE(J22:J$31)/100,4)</f>
        <v>1.44E-2</v>
      </c>
      <c r="AF22" s="1460">
        <f t="shared" si="1"/>
        <v>1.44E-2</v>
      </c>
      <c r="AG22" s="1460">
        <f>ROUND(AVERAGE(K22:K$31)/100,4)</f>
        <v>2.06E-2</v>
      </c>
      <c r="AH22" s="1460">
        <f>ROUND(AVERAGE(L22:L$31)/100,4)</f>
        <v>1.23E-2</v>
      </c>
    </row>
    <row r="23" spans="1:34" ht="13.5" thickBot="1">
      <c r="A23" s="1461" t="s">
        <v>152</v>
      </c>
      <c r="B23" s="1477">
        <f t="shared" si="143"/>
        <v>346.720748986128</v>
      </c>
      <c r="C23" s="1477">
        <f t="shared" si="143"/>
        <v>284.30282172386285</v>
      </c>
      <c r="D23" s="1477">
        <f t="shared" si="144"/>
        <v>284.30282172386285</v>
      </c>
      <c r="E23" s="1477">
        <f t="shared" si="145"/>
        <v>479.58023546306947</v>
      </c>
      <c r="F23" s="1477">
        <f t="shared" si="145"/>
        <v>253.25788877571213</v>
      </c>
      <c r="G23" s="3279"/>
      <c r="H23" s="1464">
        <v>1</v>
      </c>
      <c r="I23" s="1464">
        <v>4.09</v>
      </c>
      <c r="J23" s="1464">
        <v>2.93</v>
      </c>
      <c r="K23" s="1464">
        <v>4.54</v>
      </c>
      <c r="L23" s="1478">
        <v>1.48</v>
      </c>
      <c r="N23" s="1472">
        <f t="shared" si="146"/>
        <v>4.0899999999999999E-2</v>
      </c>
      <c r="O23" s="1473">
        <f t="shared" si="141"/>
        <v>2.9300000000000003E-2</v>
      </c>
      <c r="P23" s="1473">
        <f t="shared" si="141"/>
        <v>4.5400000000000003E-2</v>
      </c>
      <c r="Q23" s="1473">
        <f t="shared" si="141"/>
        <v>1.4800000000000001E-2</v>
      </c>
      <c r="R23" s="1474"/>
      <c r="S23" s="1480">
        <f>B23/B24-1</f>
        <v>4.1203450408792808E-2</v>
      </c>
      <c r="T23" s="1481">
        <f>C23/C24-1</f>
        <v>2.6363977342465095E-2</v>
      </c>
      <c r="U23" s="1481">
        <f>E23/E24-1</f>
        <v>4.4837114298626357E-2</v>
      </c>
      <c r="V23" s="1481">
        <f>F23/F24-1</f>
        <v>1.7099954922538574E-2</v>
      </c>
      <c r="X23" s="1459">
        <f>ROUND(SUMPRODUCT(PRODUCT(1+N23:N$30)),4)</f>
        <v>1.1269</v>
      </c>
      <c r="Y23" s="1459">
        <f>ROUND(SUMPRODUCT(PRODUCT(1+O23:O$30)),4)</f>
        <v>1.1052999999999999</v>
      </c>
      <c r="Z23" s="1459">
        <f t="shared" si="0"/>
        <v>1.1052999999999999</v>
      </c>
      <c r="AA23" s="1459">
        <f>ROUND(SUMPRODUCT(PRODUCT(1+P23:P$30)),4)</f>
        <v>1.1349</v>
      </c>
      <c r="AB23" s="1459">
        <f>ROUND(SUMPRODUCT(PRODUCT(1+Q23:Q$30)),4)</f>
        <v>1.0996999999999999</v>
      </c>
      <c r="AD23" s="1460">
        <f>ROUND(AVERAGE(I23:I$31)/100,4)</f>
        <v>1.67E-2</v>
      </c>
      <c r="AE23" s="1460">
        <f>ROUND(AVERAGE(J23:J$31)/100,4)</f>
        <v>1.38E-2</v>
      </c>
      <c r="AF23" s="1460">
        <f t="shared" si="1"/>
        <v>1.38E-2</v>
      </c>
      <c r="AG23" s="1460">
        <f>ROUND(AVERAGE(K23:K$31)/100,4)</f>
        <v>1.7899999999999999E-2</v>
      </c>
      <c r="AH23" s="1460">
        <f>ROUND(AVERAGE(L23:L$31)/100,4)</f>
        <v>1.21E-2</v>
      </c>
    </row>
    <row r="24" spans="1:34" ht="13.5" thickBot="1">
      <c r="A24" s="1461" t="s">
        <v>151</v>
      </c>
      <c r="B24" s="1469">
        <v>333</v>
      </c>
      <c r="C24" s="1469">
        <v>277</v>
      </c>
      <c r="D24" s="1469">
        <f t="shared" si="144"/>
        <v>277</v>
      </c>
      <c r="E24" s="1469">
        <v>459</v>
      </c>
      <c r="F24" s="1470">
        <v>249</v>
      </c>
      <c r="G24" s="3277">
        <v>2015</v>
      </c>
      <c r="H24" s="1482">
        <v>4</v>
      </c>
      <c r="I24" s="1482">
        <v>1.63</v>
      </c>
      <c r="J24" s="1482">
        <v>1.1100000000000001</v>
      </c>
      <c r="K24" s="1482">
        <v>1.77</v>
      </c>
      <c r="L24" s="1483">
        <v>1.89</v>
      </c>
      <c r="N24" s="1484">
        <f t="shared" si="146"/>
        <v>1.6299999999999999E-2</v>
      </c>
      <c r="O24" s="1485">
        <f t="shared" si="141"/>
        <v>1.11E-2</v>
      </c>
      <c r="P24" s="1485">
        <f t="shared" si="141"/>
        <v>1.77E-2</v>
      </c>
      <c r="Q24" s="1485">
        <f t="shared" si="141"/>
        <v>1.89E-2</v>
      </c>
      <c r="R24" s="1474"/>
      <c r="X24" s="1459">
        <f>ROUND(SUMPRODUCT(PRODUCT(1+N24:N$30)),4)</f>
        <v>1.0826</v>
      </c>
      <c r="Y24" s="1459">
        <f>ROUND(SUMPRODUCT(PRODUCT(1+O24:O$30)),4)</f>
        <v>1.0738000000000001</v>
      </c>
      <c r="Z24" s="1459">
        <f t="shared" si="0"/>
        <v>1.0738000000000001</v>
      </c>
      <c r="AA24" s="1459">
        <f>ROUND(SUMPRODUCT(PRODUCT(1+P24:P$30)),4)</f>
        <v>1.0855999999999999</v>
      </c>
      <c r="AB24" s="1459">
        <f>ROUND(SUMPRODUCT(PRODUCT(1+Q24:Q$30)),4)</f>
        <v>1.0837000000000001</v>
      </c>
      <c r="AD24" s="1460">
        <f>ROUND(AVERAGE(I24:I$31)/100,4)</f>
        <v>1.37E-2</v>
      </c>
      <c r="AE24" s="1460">
        <f>ROUND(AVERAGE(J24:J$31)/100,4)</f>
        <v>1.1900000000000001E-2</v>
      </c>
      <c r="AF24" s="1460">
        <f t="shared" si="1"/>
        <v>1.1900000000000001E-2</v>
      </c>
      <c r="AG24" s="1460">
        <f>ROUND(AVERAGE(K24:K$31)/100,4)</f>
        <v>1.4500000000000001E-2</v>
      </c>
      <c r="AH24" s="1460">
        <f>ROUND(AVERAGE(L24:L$31)/100,4)</f>
        <v>1.18E-2</v>
      </c>
    </row>
    <row r="25" spans="1:34">
      <c r="A25" s="1461" t="s">
        <v>150</v>
      </c>
      <c r="B25" s="1477">
        <f t="shared" ref="B25:C27" si="147">B24/(1+N24)</f>
        <v>327.65915576109415</v>
      </c>
      <c r="C25" s="1477">
        <f t="shared" si="147"/>
        <v>273.95905449510434</v>
      </c>
      <c r="D25" s="1477">
        <f t="shared" si="144"/>
        <v>273.95905449510434</v>
      </c>
      <c r="E25" s="1477">
        <f t="shared" ref="E25:F27" si="148">E24/(1+P24)</f>
        <v>451.01699911565294</v>
      </c>
      <c r="F25" s="1477">
        <f t="shared" si="148"/>
        <v>244.38119540681129</v>
      </c>
      <c r="G25" s="3278"/>
      <c r="H25" s="1487">
        <v>3</v>
      </c>
      <c r="I25" s="1487">
        <v>1.65</v>
      </c>
      <c r="J25" s="1487">
        <v>0.92</v>
      </c>
      <c r="K25" s="1487">
        <v>1.88</v>
      </c>
      <c r="L25" s="1488">
        <v>1.26</v>
      </c>
      <c r="N25" s="1472">
        <f t="shared" si="146"/>
        <v>1.6500000000000001E-2</v>
      </c>
      <c r="O25" s="1489">
        <f t="shared" si="141"/>
        <v>9.1999999999999998E-3</v>
      </c>
      <c r="P25" s="1489">
        <f t="shared" si="141"/>
        <v>1.8799999999999997E-2</v>
      </c>
      <c r="Q25" s="1489">
        <f t="shared" si="141"/>
        <v>1.26E-2</v>
      </c>
      <c r="R25" s="1474"/>
      <c r="S25" s="1472"/>
      <c r="T25" s="1473"/>
      <c r="U25" s="1473"/>
      <c r="V25" s="1473"/>
      <c r="X25" s="1459">
        <f>ROUND(SUMPRODUCT(PRODUCT(1+N25:N$30)),4)</f>
        <v>1.0651999999999999</v>
      </c>
      <c r="Y25" s="1459">
        <f>ROUND(SUMPRODUCT(PRODUCT(1+O25:O$30)),4)</f>
        <v>1.0621</v>
      </c>
      <c r="Z25" s="1459">
        <f t="shared" si="0"/>
        <v>1.0621</v>
      </c>
      <c r="AA25" s="1459">
        <f>ROUND(SUMPRODUCT(PRODUCT(1+P25:P$30)),4)</f>
        <v>1.0668</v>
      </c>
      <c r="AB25" s="1459">
        <f>ROUND(SUMPRODUCT(PRODUCT(1+Q25:Q$30)),4)</f>
        <v>1.0636000000000001</v>
      </c>
      <c r="AD25" s="1460">
        <f>ROUND(AVERAGE(I25:I$31)/100,4)</f>
        <v>1.3299999999999999E-2</v>
      </c>
      <c r="AE25" s="1460">
        <f>ROUND(AVERAGE(J25:J$31)/100,4)</f>
        <v>1.2E-2</v>
      </c>
      <c r="AF25" s="1460">
        <f t="shared" si="1"/>
        <v>1.2E-2</v>
      </c>
      <c r="AG25" s="1460">
        <f>ROUND(AVERAGE(K25:K$31)/100,4)</f>
        <v>1.4E-2</v>
      </c>
      <c r="AH25" s="1460">
        <f>ROUND(AVERAGE(L25:L$31)/100,4)</f>
        <v>1.0800000000000001E-2</v>
      </c>
    </row>
    <row r="26" spans="1:34">
      <c r="A26" s="1461" t="s">
        <v>149</v>
      </c>
      <c r="B26" s="1477">
        <f t="shared" si="147"/>
        <v>322.34053690220776</v>
      </c>
      <c r="C26" s="1477">
        <f t="shared" si="147"/>
        <v>271.46160770422546</v>
      </c>
      <c r="D26" s="1477">
        <f t="shared" si="144"/>
        <v>271.46160770422546</v>
      </c>
      <c r="E26" s="1477">
        <f t="shared" si="148"/>
        <v>442.69434542172456</v>
      </c>
      <c r="F26" s="1477">
        <f t="shared" si="148"/>
        <v>241.34030753190925</v>
      </c>
      <c r="G26" s="3278"/>
      <c r="H26" s="1465">
        <v>2</v>
      </c>
      <c r="I26" s="1465">
        <v>0.77</v>
      </c>
      <c r="J26" s="1465">
        <v>0.69</v>
      </c>
      <c r="K26" s="1465">
        <v>0.8</v>
      </c>
      <c r="L26" s="1479">
        <v>0.88</v>
      </c>
      <c r="N26" s="1472">
        <f t="shared" si="146"/>
        <v>7.7000000000000002E-3</v>
      </c>
      <c r="O26" s="1489">
        <f t="shared" si="141"/>
        <v>6.8999999999999999E-3</v>
      </c>
      <c r="P26" s="1489">
        <f t="shared" si="141"/>
        <v>8.0000000000000002E-3</v>
      </c>
      <c r="Q26" s="1489">
        <f t="shared" si="141"/>
        <v>8.8000000000000005E-3</v>
      </c>
      <c r="R26" s="1474"/>
      <c r="S26" s="1472"/>
      <c r="T26" s="1473"/>
      <c r="U26" s="1473"/>
      <c r="V26" s="1473"/>
      <c r="X26" s="1459">
        <f>ROUND(SUMPRODUCT(PRODUCT(1+N26:N$30)),4)</f>
        <v>1.048</v>
      </c>
      <c r="Y26" s="1459">
        <f>ROUND(SUMPRODUCT(PRODUCT(1+O26:O$30)),4)</f>
        <v>1.0524</v>
      </c>
      <c r="Z26" s="1459">
        <f t="shared" si="0"/>
        <v>1.0524</v>
      </c>
      <c r="AA26" s="1459">
        <f>ROUND(SUMPRODUCT(PRODUCT(1+P26:P$30)),4)</f>
        <v>1.0470999999999999</v>
      </c>
      <c r="AB26" s="1459">
        <f>ROUND(SUMPRODUCT(PRODUCT(1+Q26:Q$30)),4)</f>
        <v>1.0504</v>
      </c>
      <c r="AD26" s="1460">
        <f>ROUND(AVERAGE(I26:I$31)/100,4)</f>
        <v>1.2800000000000001E-2</v>
      </c>
      <c r="AE26" s="1460">
        <f>ROUND(AVERAGE(J26:J$31)/100,4)</f>
        <v>1.2500000000000001E-2</v>
      </c>
      <c r="AF26" s="1460">
        <f t="shared" si="1"/>
        <v>1.2500000000000001E-2</v>
      </c>
      <c r="AG26" s="1460">
        <f>ROUND(AVERAGE(K26:K$31)/100,4)</f>
        <v>1.32E-2</v>
      </c>
      <c r="AH26" s="1460">
        <f>ROUND(AVERAGE(L26:L$31)/100,4)</f>
        <v>1.0500000000000001E-2</v>
      </c>
    </row>
    <row r="27" spans="1:34">
      <c r="A27" s="1461" t="s">
        <v>148</v>
      </c>
      <c r="B27" s="1477">
        <f t="shared" si="147"/>
        <v>319.87748030386797</v>
      </c>
      <c r="C27" s="1477">
        <f t="shared" si="147"/>
        <v>269.60135833173649</v>
      </c>
      <c r="D27" s="1477">
        <f t="shared" si="144"/>
        <v>269.60135833173649</v>
      </c>
      <c r="E27" s="1477">
        <f t="shared" si="148"/>
        <v>439.18089823583784</v>
      </c>
      <c r="F27" s="1477">
        <f t="shared" si="148"/>
        <v>239.23503918706311</v>
      </c>
      <c r="G27" s="3279"/>
      <c r="H27" s="1464">
        <v>1</v>
      </c>
      <c r="I27" s="1464">
        <v>0.51</v>
      </c>
      <c r="J27" s="1464">
        <v>0.54</v>
      </c>
      <c r="K27" s="1464">
        <v>0.48</v>
      </c>
      <c r="L27" s="1478">
        <v>0.93</v>
      </c>
      <c r="N27" s="1480">
        <f t="shared" si="146"/>
        <v>5.1000000000000004E-3</v>
      </c>
      <c r="O27" s="1481">
        <f t="shared" si="141"/>
        <v>5.4000000000000003E-3</v>
      </c>
      <c r="P27" s="1481">
        <f t="shared" si="141"/>
        <v>4.7999999999999996E-3</v>
      </c>
      <c r="Q27" s="1481">
        <f t="shared" si="141"/>
        <v>9.300000000000001E-3</v>
      </c>
      <c r="R27" s="1474"/>
      <c r="S27" s="1480">
        <f>B27/B28-1</f>
        <v>5.9040261127922822E-3</v>
      </c>
      <c r="T27" s="1481">
        <f>C27/C28-1</f>
        <v>5.9752176557332781E-3</v>
      </c>
      <c r="U27" s="1481">
        <f>E27/E28-1</f>
        <v>4.9906138119859556E-3</v>
      </c>
      <c r="V27" s="1481">
        <f>F27/F28-1</f>
        <v>9.4305450930933787E-3</v>
      </c>
      <c r="X27" s="1459">
        <f>ROUND(SUMPRODUCT(PRODUCT(1+N27:N$30)),4)</f>
        <v>1.0399</v>
      </c>
      <c r="Y27" s="1459">
        <f>ROUND(SUMPRODUCT(PRODUCT(1+O27:O$30)),4)</f>
        <v>1.0451999999999999</v>
      </c>
      <c r="Z27" s="1459">
        <f t="shared" si="0"/>
        <v>1.0451999999999999</v>
      </c>
      <c r="AA27" s="1459">
        <f>ROUND(SUMPRODUCT(PRODUCT(1+P27:P$30)),4)</f>
        <v>1.0387999999999999</v>
      </c>
      <c r="AB27" s="1459">
        <f>ROUND(SUMPRODUCT(PRODUCT(1+Q27:Q$30)),4)</f>
        <v>1.0411999999999999</v>
      </c>
      <c r="AD27" s="1460">
        <f>ROUND(AVERAGE(I27:I$31)/100,4)</f>
        <v>1.38E-2</v>
      </c>
      <c r="AE27" s="1460">
        <f>ROUND(AVERAGE(J27:J$31)/100,4)</f>
        <v>1.3599999999999999E-2</v>
      </c>
      <c r="AF27" s="1460">
        <f t="shared" si="1"/>
        <v>1.3599999999999999E-2</v>
      </c>
      <c r="AG27" s="1460">
        <f>ROUND(AVERAGE(K27:K$31)/100,4)</f>
        <v>1.4200000000000001E-2</v>
      </c>
      <c r="AH27" s="1460">
        <f>ROUND(AVERAGE(L27:L$31)/100,4)</f>
        <v>1.0800000000000001E-2</v>
      </c>
    </row>
    <row r="28" spans="1:34" ht="13.5" thickBot="1">
      <c r="A28" s="1461" t="s">
        <v>147</v>
      </c>
      <c r="B28" s="1490">
        <v>318</v>
      </c>
      <c r="C28" s="1490">
        <v>268</v>
      </c>
      <c r="D28" s="1490">
        <f t="shared" si="144"/>
        <v>268</v>
      </c>
      <c r="E28" s="1490">
        <v>437</v>
      </c>
      <c r="F28" s="1491">
        <v>237</v>
      </c>
      <c r="G28" s="3277">
        <v>2014</v>
      </c>
      <c r="H28" s="1482">
        <v>4</v>
      </c>
      <c r="I28" s="1482">
        <v>0.21</v>
      </c>
      <c r="J28" s="1482">
        <v>0.41</v>
      </c>
      <c r="K28" s="1482">
        <v>0.12</v>
      </c>
      <c r="L28" s="1483">
        <v>0.89</v>
      </c>
      <c r="N28" s="1472">
        <f t="shared" si="146"/>
        <v>2.0999999999999999E-3</v>
      </c>
      <c r="O28" s="1473">
        <f t="shared" si="141"/>
        <v>4.0999999999999995E-3</v>
      </c>
      <c r="P28" s="1473">
        <f t="shared" si="141"/>
        <v>1.1999999999999999E-3</v>
      </c>
      <c r="Q28" s="1473">
        <f t="shared" si="141"/>
        <v>8.8999999999999999E-3</v>
      </c>
      <c r="R28" s="1474"/>
      <c r="S28" s="1475"/>
      <c r="T28" s="1476"/>
      <c r="U28" s="1476"/>
      <c r="V28" s="1476"/>
      <c r="X28" s="1459">
        <f>ROUND(SUMPRODUCT(PRODUCT(1+N28:N$30)),4)</f>
        <v>1.0347</v>
      </c>
      <c r="Y28" s="1459">
        <f>ROUND(SUMPRODUCT(PRODUCT(1+O28:O$30)),4)</f>
        <v>1.0395000000000001</v>
      </c>
      <c r="Z28" s="1459">
        <f t="shared" si="0"/>
        <v>1.0395000000000001</v>
      </c>
      <c r="AA28" s="1459">
        <f>ROUND(SUMPRODUCT(PRODUCT(1+P28:P$30)),4)</f>
        <v>1.0338000000000001</v>
      </c>
      <c r="AB28" s="1459">
        <f>ROUND(SUMPRODUCT(PRODUCT(1+Q28:Q$30)),4)</f>
        <v>1.0316000000000001</v>
      </c>
      <c r="AD28" s="1460">
        <f>ROUND(AVERAGE(I28:I$31)/100,4)</f>
        <v>1.6E-2</v>
      </c>
      <c r="AE28" s="1460">
        <f>ROUND(AVERAGE(J28:J$31)/100,4)</f>
        <v>1.5599999999999999E-2</v>
      </c>
      <c r="AF28" s="1460">
        <f t="shared" si="1"/>
        <v>1.5599999999999999E-2</v>
      </c>
      <c r="AG28" s="1460">
        <f>ROUND(AVERAGE(K28:K$31)/100,4)</f>
        <v>1.66E-2</v>
      </c>
      <c r="AH28" s="1460">
        <f>ROUND(AVERAGE(L28:L$31)/100,4)</f>
        <v>1.12E-2</v>
      </c>
    </row>
    <row r="29" spans="1:34">
      <c r="A29" s="1461" t="s">
        <v>146</v>
      </c>
      <c r="B29" s="1477">
        <f t="shared" ref="B29:C31" si="149">B28/(1+N28)</f>
        <v>317.33359944117353</v>
      </c>
      <c r="C29" s="1477">
        <f t="shared" si="149"/>
        <v>266.90568668459315</v>
      </c>
      <c r="D29" s="1477">
        <f t="shared" si="144"/>
        <v>266.90568668459315</v>
      </c>
      <c r="E29" s="1477">
        <f t="shared" ref="E29:F31" si="150">E28/(1+P28)</f>
        <v>436.47622852576905</v>
      </c>
      <c r="F29" s="1477">
        <f t="shared" si="150"/>
        <v>234.90930716622066</v>
      </c>
      <c r="G29" s="3278"/>
      <c r="H29" s="1492">
        <v>3</v>
      </c>
      <c r="I29" s="1492">
        <v>0.83</v>
      </c>
      <c r="J29" s="1492">
        <v>1.47</v>
      </c>
      <c r="K29" s="1492">
        <v>0.65</v>
      </c>
      <c r="L29" s="1493">
        <v>0.72</v>
      </c>
      <c r="N29" s="1472">
        <f t="shared" si="146"/>
        <v>8.3000000000000001E-3</v>
      </c>
      <c r="O29" s="1473">
        <f t="shared" si="141"/>
        <v>1.47E-2</v>
      </c>
      <c r="P29" s="1473">
        <f t="shared" si="141"/>
        <v>6.5000000000000006E-3</v>
      </c>
      <c r="Q29" s="1473">
        <f t="shared" si="141"/>
        <v>7.1999999999999998E-3</v>
      </c>
      <c r="R29" s="1474"/>
      <c r="S29" s="1472"/>
      <c r="T29" s="1473"/>
      <c r="U29" s="1473"/>
      <c r="V29" s="1473"/>
      <c r="X29" s="1459">
        <f>ROUND(SUMPRODUCT(PRODUCT(1+N29:N$30)),4)</f>
        <v>1.0325</v>
      </c>
      <c r="Y29" s="1459">
        <f>ROUND(SUMPRODUCT(PRODUCT(1+O29:O$30)),4)</f>
        <v>1.0353000000000001</v>
      </c>
      <c r="Z29" s="1459">
        <f t="shared" ref="Z29:Z30" si="151">Y29</f>
        <v>1.0353000000000001</v>
      </c>
      <c r="AA29" s="1459">
        <f>ROUND(SUMPRODUCT(PRODUCT(1+P29:P$30)),4)</f>
        <v>1.0326</v>
      </c>
      <c r="AB29" s="1459">
        <f>ROUND(SUMPRODUCT(PRODUCT(1+Q29:Q$30)),4)</f>
        <v>1.0225</v>
      </c>
      <c r="AD29" s="1460">
        <f>ROUND(AVERAGE(I29:I$31)/100,4)</f>
        <v>2.07E-2</v>
      </c>
      <c r="AE29" s="1460">
        <f>ROUND(AVERAGE(J29:J$31)/100,4)</f>
        <v>1.95E-2</v>
      </c>
      <c r="AF29" s="1460">
        <f t="shared" si="1"/>
        <v>1.95E-2</v>
      </c>
      <c r="AG29" s="1460">
        <f>ROUND(AVERAGE(K29:K$31)/100,4)</f>
        <v>2.1700000000000001E-2</v>
      </c>
      <c r="AH29" s="1460">
        <f>ROUND(AVERAGE(L29:L$31)/100,4)</f>
        <v>1.2E-2</v>
      </c>
    </row>
    <row r="30" spans="1:34" ht="13.5" thickBot="1">
      <c r="A30" s="1461" t="s">
        <v>145</v>
      </c>
      <c r="B30" s="1477">
        <f t="shared" si="149"/>
        <v>314.72141172386546</v>
      </c>
      <c r="C30" s="1477">
        <f t="shared" si="149"/>
        <v>263.03901319069001</v>
      </c>
      <c r="D30" s="1477">
        <f t="shared" si="144"/>
        <v>263.03901319069001</v>
      </c>
      <c r="E30" s="1477">
        <f t="shared" si="150"/>
        <v>433.65745506782821</v>
      </c>
      <c r="F30" s="1477">
        <f t="shared" si="150"/>
        <v>233.23005080045735</v>
      </c>
      <c r="G30" s="3278"/>
      <c r="H30" s="1482">
        <v>2</v>
      </c>
      <c r="I30" s="1482">
        <v>2.4</v>
      </c>
      <c r="J30" s="1482">
        <v>2.0299999999999998</v>
      </c>
      <c r="K30" s="1482">
        <v>2.59</v>
      </c>
      <c r="L30" s="1483">
        <v>1.52</v>
      </c>
      <c r="N30" s="1472">
        <f t="shared" si="146"/>
        <v>2.4E-2</v>
      </c>
      <c r="O30" s="1473">
        <f t="shared" si="141"/>
        <v>2.0299999999999999E-2</v>
      </c>
      <c r="P30" s="1473">
        <f t="shared" si="141"/>
        <v>2.5899999999999999E-2</v>
      </c>
      <c r="Q30" s="1473">
        <f t="shared" si="141"/>
        <v>1.52E-2</v>
      </c>
      <c r="R30" s="1474"/>
      <c r="S30" s="1472"/>
      <c r="T30" s="1473"/>
      <c r="U30" s="1473"/>
      <c r="V30" s="1473"/>
      <c r="X30" s="1459">
        <f>1+N30</f>
        <v>1.024</v>
      </c>
      <c r="Y30" s="1459">
        <f>1+O30</f>
        <v>1.0203</v>
      </c>
      <c r="Z30" s="1459">
        <f t="shared" si="151"/>
        <v>1.0203</v>
      </c>
      <c r="AA30" s="1459">
        <f>1+P30</f>
        <v>1.0259</v>
      </c>
      <c r="AB30" s="1459">
        <f>1+Q30</f>
        <v>1.0152000000000001</v>
      </c>
      <c r="AD30" s="1460">
        <f>ROUND(AVERAGE(I30:I$31)/100,4)</f>
        <v>2.69E-2</v>
      </c>
      <c r="AE30" s="1460">
        <f>ROUND(AVERAGE(J30:J$31)/100,4)</f>
        <v>2.1899999999999999E-2</v>
      </c>
      <c r="AF30" s="1460">
        <f t="shared" ref="AF30" si="152">AE30</f>
        <v>2.1899999999999999E-2</v>
      </c>
      <c r="AG30" s="1460">
        <f>ROUND(AVERAGE(K30:K$31)/100,4)</f>
        <v>2.9399999999999999E-2</v>
      </c>
      <c r="AH30" s="1460">
        <f>ROUND(AVERAGE(L30:L$31)/100,4)</f>
        <v>1.44E-2</v>
      </c>
    </row>
    <row r="31" spans="1:34" s="1498" customFormat="1" ht="13.5" thickBot="1">
      <c r="A31" s="1494" t="s">
        <v>144</v>
      </c>
      <c r="B31" s="1495">
        <f t="shared" si="149"/>
        <v>307.34512863658733</v>
      </c>
      <c r="C31" s="1495">
        <f t="shared" si="149"/>
        <v>257.80556031626975</v>
      </c>
      <c r="D31" s="1495">
        <f t="shared" si="144"/>
        <v>257.80556031626975</v>
      </c>
      <c r="E31" s="1495">
        <f t="shared" si="150"/>
        <v>422.70928459677179</v>
      </c>
      <c r="F31" s="1495">
        <f t="shared" si="150"/>
        <v>229.73803270336617</v>
      </c>
      <c r="G31" s="3279"/>
      <c r="H31" s="1496">
        <v>1</v>
      </c>
      <c r="I31" s="1496">
        <v>2.97</v>
      </c>
      <c r="J31" s="1496">
        <v>2.34</v>
      </c>
      <c r="K31" s="1496">
        <v>3.28</v>
      </c>
      <c r="L31" s="1497">
        <v>1.36</v>
      </c>
      <c r="N31" s="1499">
        <f t="shared" si="146"/>
        <v>2.9700000000000001E-2</v>
      </c>
      <c r="O31" s="1500">
        <f t="shared" si="141"/>
        <v>2.3399999999999997E-2</v>
      </c>
      <c r="P31" s="1500">
        <f t="shared" si="141"/>
        <v>3.2799999999999996E-2</v>
      </c>
      <c r="Q31" s="1500">
        <f t="shared" si="141"/>
        <v>1.3600000000000001E-2</v>
      </c>
      <c r="R31" s="1501"/>
      <c r="S31" s="1502">
        <f>B31/B32-1</f>
        <v>2.7910129219355539E-2</v>
      </c>
      <c r="T31" s="1503">
        <f>C31/C32-1</f>
        <v>2.3037937762975247E-2</v>
      </c>
      <c r="U31" s="1503">
        <f>E31/E32-1</f>
        <v>3.3519033243940788E-2</v>
      </c>
      <c r="V31" s="1503">
        <f>F31/F32-1</f>
        <v>1.2061818076502862E-2</v>
      </c>
      <c r="W31" s="1504" t="s">
        <v>1157</v>
      </c>
      <c r="X31" s="1505">
        <v>1</v>
      </c>
      <c r="Y31" s="1505">
        <v>1</v>
      </c>
      <c r="Z31" s="1505">
        <v>1</v>
      </c>
      <c r="AA31" s="1505">
        <v>1</v>
      </c>
      <c r="AB31" s="1505">
        <v>1</v>
      </c>
      <c r="AD31" s="1727">
        <f>I31/100</f>
        <v>2.9700000000000001E-2</v>
      </c>
      <c r="AE31" s="1727">
        <f>J31/100</f>
        <v>2.3399999999999997E-2</v>
      </c>
      <c r="AF31" s="1727">
        <f>AE31</f>
        <v>2.3399999999999997E-2</v>
      </c>
      <c r="AG31" s="1727">
        <f>K31/100</f>
        <v>3.2799999999999996E-2</v>
      </c>
      <c r="AH31" s="1727">
        <f>L31/100</f>
        <v>1.3600000000000001E-2</v>
      </c>
    </row>
    <row r="32" spans="1:34" ht="13.5" thickBot="1">
      <c r="A32" s="1461" t="s">
        <v>1158</v>
      </c>
      <c r="B32" s="1469">
        <v>299</v>
      </c>
      <c r="C32" s="1469">
        <v>252</v>
      </c>
      <c r="D32" s="1469">
        <f t="shared" si="144"/>
        <v>252</v>
      </c>
      <c r="E32" s="1469">
        <v>409</v>
      </c>
      <c r="F32" s="1470">
        <v>227</v>
      </c>
      <c r="G32" s="3284">
        <v>2013</v>
      </c>
      <c r="H32" s="1506">
        <v>4</v>
      </c>
      <c r="I32" s="1506">
        <v>1.83</v>
      </c>
      <c r="J32" s="1506">
        <v>1.68</v>
      </c>
      <c r="K32" s="1506">
        <v>1.97</v>
      </c>
      <c r="L32" s="1507">
        <v>0.87</v>
      </c>
      <c r="N32" s="1484">
        <f t="shared" si="146"/>
        <v>1.83E-2</v>
      </c>
      <c r="O32" s="1485">
        <f t="shared" si="141"/>
        <v>1.6799999999999999E-2</v>
      </c>
      <c r="P32" s="1485">
        <f t="shared" si="141"/>
        <v>1.9699999999999999E-2</v>
      </c>
      <c r="Q32" s="1485">
        <f t="shared" si="141"/>
        <v>8.6999999999999994E-3</v>
      </c>
      <c r="R32" s="1474"/>
      <c r="S32" s="1475"/>
      <c r="T32" s="1476"/>
      <c r="U32" s="1476"/>
      <c r="V32" s="1476"/>
      <c r="X32" s="1476"/>
      <c r="Y32" s="1476"/>
      <c r="Z32" s="1476"/>
    </row>
    <row r="33" spans="1:26">
      <c r="A33" s="1461" t="s">
        <v>1159</v>
      </c>
      <c r="B33" s="1477">
        <f t="shared" ref="B33:C35" si="153">B32/(1+N32)</f>
        <v>293.62663262299913</v>
      </c>
      <c r="C33" s="1477">
        <f t="shared" si="153"/>
        <v>247.83634933123525</v>
      </c>
      <c r="D33" s="1477">
        <f t="shared" si="144"/>
        <v>247.83634933123525</v>
      </c>
      <c r="E33" s="1477">
        <f t="shared" ref="E33:F35" si="154">E32/(1+P32)</f>
        <v>401.09836226341076</v>
      </c>
      <c r="F33" s="1477">
        <f t="shared" si="154"/>
        <v>225.04213343908003</v>
      </c>
      <c r="G33" s="3285"/>
      <c r="H33" s="1487">
        <v>3</v>
      </c>
      <c r="I33" s="1487">
        <v>1.86</v>
      </c>
      <c r="J33" s="1487">
        <v>1.72</v>
      </c>
      <c r="K33" s="1487">
        <v>1.98</v>
      </c>
      <c r="L33" s="1488">
        <v>0.88</v>
      </c>
      <c r="N33" s="1472">
        <f t="shared" si="146"/>
        <v>1.8600000000000002E-2</v>
      </c>
      <c r="O33" s="1489">
        <f t="shared" si="141"/>
        <v>1.72E-2</v>
      </c>
      <c r="P33" s="1489">
        <f t="shared" si="141"/>
        <v>1.9799999999999998E-2</v>
      </c>
      <c r="Q33" s="1489">
        <f t="shared" si="141"/>
        <v>8.8000000000000005E-3</v>
      </c>
      <c r="R33" s="1474"/>
      <c r="S33" s="1472"/>
      <c r="T33" s="1473"/>
      <c r="U33" s="1473"/>
      <c r="V33" s="1473"/>
    </row>
    <row r="34" spans="1:26">
      <c r="A34" s="1461" t="s">
        <v>1160</v>
      </c>
      <c r="B34" s="1477">
        <f t="shared" si="153"/>
        <v>288.2649053828776</v>
      </c>
      <c r="C34" s="1477">
        <f t="shared" si="153"/>
        <v>243.64564425013293</v>
      </c>
      <c r="D34" s="1477">
        <f t="shared" si="144"/>
        <v>243.64564425013293</v>
      </c>
      <c r="E34" s="1477">
        <f t="shared" si="154"/>
        <v>393.31080825986544</v>
      </c>
      <c r="F34" s="1477">
        <f t="shared" si="154"/>
        <v>223.07903790551154</v>
      </c>
      <c r="G34" s="3285"/>
      <c r="H34" s="1465">
        <v>2</v>
      </c>
      <c r="I34" s="1465">
        <v>2.04</v>
      </c>
      <c r="J34" s="1465">
        <v>2.33</v>
      </c>
      <c r="K34" s="1465">
        <v>2.0699999999999998</v>
      </c>
      <c r="L34" s="1479">
        <v>0.69</v>
      </c>
      <c r="N34" s="1472">
        <f t="shared" si="146"/>
        <v>2.0400000000000001E-2</v>
      </c>
      <c r="O34" s="1489">
        <f t="shared" si="141"/>
        <v>2.3300000000000001E-2</v>
      </c>
      <c r="P34" s="1489">
        <f t="shared" si="141"/>
        <v>2.07E-2</v>
      </c>
      <c r="Q34" s="1489">
        <f t="shared" si="141"/>
        <v>6.8999999999999999E-3</v>
      </c>
      <c r="R34" s="1474"/>
      <c r="S34" s="1472"/>
      <c r="T34" s="1473"/>
      <c r="U34" s="1473"/>
      <c r="V34" s="1473"/>
      <c r="X34" s="1508"/>
      <c r="Y34" s="1509"/>
    </row>
    <row r="35" spans="1:26">
      <c r="A35" s="1461" t="s">
        <v>1161</v>
      </c>
      <c r="B35" s="1477">
        <f t="shared" si="153"/>
        <v>282.50186729015837</v>
      </c>
      <c r="C35" s="1477">
        <f t="shared" si="153"/>
        <v>238.09796174155468</v>
      </c>
      <c r="D35" s="1477">
        <f t="shared" si="144"/>
        <v>238.09796174155468</v>
      </c>
      <c r="E35" s="1477">
        <f t="shared" si="154"/>
        <v>385.33438646014054</v>
      </c>
      <c r="F35" s="1477">
        <f t="shared" si="154"/>
        <v>221.55034055567739</v>
      </c>
      <c r="G35" s="3286"/>
      <c r="H35" s="1464">
        <v>1</v>
      </c>
      <c r="I35" s="1464">
        <v>1.67</v>
      </c>
      <c r="J35" s="1464">
        <v>1.31</v>
      </c>
      <c r="K35" s="1464">
        <v>1.85</v>
      </c>
      <c r="L35" s="1478">
        <v>0.96</v>
      </c>
      <c r="N35" s="1480">
        <f t="shared" si="146"/>
        <v>1.67E-2</v>
      </c>
      <c r="O35" s="1481">
        <f t="shared" si="146"/>
        <v>1.3100000000000001E-2</v>
      </c>
      <c r="P35" s="1481">
        <f t="shared" si="146"/>
        <v>1.8500000000000003E-2</v>
      </c>
      <c r="Q35" s="1481">
        <f t="shared" si="146"/>
        <v>9.5999999999999992E-3</v>
      </c>
      <c r="R35" s="1474"/>
      <c r="S35" s="1480">
        <f>B35/B36-1</f>
        <v>1.6193767230785472E-2</v>
      </c>
      <c r="T35" s="1481">
        <f>C35/C36-1</f>
        <v>1.7512657015190891E-2</v>
      </c>
      <c r="U35" s="1481">
        <f>E35/E36-1</f>
        <v>1.6713420739157048E-2</v>
      </c>
      <c r="V35" s="1481">
        <f>F35/F36-1</f>
        <v>7.0470025258062563E-3</v>
      </c>
      <c r="X35" s="1510"/>
      <c r="Y35" s="1460"/>
      <c r="Z35" s="1460"/>
    </row>
    <row r="36" spans="1:26" ht="13.5" thickBot="1">
      <c r="A36" s="1461" t="s">
        <v>1162</v>
      </c>
      <c r="B36" s="1511">
        <v>278</v>
      </c>
      <c r="C36" s="1511">
        <v>234</v>
      </c>
      <c r="D36" s="1511">
        <f t="shared" si="144"/>
        <v>234</v>
      </c>
      <c r="E36" s="1511">
        <v>379</v>
      </c>
      <c r="F36" s="1512">
        <v>220</v>
      </c>
      <c r="G36" s="3277">
        <v>2012</v>
      </c>
      <c r="H36" s="1482">
        <v>4</v>
      </c>
      <c r="I36" s="1482">
        <v>0.91</v>
      </c>
      <c r="J36" s="1482">
        <v>0.68</v>
      </c>
      <c r="K36" s="1482">
        <v>0.98</v>
      </c>
      <c r="L36" s="1483">
        <v>0.9</v>
      </c>
      <c r="N36" s="1472">
        <f t="shared" si="146"/>
        <v>9.1000000000000004E-3</v>
      </c>
      <c r="O36" s="1473">
        <f t="shared" si="146"/>
        <v>6.8000000000000005E-3</v>
      </c>
      <c r="P36" s="1473">
        <f t="shared" si="146"/>
        <v>9.7999999999999997E-3</v>
      </c>
      <c r="Q36" s="1473">
        <f t="shared" si="146"/>
        <v>9.0000000000000011E-3</v>
      </c>
      <c r="R36" s="1474"/>
      <c r="S36" s="1475"/>
      <c r="T36" s="1476"/>
      <c r="U36" s="1476"/>
      <c r="V36" s="1476"/>
      <c r="X36" s="1476"/>
      <c r="Y36" s="1476"/>
      <c r="Z36" s="1476"/>
    </row>
    <row r="37" spans="1:26">
      <c r="A37" s="1461" t="s">
        <v>1163</v>
      </c>
      <c r="B37" s="1477">
        <f>B36/(1+N36)</f>
        <v>275.49301357645425</v>
      </c>
      <c r="C37" s="1477">
        <f>C36/(1+O36)</f>
        <v>232.41954707985698</v>
      </c>
      <c r="D37" s="1477">
        <f t="shared" si="144"/>
        <v>232.41954707985698</v>
      </c>
      <c r="E37" s="1477">
        <f t="shared" ref="E37:F39" si="155">E36/(1+P36)</f>
        <v>375.32184591008121</v>
      </c>
      <c r="F37" s="1477">
        <f t="shared" si="155"/>
        <v>218.03766105054513</v>
      </c>
      <c r="G37" s="3278"/>
      <c r="H37" s="1487">
        <v>3</v>
      </c>
      <c r="I37" s="1487">
        <v>0.09</v>
      </c>
      <c r="J37" s="1487">
        <v>0.28999999999999998</v>
      </c>
      <c r="K37" s="1487">
        <v>-0.01</v>
      </c>
      <c r="L37" s="1488">
        <v>0.57999999999999996</v>
      </c>
      <c r="N37" s="1472">
        <f t="shared" si="146"/>
        <v>8.9999999999999998E-4</v>
      </c>
      <c r="O37" s="1473">
        <f t="shared" si="146"/>
        <v>2.8999999999999998E-3</v>
      </c>
      <c r="P37" s="1473">
        <f t="shared" si="146"/>
        <v>-1E-4</v>
      </c>
      <c r="Q37" s="1473">
        <f t="shared" si="146"/>
        <v>5.7999999999999996E-3</v>
      </c>
      <c r="R37" s="1474"/>
      <c r="S37" s="1472"/>
      <c r="T37" s="1473"/>
      <c r="U37" s="1473"/>
      <c r="V37" s="1473"/>
    </row>
    <row r="38" spans="1:26">
      <c r="A38" s="1461" t="s">
        <v>1164</v>
      </c>
      <c r="B38" s="1477">
        <f>B37/(1+N37)</f>
        <v>275.24529281292263</v>
      </c>
      <c r="C38" s="1477">
        <f>C37/(1+O37)</f>
        <v>231.74747938962707</v>
      </c>
      <c r="D38" s="1477">
        <f t="shared" si="144"/>
        <v>231.74747938962707</v>
      </c>
      <c r="E38" s="1477">
        <f t="shared" si="155"/>
        <v>375.35938184826603</v>
      </c>
      <c r="F38" s="1477">
        <f t="shared" si="155"/>
        <v>216.78033510692495</v>
      </c>
      <c r="G38" s="3278"/>
      <c r="H38" s="1465">
        <v>2</v>
      </c>
      <c r="I38" s="1465">
        <v>0.02</v>
      </c>
      <c r="J38" s="1465">
        <v>0.12</v>
      </c>
      <c r="K38" s="1465">
        <v>-0.08</v>
      </c>
      <c r="L38" s="1479">
        <v>1.24</v>
      </c>
      <c r="N38" s="1472">
        <f t="shared" si="146"/>
        <v>2.0000000000000001E-4</v>
      </c>
      <c r="O38" s="1473">
        <f t="shared" si="146"/>
        <v>1.1999999999999999E-3</v>
      </c>
      <c r="P38" s="1473">
        <f t="shared" si="146"/>
        <v>-8.0000000000000004E-4</v>
      </c>
      <c r="Q38" s="1473">
        <f t="shared" si="146"/>
        <v>1.24E-2</v>
      </c>
      <c r="R38" s="1474"/>
      <c r="S38" s="1472"/>
      <c r="T38" s="1473"/>
      <c r="U38" s="1473"/>
      <c r="V38" s="1473"/>
    </row>
    <row r="39" spans="1:26" ht="13.5" thickBot="1">
      <c r="A39" s="1461" t="s">
        <v>1165</v>
      </c>
      <c r="B39" s="1477">
        <f>B38/(1+N38)</f>
        <v>275.19025476197027</v>
      </c>
      <c r="C39" s="1513">
        <v>232</v>
      </c>
      <c r="D39" s="1513">
        <f t="shared" si="144"/>
        <v>232</v>
      </c>
      <c r="E39" s="1477">
        <f t="shared" si="155"/>
        <v>375.65990977608692</v>
      </c>
      <c r="F39" s="1477">
        <f t="shared" si="155"/>
        <v>214.12518283971252</v>
      </c>
      <c r="G39" s="3279"/>
      <c r="H39" s="1464">
        <v>1</v>
      </c>
      <c r="I39" s="1464">
        <v>0.02</v>
      </c>
      <c r="J39" s="1464">
        <v>0.13</v>
      </c>
      <c r="K39" s="1464">
        <v>-0.04</v>
      </c>
      <c r="L39" s="1478">
        <v>0.46</v>
      </c>
      <c r="N39" s="1472">
        <f t="shared" si="146"/>
        <v>2.0000000000000001E-4</v>
      </c>
      <c r="O39" s="1473">
        <f t="shared" si="146"/>
        <v>1.2999999999999999E-3</v>
      </c>
      <c r="P39" s="1473">
        <f t="shared" si="146"/>
        <v>-4.0000000000000002E-4</v>
      </c>
      <c r="Q39" s="1473">
        <f t="shared" si="146"/>
        <v>4.5999999999999999E-3</v>
      </c>
      <c r="R39" s="1474"/>
      <c r="S39" s="1480">
        <f>B39/B40-1</f>
        <v>6.9183549807361189E-4</v>
      </c>
      <c r="T39" s="1481">
        <f>C39/C40-1</f>
        <v>0</v>
      </c>
      <c r="U39" s="1481">
        <f>E39/E40-1</f>
        <v>-9.0449527636460303E-4</v>
      </c>
      <c r="V39" s="1481">
        <f>F39/F40-1</f>
        <v>5.2825485432512753E-3</v>
      </c>
      <c r="X39" s="1460"/>
      <c r="Y39" s="1460"/>
      <c r="Z39" s="1460"/>
    </row>
    <row r="40" spans="1:26" ht="13.5" thickBot="1">
      <c r="A40" s="1461" t="s">
        <v>1166</v>
      </c>
      <c r="B40" s="1469">
        <v>275</v>
      </c>
      <c r="C40" s="1469">
        <v>232</v>
      </c>
      <c r="D40" s="1469">
        <f t="shared" si="144"/>
        <v>232</v>
      </c>
      <c r="E40" s="1469">
        <v>376</v>
      </c>
      <c r="F40" s="1470">
        <v>213</v>
      </c>
      <c r="G40" s="3277">
        <v>2011</v>
      </c>
      <c r="H40" s="1482">
        <v>4</v>
      </c>
      <c r="I40" s="1482">
        <v>-0.2</v>
      </c>
      <c r="J40" s="1482">
        <v>0.04</v>
      </c>
      <c r="K40" s="1482">
        <v>-0.34</v>
      </c>
      <c r="L40" s="1483">
        <v>0.46</v>
      </c>
      <c r="N40" s="1484">
        <f t="shared" si="146"/>
        <v>-2E-3</v>
      </c>
      <c r="O40" s="1485">
        <f t="shared" si="146"/>
        <v>4.0000000000000002E-4</v>
      </c>
      <c r="P40" s="1485">
        <f t="shared" si="146"/>
        <v>-3.4000000000000002E-3</v>
      </c>
      <c r="Q40" s="1485">
        <f t="shared" si="146"/>
        <v>4.5999999999999999E-3</v>
      </c>
      <c r="R40" s="1474"/>
      <c r="S40" s="1475"/>
      <c r="T40" s="1476"/>
      <c r="U40" s="1476"/>
      <c r="V40" s="1476"/>
      <c r="X40" s="1476"/>
      <c r="Y40" s="1476"/>
      <c r="Z40" s="1476"/>
    </row>
    <row r="41" spans="1:26">
      <c r="A41" s="1461" t="s">
        <v>1167</v>
      </c>
      <c r="B41" s="1477">
        <f t="shared" ref="B41:C43" si="156">B40/(1+N40)</f>
        <v>275.55110220440883</v>
      </c>
      <c r="C41" s="1477">
        <f t="shared" si="156"/>
        <v>231.90723710515795</v>
      </c>
      <c r="D41" s="1477">
        <f t="shared" si="144"/>
        <v>231.90723710515795</v>
      </c>
      <c r="E41" s="1477">
        <f t="shared" ref="E41:F43" si="157">E40/(1+P40)</f>
        <v>377.28276138872161</v>
      </c>
      <c r="F41" s="1477">
        <f t="shared" si="157"/>
        <v>212.02468644236512</v>
      </c>
      <c r="G41" s="3278">
        <v>2011</v>
      </c>
      <c r="H41" s="1487">
        <v>3</v>
      </c>
      <c r="I41" s="1487">
        <v>0.13</v>
      </c>
      <c r="J41" s="1487">
        <v>0.75</v>
      </c>
      <c r="K41" s="1487">
        <v>-0.08</v>
      </c>
      <c r="L41" s="1488">
        <v>0.53</v>
      </c>
      <c r="N41" s="1472">
        <f t="shared" si="146"/>
        <v>1.2999999999999999E-3</v>
      </c>
      <c r="O41" s="1489">
        <f t="shared" si="146"/>
        <v>7.4999999999999997E-3</v>
      </c>
      <c r="P41" s="1489">
        <f t="shared" si="146"/>
        <v>-8.0000000000000004E-4</v>
      </c>
      <c r="Q41" s="1489">
        <f t="shared" si="146"/>
        <v>5.3E-3</v>
      </c>
      <c r="R41" s="1474"/>
      <c r="S41" s="1472"/>
      <c r="T41" s="1473"/>
      <c r="U41" s="1473"/>
      <c r="V41" s="1473"/>
    </row>
    <row r="42" spans="1:26">
      <c r="A42" s="1461" t="s">
        <v>1168</v>
      </c>
      <c r="B42" s="1477">
        <f t="shared" si="156"/>
        <v>275.19335084830601</v>
      </c>
      <c r="C42" s="1477">
        <f t="shared" si="156"/>
        <v>230.18088050139744</v>
      </c>
      <c r="D42" s="1477">
        <f t="shared" si="144"/>
        <v>230.18088050139744</v>
      </c>
      <c r="E42" s="1477">
        <f t="shared" si="157"/>
        <v>377.58482925212331</v>
      </c>
      <c r="F42" s="1477">
        <f t="shared" si="157"/>
        <v>210.90687997847917</v>
      </c>
      <c r="G42" s="3278">
        <v>2011</v>
      </c>
      <c r="H42" s="1465">
        <v>2</v>
      </c>
      <c r="I42" s="1465">
        <v>-0.4</v>
      </c>
      <c r="J42" s="1465">
        <v>0.17</v>
      </c>
      <c r="K42" s="1465">
        <v>-0.57999999999999996</v>
      </c>
      <c r="L42" s="1479">
        <v>-0.2</v>
      </c>
      <c r="N42" s="1472">
        <f t="shared" si="146"/>
        <v>-4.0000000000000001E-3</v>
      </c>
      <c r="O42" s="1489">
        <f t="shared" si="146"/>
        <v>1.7000000000000001E-3</v>
      </c>
      <c r="P42" s="1489">
        <f t="shared" si="146"/>
        <v>-5.7999999999999996E-3</v>
      </c>
      <c r="Q42" s="1489">
        <f t="shared" si="146"/>
        <v>-2E-3</v>
      </c>
      <c r="R42" s="1474"/>
      <c r="S42" s="1472"/>
      <c r="T42" s="1473"/>
      <c r="U42" s="1473"/>
      <c r="V42" s="1473"/>
    </row>
    <row r="43" spans="1:26" ht="13.5" thickBot="1">
      <c r="A43" s="1461" t="s">
        <v>1169</v>
      </c>
      <c r="B43" s="1477">
        <f t="shared" si="156"/>
        <v>276.29854502841971</v>
      </c>
      <c r="C43" s="1477">
        <f t="shared" si="156"/>
        <v>229.79023709833027</v>
      </c>
      <c r="D43" s="1477">
        <f t="shared" si="144"/>
        <v>229.79023709833027</v>
      </c>
      <c r="E43" s="1477">
        <f t="shared" si="157"/>
        <v>379.78759731655936</v>
      </c>
      <c r="F43" s="1477">
        <f t="shared" si="157"/>
        <v>211.32953905659235</v>
      </c>
      <c r="G43" s="3279">
        <v>2011</v>
      </c>
      <c r="H43" s="1464">
        <v>1</v>
      </c>
      <c r="I43" s="1464">
        <v>2.65</v>
      </c>
      <c r="J43" s="1464">
        <v>3.76</v>
      </c>
      <c r="K43" s="1464">
        <v>1.89</v>
      </c>
      <c r="L43" s="1478">
        <v>7.95</v>
      </c>
      <c r="N43" s="1480">
        <f t="shared" si="146"/>
        <v>2.6499999999999999E-2</v>
      </c>
      <c r="O43" s="1481">
        <f t="shared" si="146"/>
        <v>3.7599999999999995E-2</v>
      </c>
      <c r="P43" s="1481">
        <f t="shared" si="146"/>
        <v>1.89E-2</v>
      </c>
      <c r="Q43" s="1481">
        <f t="shared" si="146"/>
        <v>7.9500000000000001E-2</v>
      </c>
      <c r="R43" s="1474"/>
      <c r="S43" s="1480">
        <f>B43/B44-1</f>
        <v>2.713213765211786E-2</v>
      </c>
      <c r="T43" s="1481">
        <f>C43/C44-1</f>
        <v>3.9774828499231862E-2</v>
      </c>
      <c r="U43" s="1481">
        <f>E43/E44-1</f>
        <v>1.8197311840641772E-2</v>
      </c>
      <c r="V43" s="1481">
        <f>F43/F44-1</f>
        <v>7.8211933962205826E-2</v>
      </c>
      <c r="X43" s="1460"/>
      <c r="Y43" s="1460"/>
      <c r="Z43" s="1460"/>
    </row>
    <row r="44" spans="1:26" ht="13.5" thickBot="1">
      <c r="A44" s="1461" t="s">
        <v>1170</v>
      </c>
      <c r="B44" s="1469">
        <v>269</v>
      </c>
      <c r="C44" s="1469">
        <v>221</v>
      </c>
      <c r="D44" s="1469">
        <f t="shared" si="144"/>
        <v>221</v>
      </c>
      <c r="E44" s="1469">
        <v>373</v>
      </c>
      <c r="F44" s="1470">
        <v>196</v>
      </c>
      <c r="G44" s="3277">
        <v>2010</v>
      </c>
      <c r="H44" s="1482">
        <v>4</v>
      </c>
      <c r="I44" s="1482">
        <v>5.72</v>
      </c>
      <c r="J44" s="1482">
        <v>6.57</v>
      </c>
      <c r="K44" s="1482">
        <v>5.72</v>
      </c>
      <c r="L44" s="1483">
        <v>2.72</v>
      </c>
      <c r="N44" s="1472">
        <f t="shared" si="146"/>
        <v>5.7200000000000001E-2</v>
      </c>
      <c r="O44" s="1473">
        <f t="shared" si="146"/>
        <v>6.5700000000000008E-2</v>
      </c>
      <c r="P44" s="1473">
        <f t="shared" si="146"/>
        <v>5.7200000000000001E-2</v>
      </c>
      <c r="Q44" s="1473">
        <f t="shared" si="146"/>
        <v>2.7200000000000002E-2</v>
      </c>
      <c r="R44" s="1474"/>
      <c r="S44" s="1475"/>
      <c r="T44" s="1476"/>
      <c r="U44" s="1476"/>
      <c r="V44" s="1476"/>
      <c r="X44" s="1476"/>
      <c r="Y44" s="1476"/>
      <c r="Z44" s="1476"/>
    </row>
    <row r="45" spans="1:26">
      <c r="A45" s="1461" t="s">
        <v>1171</v>
      </c>
      <c r="B45" s="1477">
        <f t="shared" ref="B45:C47" si="158">B44/(1+N44)</f>
        <v>254.44570563753314</v>
      </c>
      <c r="C45" s="1477">
        <f t="shared" si="158"/>
        <v>207.37543398705074</v>
      </c>
      <c r="D45" s="1477">
        <f t="shared" si="144"/>
        <v>207.37543398705074</v>
      </c>
      <c r="E45" s="1477">
        <f t="shared" ref="E45:F47" si="159">E44/(1+P44)</f>
        <v>352.81876655315932</v>
      </c>
      <c r="F45" s="1477">
        <f t="shared" si="159"/>
        <v>190.809968847352</v>
      </c>
      <c r="G45" s="3278">
        <v>2010</v>
      </c>
      <c r="H45" s="1487">
        <v>3</v>
      </c>
      <c r="I45" s="1487">
        <v>4.7300000000000004</v>
      </c>
      <c r="J45" s="1487">
        <v>3.9</v>
      </c>
      <c r="K45" s="1487">
        <v>5.03</v>
      </c>
      <c r="L45" s="1488">
        <v>4.21</v>
      </c>
      <c r="N45" s="1472">
        <f t="shared" si="146"/>
        <v>4.7300000000000002E-2</v>
      </c>
      <c r="O45" s="1473">
        <f t="shared" si="146"/>
        <v>3.9E-2</v>
      </c>
      <c r="P45" s="1473">
        <f t="shared" si="146"/>
        <v>5.0300000000000004E-2</v>
      </c>
      <c r="Q45" s="1473">
        <f t="shared" si="146"/>
        <v>4.2099999999999999E-2</v>
      </c>
      <c r="R45" s="1474"/>
      <c r="S45" s="1472"/>
      <c r="T45" s="1473"/>
      <c r="U45" s="1473"/>
      <c r="V45" s="1473"/>
    </row>
    <row r="46" spans="1:26">
      <c r="A46" s="1461" t="s">
        <v>1172</v>
      </c>
      <c r="B46" s="1477">
        <f t="shared" si="158"/>
        <v>242.95398227588385</v>
      </c>
      <c r="C46" s="1477">
        <f t="shared" si="158"/>
        <v>199.59137053614126</v>
      </c>
      <c r="D46" s="1477">
        <f t="shared" si="144"/>
        <v>199.59137053614126</v>
      </c>
      <c r="E46" s="1477">
        <f t="shared" si="159"/>
        <v>335.92189522342125</v>
      </c>
      <c r="F46" s="1477">
        <f t="shared" si="159"/>
        <v>183.10139991109489</v>
      </c>
      <c r="G46" s="3278">
        <v>2010</v>
      </c>
      <c r="H46" s="1465">
        <v>2</v>
      </c>
      <c r="I46" s="1465">
        <v>4.6900000000000004</v>
      </c>
      <c r="J46" s="1465">
        <v>3.55</v>
      </c>
      <c r="K46" s="1465">
        <v>5.07</v>
      </c>
      <c r="L46" s="1479">
        <v>4.2300000000000004</v>
      </c>
      <c r="N46" s="1472">
        <f t="shared" si="146"/>
        <v>4.6900000000000004E-2</v>
      </c>
      <c r="O46" s="1473">
        <f t="shared" si="146"/>
        <v>3.5499999999999997E-2</v>
      </c>
      <c r="P46" s="1473">
        <f t="shared" si="146"/>
        <v>5.0700000000000002E-2</v>
      </c>
      <c r="Q46" s="1473">
        <f t="shared" si="146"/>
        <v>4.2300000000000004E-2</v>
      </c>
      <c r="R46" s="1474"/>
      <c r="S46" s="1472"/>
      <c r="T46" s="1473"/>
      <c r="U46" s="1473"/>
      <c r="V46" s="1473"/>
    </row>
    <row r="47" spans="1:26" ht="13.5" thickBot="1">
      <c r="A47" s="1461" t="s">
        <v>1173</v>
      </c>
      <c r="B47" s="1477">
        <f t="shared" si="158"/>
        <v>232.06990378821649</v>
      </c>
      <c r="C47" s="1477">
        <f t="shared" si="158"/>
        <v>192.74878854286936</v>
      </c>
      <c r="D47" s="1477">
        <f t="shared" si="144"/>
        <v>192.74878854286936</v>
      </c>
      <c r="E47" s="1477">
        <f t="shared" si="159"/>
        <v>319.71247284992984</v>
      </c>
      <c r="F47" s="1477">
        <f t="shared" si="159"/>
        <v>175.67053622862409</v>
      </c>
      <c r="G47" s="3279">
        <v>2010</v>
      </c>
      <c r="H47" s="1464">
        <v>1</v>
      </c>
      <c r="I47" s="1464">
        <v>5.4</v>
      </c>
      <c r="J47" s="1464">
        <v>3.2</v>
      </c>
      <c r="K47" s="1464">
        <v>6.16</v>
      </c>
      <c r="L47" s="1478">
        <v>4.51</v>
      </c>
      <c r="N47" s="1472">
        <f t="shared" si="146"/>
        <v>5.4000000000000006E-2</v>
      </c>
      <c r="O47" s="1473">
        <f t="shared" si="146"/>
        <v>3.2000000000000001E-2</v>
      </c>
      <c r="P47" s="1473">
        <f t="shared" si="146"/>
        <v>6.1600000000000002E-2</v>
      </c>
      <c r="Q47" s="1473">
        <f t="shared" si="146"/>
        <v>4.5100000000000001E-2</v>
      </c>
      <c r="R47" s="1474"/>
      <c r="S47" s="1480">
        <f>B47/B48-1</f>
        <v>5.4863199037347599E-2</v>
      </c>
      <c r="T47" s="1481">
        <f>C47/C48-1</f>
        <v>3.0742184721226584E-2</v>
      </c>
      <c r="U47" s="1481">
        <f>E47/E48-1</f>
        <v>6.2167683886810154E-2</v>
      </c>
      <c r="V47" s="1481">
        <f>F47/F48-1</f>
        <v>4.5657953741810031E-2</v>
      </c>
      <c r="X47" s="1460"/>
      <c r="Y47" s="1460"/>
      <c r="Z47" s="1460"/>
    </row>
    <row r="48" spans="1:26" ht="13.5" thickBot="1">
      <c r="A48" s="1461" t="s">
        <v>1174</v>
      </c>
      <c r="B48" s="1469">
        <v>220</v>
      </c>
      <c r="C48" s="1469">
        <v>187</v>
      </c>
      <c r="D48" s="1469">
        <f t="shared" si="144"/>
        <v>187</v>
      </c>
      <c r="E48" s="1469">
        <v>301</v>
      </c>
      <c r="F48" s="1470">
        <v>168</v>
      </c>
      <c r="G48" s="3277">
        <v>2009</v>
      </c>
      <c r="H48" s="1482">
        <v>4</v>
      </c>
      <c r="I48" s="1482">
        <v>2.2999999999999998</v>
      </c>
      <c r="J48" s="1482">
        <v>1.04</v>
      </c>
      <c r="K48" s="1482">
        <v>2.84</v>
      </c>
      <c r="L48" s="1483">
        <v>0.67</v>
      </c>
      <c r="N48" s="1484">
        <f t="shared" si="146"/>
        <v>2.3E-2</v>
      </c>
      <c r="O48" s="1485">
        <f t="shared" si="146"/>
        <v>1.04E-2</v>
      </c>
      <c r="P48" s="1485">
        <f t="shared" si="146"/>
        <v>2.8399999999999998E-2</v>
      </c>
      <c r="Q48" s="1485">
        <f t="shared" si="146"/>
        <v>6.7000000000000002E-3</v>
      </c>
      <c r="R48" s="1474"/>
      <c r="S48" s="1475"/>
      <c r="T48" s="1476"/>
      <c r="U48" s="1476"/>
      <c r="V48" s="1476"/>
      <c r="X48" s="1476"/>
      <c r="Y48" s="1476"/>
      <c r="Z48" s="1476"/>
    </row>
    <row r="49" spans="1:26">
      <c r="A49" s="1461" t="s">
        <v>1175</v>
      </c>
      <c r="B49" s="1477">
        <f t="shared" ref="B49:C51" si="160">B48/(1+N48)</f>
        <v>215.05376344086022</v>
      </c>
      <c r="C49" s="1477">
        <f t="shared" si="160"/>
        <v>185.0752177355503</v>
      </c>
      <c r="D49" s="1477">
        <f t="shared" si="144"/>
        <v>185.0752177355503</v>
      </c>
      <c r="E49" s="1477">
        <f t="shared" ref="E49:F51" si="161">E48/(1+P48)</f>
        <v>292.68767016725008</v>
      </c>
      <c r="F49" s="1477">
        <f t="shared" si="161"/>
        <v>166.88189132810174</v>
      </c>
      <c r="G49" s="3278">
        <v>2009</v>
      </c>
      <c r="H49" s="1487">
        <v>3</v>
      </c>
      <c r="I49" s="1487">
        <v>2.1</v>
      </c>
      <c r="J49" s="1487">
        <v>1.86</v>
      </c>
      <c r="K49" s="1487">
        <v>2.29</v>
      </c>
      <c r="L49" s="1488">
        <v>0.85</v>
      </c>
      <c r="N49" s="1472">
        <f t="shared" si="146"/>
        <v>2.1000000000000001E-2</v>
      </c>
      <c r="O49" s="1489">
        <f t="shared" si="146"/>
        <v>1.8600000000000002E-2</v>
      </c>
      <c r="P49" s="1489">
        <f t="shared" si="146"/>
        <v>2.29E-2</v>
      </c>
      <c r="Q49" s="1489">
        <f t="shared" si="146"/>
        <v>8.5000000000000006E-3</v>
      </c>
      <c r="R49" s="1474"/>
      <c r="S49" s="1472"/>
      <c r="T49" s="1473"/>
      <c r="U49" s="1473"/>
      <c r="V49" s="1473"/>
    </row>
    <row r="50" spans="1:26">
      <c r="A50" s="1461" t="s">
        <v>1176</v>
      </c>
      <c r="B50" s="1477">
        <f t="shared" si="160"/>
        <v>210.630522469011</v>
      </c>
      <c r="C50" s="1477">
        <f t="shared" si="160"/>
        <v>181.69567812247232</v>
      </c>
      <c r="D50" s="1477">
        <f t="shared" si="144"/>
        <v>181.69567812247232</v>
      </c>
      <c r="E50" s="1477">
        <f t="shared" si="161"/>
        <v>286.13517466736738</v>
      </c>
      <c r="F50" s="1477">
        <f t="shared" si="161"/>
        <v>165.47535084591149</v>
      </c>
      <c r="G50" s="3278">
        <v>2009</v>
      </c>
      <c r="H50" s="1465">
        <v>2</v>
      </c>
      <c r="I50" s="1465">
        <v>0.86</v>
      </c>
      <c r="J50" s="1465">
        <v>-1.1299999999999999</v>
      </c>
      <c r="K50" s="1465">
        <v>1.79</v>
      </c>
      <c r="L50" s="1479">
        <v>-2.0699999999999998</v>
      </c>
      <c r="N50" s="1472">
        <f t="shared" si="146"/>
        <v>8.6E-3</v>
      </c>
      <c r="O50" s="1489">
        <f t="shared" si="146"/>
        <v>-1.1299999999999999E-2</v>
      </c>
      <c r="P50" s="1489">
        <f t="shared" si="146"/>
        <v>1.7899999999999999E-2</v>
      </c>
      <c r="Q50" s="1489">
        <f t="shared" si="146"/>
        <v>-2.07E-2</v>
      </c>
      <c r="R50" s="1474"/>
      <c r="S50" s="1472"/>
      <c r="T50" s="1473"/>
      <c r="U50" s="1473"/>
      <c r="V50" s="1473"/>
    </row>
    <row r="51" spans="1:26">
      <c r="A51" s="1461" t="s">
        <v>1177</v>
      </c>
      <c r="B51" s="1477">
        <f t="shared" si="160"/>
        <v>208.83454537875372</v>
      </c>
      <c r="C51" s="1477">
        <f t="shared" si="160"/>
        <v>183.77230517090351</v>
      </c>
      <c r="D51" s="1477">
        <f t="shared" si="144"/>
        <v>183.77230517090351</v>
      </c>
      <c r="E51" s="1477">
        <f t="shared" si="161"/>
        <v>281.10342338870947</v>
      </c>
      <c r="F51" s="1477">
        <f t="shared" si="161"/>
        <v>168.97309388942256</v>
      </c>
      <c r="G51" s="3279">
        <v>2009</v>
      </c>
      <c r="H51" s="1464">
        <v>1</v>
      </c>
      <c r="I51" s="1464">
        <v>-2.64</v>
      </c>
      <c r="J51" s="1464">
        <v>-2.5299999999999998</v>
      </c>
      <c r="K51" s="1464">
        <v>-3.02</v>
      </c>
      <c r="L51" s="1478">
        <v>1.52</v>
      </c>
      <c r="N51" s="1480">
        <f t="shared" si="146"/>
        <v>-2.64E-2</v>
      </c>
      <c r="O51" s="1481">
        <f t="shared" si="146"/>
        <v>-2.53E-2</v>
      </c>
      <c r="P51" s="1481">
        <f t="shared" si="146"/>
        <v>-3.0200000000000001E-2</v>
      </c>
      <c r="Q51" s="1481">
        <f t="shared" si="146"/>
        <v>1.52E-2</v>
      </c>
      <c r="R51" s="1474"/>
      <c r="S51" s="1480">
        <f>B51/B52-1</f>
        <v>-2.4137638417038754E-2</v>
      </c>
      <c r="T51" s="1481">
        <f>C51/C52-1</f>
        <v>-2.248773845264096E-2</v>
      </c>
      <c r="U51" s="1481">
        <f>E51/E52-1</f>
        <v>-2.7323794502735366E-2</v>
      </c>
      <c r="V51" s="1481">
        <f>F51/F52-1</f>
        <v>1.7910204153148035E-2</v>
      </c>
      <c r="X51" s="1460"/>
      <c r="Y51" s="1460"/>
      <c r="Z51" s="1460"/>
    </row>
    <row r="52" spans="1:26" ht="13.5" thickBot="1">
      <c r="A52" s="1461" t="s">
        <v>1178</v>
      </c>
      <c r="B52" s="1511">
        <v>214</v>
      </c>
      <c r="C52" s="1511">
        <v>188</v>
      </c>
      <c r="D52" s="1511">
        <f t="shared" si="144"/>
        <v>188</v>
      </c>
      <c r="E52" s="1511">
        <v>289</v>
      </c>
      <c r="F52" s="1512">
        <v>166</v>
      </c>
      <c r="G52" s="3277">
        <v>2008</v>
      </c>
      <c r="H52" s="1482">
        <v>4</v>
      </c>
      <c r="I52" s="1482">
        <v>1.73</v>
      </c>
      <c r="J52" s="1482">
        <v>0.03</v>
      </c>
      <c r="K52" s="1482">
        <v>2.59</v>
      </c>
      <c r="L52" s="1483">
        <v>-1.66</v>
      </c>
      <c r="N52" s="1472">
        <f t="shared" si="146"/>
        <v>1.7299999999999999E-2</v>
      </c>
      <c r="O52" s="1473">
        <f t="shared" si="146"/>
        <v>2.9999999999999997E-4</v>
      </c>
      <c r="P52" s="1473">
        <f t="shared" si="146"/>
        <v>2.5899999999999999E-2</v>
      </c>
      <c r="Q52" s="1473">
        <f t="shared" si="146"/>
        <v>-1.66E-2</v>
      </c>
      <c r="R52" s="1474"/>
      <c r="S52" s="1475"/>
      <c r="T52" s="1476"/>
      <c r="U52" s="1476"/>
      <c r="V52" s="1476"/>
      <c r="X52" s="1476"/>
      <c r="Y52" s="1476"/>
      <c r="Z52" s="1476"/>
    </row>
    <row r="53" spans="1:26">
      <c r="A53" s="1461" t="s">
        <v>1179</v>
      </c>
      <c r="B53" s="1477">
        <f t="shared" ref="B53:C55" si="162">B52/(1+N52)</f>
        <v>210.36075887152265</v>
      </c>
      <c r="C53" s="1477">
        <f t="shared" si="162"/>
        <v>187.94361691492554</v>
      </c>
      <c r="D53" s="1477">
        <f t="shared" si="144"/>
        <v>187.94361691492554</v>
      </c>
      <c r="E53" s="1477">
        <f t="shared" ref="E53:F55" si="163">E52/(1+P52)</f>
        <v>281.70386977288234</v>
      </c>
      <c r="F53" s="1477">
        <f t="shared" si="163"/>
        <v>168.80211511083994</v>
      </c>
      <c r="G53" s="3278">
        <v>2008</v>
      </c>
      <c r="H53" s="1487">
        <v>3</v>
      </c>
      <c r="I53" s="1487">
        <v>1.96</v>
      </c>
      <c r="J53" s="1487">
        <v>2.36</v>
      </c>
      <c r="K53" s="1487">
        <v>1.82</v>
      </c>
      <c r="L53" s="1488">
        <v>2.2200000000000002</v>
      </c>
      <c r="N53" s="1472">
        <f t="shared" si="146"/>
        <v>1.9599999999999999E-2</v>
      </c>
      <c r="O53" s="1473">
        <f t="shared" si="146"/>
        <v>2.3599999999999999E-2</v>
      </c>
      <c r="P53" s="1473">
        <f t="shared" si="146"/>
        <v>1.8200000000000001E-2</v>
      </c>
      <c r="Q53" s="1473">
        <f t="shared" si="146"/>
        <v>2.2200000000000001E-2</v>
      </c>
      <c r="R53" s="1474"/>
      <c r="S53" s="1472"/>
      <c r="T53" s="1473"/>
      <c r="U53" s="1473"/>
      <c r="V53" s="1473"/>
    </row>
    <row r="54" spans="1:26">
      <c r="A54" s="1461" t="s">
        <v>1180</v>
      </c>
      <c r="B54" s="1477">
        <f t="shared" si="162"/>
        <v>206.31694671589116</v>
      </c>
      <c r="C54" s="1477">
        <f t="shared" si="162"/>
        <v>183.61041121036101</v>
      </c>
      <c r="D54" s="1477">
        <f t="shared" si="144"/>
        <v>183.61041121036101</v>
      </c>
      <c r="E54" s="1477">
        <f t="shared" si="163"/>
        <v>276.66850301795557</v>
      </c>
      <c r="F54" s="1477">
        <f t="shared" si="163"/>
        <v>165.1360938278614</v>
      </c>
      <c r="G54" s="3278">
        <v>2008</v>
      </c>
      <c r="H54" s="1465">
        <v>2</v>
      </c>
      <c r="I54" s="1465">
        <v>4.93</v>
      </c>
      <c r="J54" s="1465">
        <v>7.38</v>
      </c>
      <c r="K54" s="1465">
        <v>3.98</v>
      </c>
      <c r="L54" s="1479">
        <v>6.86</v>
      </c>
      <c r="N54" s="1472">
        <f t="shared" si="146"/>
        <v>4.9299999999999997E-2</v>
      </c>
      <c r="O54" s="1473">
        <f t="shared" si="146"/>
        <v>7.3800000000000004E-2</v>
      </c>
      <c r="P54" s="1473">
        <f t="shared" si="146"/>
        <v>3.9800000000000002E-2</v>
      </c>
      <c r="Q54" s="1473">
        <f t="shared" si="146"/>
        <v>6.8600000000000008E-2</v>
      </c>
      <c r="R54" s="1474"/>
      <c r="S54" s="1472"/>
      <c r="T54" s="1473"/>
      <c r="U54" s="1473"/>
      <c r="V54" s="1473"/>
    </row>
    <row r="55" spans="1:26" s="1517" customFormat="1" ht="13.5" thickBot="1">
      <c r="A55" s="1461" t="s">
        <v>1181</v>
      </c>
      <c r="B55" s="1514">
        <f t="shared" si="162"/>
        <v>196.62341248059772</v>
      </c>
      <c r="C55" s="1514">
        <f t="shared" si="162"/>
        <v>170.99125648199012</v>
      </c>
      <c r="D55" s="1514">
        <f t="shared" si="144"/>
        <v>170.99125648199012</v>
      </c>
      <c r="E55" s="1514">
        <f t="shared" si="163"/>
        <v>266.07857570490052</v>
      </c>
      <c r="F55" s="1514">
        <f t="shared" si="163"/>
        <v>154.53499328828505</v>
      </c>
      <c r="G55" s="3279">
        <v>2008</v>
      </c>
      <c r="H55" s="1515">
        <v>1</v>
      </c>
      <c r="I55" s="1515">
        <v>4.1399999999999997</v>
      </c>
      <c r="J55" s="1515">
        <v>3.45</v>
      </c>
      <c r="K55" s="1515">
        <v>4.95</v>
      </c>
      <c r="L55" s="1516">
        <v>4.82</v>
      </c>
      <c r="N55" s="1518">
        <f t="shared" si="146"/>
        <v>4.1399999999999999E-2</v>
      </c>
      <c r="O55" s="1519">
        <f t="shared" si="146"/>
        <v>3.4500000000000003E-2</v>
      </c>
      <c r="P55" s="1519">
        <f t="shared" si="146"/>
        <v>4.9500000000000002E-2</v>
      </c>
      <c r="Q55" s="1519">
        <f t="shared" si="146"/>
        <v>4.82E-2</v>
      </c>
      <c r="R55" s="1520"/>
      <c r="S55" s="1518">
        <f>B55/B56-1</f>
        <v>4.5869215322328349E-2</v>
      </c>
      <c r="T55" s="1519">
        <f>C55/C56-1</f>
        <v>3.6310645345394743E-2</v>
      </c>
      <c r="U55" s="1519">
        <f>E55/E56-1</f>
        <v>4.7553447657088688E-2</v>
      </c>
      <c r="V55" s="1519">
        <f>F55/F56-1</f>
        <v>4.4155360055980086E-2</v>
      </c>
      <c r="X55" s="1521"/>
      <c r="Y55" s="1521"/>
      <c r="Z55" s="1521"/>
    </row>
    <row r="56" spans="1:26" ht="13.5" thickBot="1">
      <c r="A56" s="1461" t="s">
        <v>1182</v>
      </c>
      <c r="B56" s="1469">
        <v>188</v>
      </c>
      <c r="C56" s="1469">
        <v>165</v>
      </c>
      <c r="D56" s="1469">
        <f t="shared" si="144"/>
        <v>165</v>
      </c>
      <c r="E56" s="1469">
        <v>254</v>
      </c>
      <c r="F56" s="1470">
        <v>148</v>
      </c>
      <c r="G56" s="3277">
        <v>2007</v>
      </c>
      <c r="H56" s="1522">
        <v>4</v>
      </c>
      <c r="I56" s="1522">
        <v>5.51</v>
      </c>
      <c r="J56" s="1522">
        <v>4.8899999999999997</v>
      </c>
      <c r="K56" s="1522">
        <v>6.43</v>
      </c>
      <c r="L56" s="1523">
        <v>5.36</v>
      </c>
      <c r="N56" s="1524">
        <f t="shared" ref="N56:O59" si="164">B56/B57-1</f>
        <v>4.1339718365245526E-2</v>
      </c>
      <c r="O56" s="1525">
        <f t="shared" si="164"/>
        <v>4.0324492593776018E-2</v>
      </c>
      <c r="P56" s="1525">
        <f t="shared" ref="P56:Q59" si="165">E56/E57-1</f>
        <v>6.1625555347990968E-2</v>
      </c>
      <c r="Q56" s="1525">
        <f t="shared" si="165"/>
        <v>4.6757569250590603E-2</v>
      </c>
      <c r="R56" s="1474"/>
      <c r="S56" s="1475"/>
      <c r="T56" s="1476"/>
      <c r="U56" s="1476"/>
      <c r="V56" s="1476"/>
      <c r="X56" s="1476"/>
      <c r="Y56" s="1476"/>
      <c r="Z56" s="1476"/>
    </row>
    <row r="57" spans="1:26">
      <c r="A57" s="1461" t="s">
        <v>1183</v>
      </c>
      <c r="B57" s="1477">
        <f t="shared" ref="B57:C59" si="166">B58+(B$56-B$60)*I57/SUM(I$56:I$59)</f>
        <v>180.5366651097618</v>
      </c>
      <c r="C57" s="1477">
        <f t="shared" si="166"/>
        <v>158.60435967302453</v>
      </c>
      <c r="D57" s="1477">
        <f t="shared" si="144"/>
        <v>158.60435967302453</v>
      </c>
      <c r="E57" s="1477">
        <f t="shared" ref="E57:F59" si="167">E58+(E$56-E$60)*K57/SUM(K$56:K$59)</f>
        <v>239.25573260785075</v>
      </c>
      <c r="F57" s="1477">
        <f t="shared" si="167"/>
        <v>141.38899430740037</v>
      </c>
      <c r="G57" s="3278">
        <v>2007</v>
      </c>
      <c r="H57" s="1487">
        <v>3</v>
      </c>
      <c r="I57" s="1487">
        <v>8.65</v>
      </c>
      <c r="J57" s="1487">
        <v>8.06</v>
      </c>
      <c r="K57" s="1487">
        <v>9.94</v>
      </c>
      <c r="L57" s="1488">
        <v>5.8</v>
      </c>
      <c r="N57" s="1524">
        <f t="shared" si="164"/>
        <v>6.940217571740015E-2</v>
      </c>
      <c r="O57" s="1525">
        <f t="shared" si="164"/>
        <v>7.1197482471153428E-2</v>
      </c>
      <c r="P57" s="1525">
        <f t="shared" si="165"/>
        <v>0.10529679922579582</v>
      </c>
      <c r="Q57" s="1525">
        <f t="shared" si="165"/>
        <v>5.3292245059512133E-2</v>
      </c>
      <c r="R57" s="1474"/>
      <c r="S57" s="1472"/>
      <c r="T57" s="1473"/>
      <c r="U57" s="1473"/>
      <c r="V57" s="1473"/>
      <c r="X57" s="1526"/>
      <c r="Y57" s="1526"/>
      <c r="Z57" s="1526"/>
    </row>
    <row r="58" spans="1:26">
      <c r="A58" s="1461" t="s">
        <v>1184</v>
      </c>
      <c r="B58" s="1477">
        <f t="shared" si="166"/>
        <v>168.82017748715555</v>
      </c>
      <c r="C58" s="1477">
        <f t="shared" si="166"/>
        <v>148.06267029972753</v>
      </c>
      <c r="D58" s="1477">
        <f t="shared" si="144"/>
        <v>148.06267029972753</v>
      </c>
      <c r="E58" s="1477">
        <f t="shared" si="167"/>
        <v>216.46288379323747</v>
      </c>
      <c r="F58" s="1477">
        <f t="shared" si="167"/>
        <v>134.23529411764704</v>
      </c>
      <c r="G58" s="3278">
        <v>2007</v>
      </c>
      <c r="H58" s="1465">
        <v>2</v>
      </c>
      <c r="I58" s="1465">
        <v>3.67</v>
      </c>
      <c r="J58" s="1465">
        <v>2.3199999999999998</v>
      </c>
      <c r="K58" s="1465">
        <v>5.0199999999999996</v>
      </c>
      <c r="L58" s="1479">
        <v>6.71</v>
      </c>
      <c r="N58" s="1524">
        <f t="shared" si="164"/>
        <v>3.0339138143848032E-2</v>
      </c>
      <c r="O58" s="1525">
        <f t="shared" si="164"/>
        <v>2.0922341588790472E-2</v>
      </c>
      <c r="P58" s="1525">
        <f t="shared" si="165"/>
        <v>5.6164796592717003E-2</v>
      </c>
      <c r="Q58" s="1525">
        <f t="shared" si="165"/>
        <v>6.5704536723887319E-2</v>
      </c>
      <c r="R58" s="1474"/>
      <c r="S58" s="1472"/>
      <c r="T58" s="1473"/>
      <c r="U58" s="1473"/>
      <c r="V58" s="1473"/>
      <c r="X58" s="1526"/>
      <c r="Y58" s="1526"/>
      <c r="Z58" s="1526"/>
    </row>
    <row r="59" spans="1:26">
      <c r="A59" s="1461" t="s">
        <v>1185</v>
      </c>
      <c r="B59" s="1477">
        <f t="shared" si="166"/>
        <v>163.84913591779542</v>
      </c>
      <c r="C59" s="1477">
        <f t="shared" si="166"/>
        <v>145.0283378746594</v>
      </c>
      <c r="D59" s="1477">
        <f t="shared" si="144"/>
        <v>145.0283378746594</v>
      </c>
      <c r="E59" s="1477">
        <f t="shared" si="167"/>
        <v>204.95180722891567</v>
      </c>
      <c r="F59" s="1477">
        <f t="shared" si="167"/>
        <v>125.95920303605313</v>
      </c>
      <c r="G59" s="3279">
        <v>2007</v>
      </c>
      <c r="H59" s="1464">
        <v>1</v>
      </c>
      <c r="I59" s="1464">
        <v>3.58</v>
      </c>
      <c r="J59" s="1464">
        <v>3.08</v>
      </c>
      <c r="K59" s="1464">
        <v>4.34</v>
      </c>
      <c r="L59" s="1478">
        <v>3.21</v>
      </c>
      <c r="N59" s="1527">
        <f t="shared" si="164"/>
        <v>3.0497710174814063E-2</v>
      </c>
      <c r="O59" s="1528">
        <f t="shared" si="164"/>
        <v>2.8569772160704998E-2</v>
      </c>
      <c r="P59" s="1528">
        <f t="shared" si="165"/>
        <v>5.1034908866234296E-2</v>
      </c>
      <c r="Q59" s="1528">
        <f t="shared" si="165"/>
        <v>3.245248390207478E-2</v>
      </c>
      <c r="R59" s="1474"/>
      <c r="S59" s="1480">
        <f>B59/B60-1</f>
        <v>3.0497710174814063E-2</v>
      </c>
      <c r="T59" s="1481">
        <f>C59/C60-1</f>
        <v>2.8569772160704998E-2</v>
      </c>
      <c r="U59" s="1481">
        <f>E59/E60-1</f>
        <v>5.1034908866234296E-2</v>
      </c>
      <c r="V59" s="1481">
        <f>F59/F60-1</f>
        <v>3.245248390207478E-2</v>
      </c>
      <c r="X59" s="1526"/>
      <c r="Y59" s="1526"/>
      <c r="Z59" s="1526"/>
    </row>
    <row r="60" spans="1:26" ht="13.5" thickBot="1">
      <c r="A60" s="1461" t="s">
        <v>1186</v>
      </c>
      <c r="B60" s="1490">
        <v>159</v>
      </c>
      <c r="C60" s="1490">
        <v>141</v>
      </c>
      <c r="D60" s="1490">
        <f t="shared" si="144"/>
        <v>141</v>
      </c>
      <c r="E60" s="1490">
        <v>195</v>
      </c>
      <c r="F60" s="1491">
        <v>122</v>
      </c>
      <c r="G60" s="3277">
        <v>2006</v>
      </c>
      <c r="H60" s="1482">
        <v>4</v>
      </c>
      <c r="I60" s="1482">
        <v>3.79</v>
      </c>
      <c r="J60" s="1482">
        <v>2.21</v>
      </c>
      <c r="K60" s="1482">
        <v>5.65</v>
      </c>
      <c r="L60" s="1483">
        <v>5.41</v>
      </c>
      <c r="N60" s="1524">
        <f t="shared" ref="N60:O63" si="168">I60/SUM(I$60:I$63)*(B$60/B$64-1)</f>
        <v>7.245466462748526E-2</v>
      </c>
      <c r="O60" s="1525">
        <f t="shared" si="168"/>
        <v>2.3237230038062766E-2</v>
      </c>
      <c r="P60" s="1525">
        <f t="shared" ref="P60:Q63" si="169">K60/SUM(K$60:K$63)*(E$60/E$64-1)</f>
        <v>0.16146893866323722</v>
      </c>
      <c r="Q60" s="1525">
        <f t="shared" si="169"/>
        <v>5.0755230321793784E-2</v>
      </c>
      <c r="R60" s="1474"/>
      <c r="S60" s="1475"/>
      <c r="T60" s="1476"/>
      <c r="U60" s="1476"/>
      <c r="V60" s="1476"/>
      <c r="X60" s="1526"/>
      <c r="Y60" s="1526"/>
      <c r="Z60" s="1526"/>
    </row>
    <row r="61" spans="1:26">
      <c r="A61" s="1461" t="s">
        <v>1187</v>
      </c>
      <c r="B61" s="1477">
        <f t="shared" ref="B61:C63" si="170">B62+(B$60-B$64)*I61/SUM(I$60:I$63)</f>
        <v>149.00125628140702</v>
      </c>
      <c r="C61" s="1477">
        <f t="shared" si="170"/>
        <v>137.95592286501378</v>
      </c>
      <c r="D61" s="1477">
        <f t="shared" si="144"/>
        <v>137.95592286501378</v>
      </c>
      <c r="E61" s="1477">
        <f t="shared" ref="E61:F63" si="171">E62+(E$60-E$64)*K61/SUM(K$60:K$63)</f>
        <v>169.97231450719823</v>
      </c>
      <c r="F61" s="1477">
        <f t="shared" si="171"/>
        <v>116.21390374331551</v>
      </c>
      <c r="G61" s="3278">
        <v>2006</v>
      </c>
      <c r="H61" s="1487">
        <v>3</v>
      </c>
      <c r="I61" s="1487">
        <v>0.92</v>
      </c>
      <c r="J61" s="1487">
        <v>1.08</v>
      </c>
      <c r="K61" s="1487">
        <v>0.73</v>
      </c>
      <c r="L61" s="1488">
        <v>1.08</v>
      </c>
      <c r="N61" s="1524">
        <f t="shared" si="168"/>
        <v>1.7587939698492462E-2</v>
      </c>
      <c r="O61" s="1525">
        <f t="shared" si="168"/>
        <v>1.1355750425840628E-2</v>
      </c>
      <c r="P61" s="1525">
        <f t="shared" si="169"/>
        <v>2.0862358446754544E-2</v>
      </c>
      <c r="Q61" s="1525">
        <f t="shared" si="169"/>
        <v>1.0132282578103011E-2</v>
      </c>
      <c r="R61" s="1474"/>
      <c r="S61" s="1472"/>
      <c r="T61" s="1473"/>
      <c r="U61" s="1473"/>
      <c r="V61" s="1473"/>
      <c r="X61" s="1526"/>
      <c r="Y61" s="1526"/>
      <c r="Z61" s="1526"/>
    </row>
    <row r="62" spans="1:26">
      <c r="A62" s="1461" t="s">
        <v>1188</v>
      </c>
      <c r="B62" s="1477">
        <f t="shared" si="170"/>
        <v>146.57412060301507</v>
      </c>
      <c r="C62" s="1477">
        <f t="shared" si="170"/>
        <v>136.46831955922866</v>
      </c>
      <c r="D62" s="1477">
        <f t="shared" si="144"/>
        <v>136.46831955922866</v>
      </c>
      <c r="E62" s="1477">
        <f t="shared" si="171"/>
        <v>166.73864894795128</v>
      </c>
      <c r="F62" s="1477">
        <f t="shared" si="171"/>
        <v>115.05882352941177</v>
      </c>
      <c r="G62" s="3278">
        <v>2006</v>
      </c>
      <c r="H62" s="1465">
        <v>2</v>
      </c>
      <c r="I62" s="1465">
        <v>0.96</v>
      </c>
      <c r="J62" s="1465">
        <v>0.25</v>
      </c>
      <c r="K62" s="1465">
        <v>1.9</v>
      </c>
      <c r="L62" s="1479">
        <v>0.95</v>
      </c>
      <c r="N62" s="1524">
        <f t="shared" si="168"/>
        <v>1.8352632728861701E-2</v>
      </c>
      <c r="O62" s="1525">
        <f t="shared" si="168"/>
        <v>2.6286459319075526E-3</v>
      </c>
      <c r="P62" s="1525">
        <f t="shared" si="169"/>
        <v>5.4299289107991269E-2</v>
      </c>
      <c r="Q62" s="1525">
        <f t="shared" si="169"/>
        <v>8.9126559714794995E-3</v>
      </c>
      <c r="R62" s="1474"/>
      <c r="S62" s="1472"/>
      <c r="T62" s="1473"/>
      <c r="U62" s="1473"/>
      <c r="V62" s="1473"/>
      <c r="X62" s="1526"/>
      <c r="Y62" s="1526"/>
      <c r="Z62" s="1526"/>
    </row>
    <row r="63" spans="1:26">
      <c r="A63" s="1461" t="s">
        <v>1189</v>
      </c>
      <c r="B63" s="1477">
        <f t="shared" si="170"/>
        <v>144.04145728643215</v>
      </c>
      <c r="C63" s="1477">
        <f t="shared" si="170"/>
        <v>136.12396694214877</v>
      </c>
      <c r="D63" s="1477">
        <f t="shared" si="144"/>
        <v>136.12396694214877</v>
      </c>
      <c r="E63" s="1477">
        <f t="shared" si="171"/>
        <v>158.32225913621264</v>
      </c>
      <c r="F63" s="1477">
        <f t="shared" si="171"/>
        <v>114.04278074866311</v>
      </c>
      <c r="G63" s="3279">
        <v>2006</v>
      </c>
      <c r="H63" s="1464">
        <v>1</v>
      </c>
      <c r="I63" s="1464">
        <v>2.29</v>
      </c>
      <c r="J63" s="1464">
        <v>3.72</v>
      </c>
      <c r="K63" s="1464">
        <v>0.75</v>
      </c>
      <c r="L63" s="1478">
        <v>0.04</v>
      </c>
      <c r="N63" s="1527">
        <f t="shared" si="168"/>
        <v>4.3778675988638847E-2</v>
      </c>
      <c r="O63" s="1528">
        <f t="shared" si="168"/>
        <v>3.9114251466784385E-2</v>
      </c>
      <c r="P63" s="1528">
        <f t="shared" si="169"/>
        <v>2.1433929911049188E-2</v>
      </c>
      <c r="Q63" s="1528">
        <f t="shared" si="169"/>
        <v>3.7526972511492629E-4</v>
      </c>
      <c r="R63" s="1474"/>
      <c r="S63" s="1480">
        <f>B63/B64-1</f>
        <v>4.3778675988638716E-2</v>
      </c>
      <c r="T63" s="1481">
        <f>C63/C64-1</f>
        <v>3.91142514667846E-2</v>
      </c>
      <c r="U63" s="1481">
        <f>E63/E64-1</f>
        <v>2.143392991104931E-2</v>
      </c>
      <c r="V63" s="1481">
        <f>F63/F64-1</f>
        <v>3.7526972511492396E-4</v>
      </c>
      <c r="X63" s="1526"/>
      <c r="Y63" s="1526"/>
      <c r="Z63" s="1526"/>
    </row>
    <row r="64" spans="1:26" ht="13.5" thickBot="1">
      <c r="A64" s="1461" t="s">
        <v>1190</v>
      </c>
      <c r="B64" s="1490">
        <v>138</v>
      </c>
      <c r="C64" s="1490">
        <v>131</v>
      </c>
      <c r="D64" s="1490">
        <f t="shared" si="144"/>
        <v>131</v>
      </c>
      <c r="E64" s="1490">
        <v>155</v>
      </c>
      <c r="F64" s="1491">
        <v>114</v>
      </c>
      <c r="G64" s="3277">
        <v>2005</v>
      </c>
      <c r="H64" s="1482">
        <v>4</v>
      </c>
      <c r="I64" s="1482">
        <v>3.29</v>
      </c>
      <c r="J64" s="1482">
        <v>1.44</v>
      </c>
      <c r="K64" s="1482">
        <v>0.66</v>
      </c>
      <c r="L64" s="1483">
        <v>7.78</v>
      </c>
      <c r="N64" s="1524">
        <f t="shared" ref="N64:O67" si="172">I64/SUM(I$64:I$67)*(B$64/B$68-1)</f>
        <v>9.9404603216919935E-2</v>
      </c>
      <c r="O64" s="1525">
        <f t="shared" si="172"/>
        <v>4.7636550760861554E-2</v>
      </c>
      <c r="P64" s="1525">
        <f t="shared" ref="P64:Q67" si="173">K64/SUM(K$64:K$67)*(E$64/E$68-1)</f>
        <v>8.3756345177664976E-2</v>
      </c>
      <c r="Q64" s="1525">
        <f t="shared" si="173"/>
        <v>5.2148766661559584E-2</v>
      </c>
      <c r="R64" s="1474"/>
      <c r="S64" s="1475"/>
      <c r="T64" s="1476"/>
      <c r="U64" s="1476"/>
      <c r="V64" s="1476"/>
      <c r="X64" s="1526"/>
      <c r="Y64" s="1526"/>
      <c r="Z64" s="1526"/>
    </row>
    <row r="65" spans="1:26">
      <c r="A65" s="1461" t="s">
        <v>1191</v>
      </c>
      <c r="B65" s="1477">
        <f t="shared" ref="B65:C67" si="174">B66+(B$64-B$68)*I65/SUM(I$64:I$67)</f>
        <v>125.9720430107527</v>
      </c>
      <c r="C65" s="1477">
        <f t="shared" si="174"/>
        <v>125.1883408071749</v>
      </c>
      <c r="D65" s="1477">
        <f t="shared" si="144"/>
        <v>125.1883408071749</v>
      </c>
      <c r="E65" s="1477">
        <f t="shared" ref="E65:F67" si="175">E66+(E$64-E$68)*K65/SUM(K$64:K$67)</f>
        <v>144.61421319796952</v>
      </c>
      <c r="F65" s="1477">
        <f t="shared" si="175"/>
        <v>108.42008196721311</v>
      </c>
      <c r="G65" s="3278">
        <v>2005</v>
      </c>
      <c r="H65" s="1487">
        <v>3</v>
      </c>
      <c r="I65" s="1487">
        <v>0.46</v>
      </c>
      <c r="J65" s="1487">
        <v>0.32</v>
      </c>
      <c r="K65" s="1487">
        <v>0.42</v>
      </c>
      <c r="L65" s="1488">
        <v>0.64</v>
      </c>
      <c r="N65" s="1524">
        <f t="shared" si="172"/>
        <v>1.3898515951301874E-2</v>
      </c>
      <c r="O65" s="1525">
        <f t="shared" si="172"/>
        <v>1.0585900169080346E-2</v>
      </c>
      <c r="P65" s="1525">
        <f t="shared" si="173"/>
        <v>5.3299492385786795E-2</v>
      </c>
      <c r="Q65" s="1525">
        <f t="shared" si="173"/>
        <v>4.2898728359123568E-3</v>
      </c>
      <c r="R65" s="1474"/>
      <c r="S65" s="1472"/>
      <c r="T65" s="1473"/>
      <c r="U65" s="1473"/>
      <c r="V65" s="1473"/>
      <c r="X65" s="1526"/>
      <c r="Y65" s="1526"/>
      <c r="Z65" s="1526"/>
    </row>
    <row r="66" spans="1:26">
      <c r="A66" s="1461" t="s">
        <v>1192</v>
      </c>
      <c r="B66" s="1477">
        <f t="shared" si="174"/>
        <v>124.29032258064517</v>
      </c>
      <c r="C66" s="1477">
        <f t="shared" si="174"/>
        <v>123.8968609865471</v>
      </c>
      <c r="D66" s="1477">
        <f t="shared" si="144"/>
        <v>123.8968609865471</v>
      </c>
      <c r="E66" s="1477">
        <f t="shared" si="175"/>
        <v>138.00507614213197</v>
      </c>
      <c r="F66" s="1477">
        <f t="shared" si="175"/>
        <v>107.96106557377048</v>
      </c>
      <c r="G66" s="3278">
        <v>2005</v>
      </c>
      <c r="H66" s="1465">
        <v>2</v>
      </c>
      <c r="I66" s="1465">
        <v>0.47</v>
      </c>
      <c r="J66" s="1465">
        <v>0.1</v>
      </c>
      <c r="K66" s="1465">
        <v>0.52</v>
      </c>
      <c r="L66" s="1479">
        <v>0.79</v>
      </c>
      <c r="N66" s="1524">
        <f t="shared" si="172"/>
        <v>1.420065760241713E-2</v>
      </c>
      <c r="O66" s="1525">
        <f t="shared" si="172"/>
        <v>3.3080938028376083E-3</v>
      </c>
      <c r="P66" s="1525">
        <f t="shared" si="173"/>
        <v>6.598984771573603E-2</v>
      </c>
      <c r="Q66" s="1525">
        <f t="shared" si="173"/>
        <v>5.2953117818293153E-3</v>
      </c>
      <c r="R66" s="1474"/>
      <c r="S66" s="1472"/>
      <c r="T66" s="1473"/>
      <c r="U66" s="1473"/>
      <c r="V66" s="1473"/>
      <c r="X66" s="1526"/>
      <c r="Y66" s="1526"/>
      <c r="Z66" s="1526"/>
    </row>
    <row r="67" spans="1:26">
      <c r="A67" s="1461" t="s">
        <v>1193</v>
      </c>
      <c r="B67" s="1477">
        <f t="shared" si="174"/>
        <v>122.57204301075269</v>
      </c>
      <c r="C67" s="1477">
        <f t="shared" si="174"/>
        <v>123.4932735426009</v>
      </c>
      <c r="D67" s="1477">
        <f t="shared" si="144"/>
        <v>123.4932735426009</v>
      </c>
      <c r="E67" s="1477">
        <f t="shared" si="175"/>
        <v>129.82233502538071</v>
      </c>
      <c r="F67" s="1477">
        <f t="shared" si="175"/>
        <v>107.39446721311475</v>
      </c>
      <c r="G67" s="3279">
        <v>2005</v>
      </c>
      <c r="H67" s="1464">
        <v>1</v>
      </c>
      <c r="I67" s="1464">
        <v>0.43</v>
      </c>
      <c r="J67" s="1464">
        <v>0.37</v>
      </c>
      <c r="K67" s="1464">
        <v>0.37</v>
      </c>
      <c r="L67" s="1478">
        <v>0.55000000000000004</v>
      </c>
      <c r="N67" s="1527">
        <f t="shared" si="172"/>
        <v>1.2992090997956099E-2</v>
      </c>
      <c r="O67" s="1528">
        <f t="shared" si="172"/>
        <v>1.2239947070499151E-2</v>
      </c>
      <c r="P67" s="1528">
        <f t="shared" si="173"/>
        <v>4.6954314720812178E-2</v>
      </c>
      <c r="Q67" s="1528">
        <f t="shared" si="173"/>
        <v>3.6866094683621815E-3</v>
      </c>
      <c r="R67" s="1474"/>
      <c r="S67" s="1480">
        <f>B67/B68-1</f>
        <v>1.2992090997956174E-2</v>
      </c>
      <c r="T67" s="1481">
        <f>C67/C68-1</f>
        <v>1.2239947070499246E-2</v>
      </c>
      <c r="U67" s="1481">
        <f>E67/E68-1</f>
        <v>4.695431472081224E-2</v>
      </c>
      <c r="V67" s="1481">
        <f>F67/F68-1</f>
        <v>3.6866094683620787E-3</v>
      </c>
      <c r="X67" s="1526"/>
      <c r="Y67" s="1526"/>
      <c r="Z67" s="1526"/>
    </row>
    <row r="68" spans="1:26" ht="13.5" thickBot="1">
      <c r="A68" s="1461" t="s">
        <v>1194</v>
      </c>
      <c r="B68" s="1511">
        <v>121</v>
      </c>
      <c r="C68" s="1511">
        <v>122</v>
      </c>
      <c r="D68" s="1511">
        <f t="shared" si="144"/>
        <v>122</v>
      </c>
      <c r="E68" s="1511">
        <v>124</v>
      </c>
      <c r="F68" s="1512">
        <v>107</v>
      </c>
      <c r="G68" s="3277">
        <v>2004</v>
      </c>
      <c r="H68" s="1482">
        <v>4</v>
      </c>
      <c r="I68" s="1482">
        <v>0.33</v>
      </c>
      <c r="J68" s="1482">
        <v>0.5</v>
      </c>
      <c r="K68" s="1482">
        <v>0.5</v>
      </c>
      <c r="L68" s="1483">
        <v>0</v>
      </c>
      <c r="N68" s="1524">
        <f t="shared" ref="N68:O71" si="176">I68/SUM(I$68:I$71)*(B$68/B$72-1)</f>
        <v>1.3391770148526898E-2</v>
      </c>
      <c r="O68" s="1525">
        <f t="shared" si="176"/>
        <v>1.063264221158958E-2</v>
      </c>
      <c r="P68" s="1525">
        <f t="shared" ref="P68:Q71" si="177">K68/SUM(K$68:K$71)*(E$68/E$72-1)</f>
        <v>2.2244466688911134E-2</v>
      </c>
      <c r="Q68" s="1525">
        <f t="shared" si="177"/>
        <v>0</v>
      </c>
      <c r="R68" s="1474"/>
      <c r="S68" s="1475"/>
      <c r="T68" s="1476"/>
      <c r="U68" s="1476"/>
      <c r="V68" s="1476"/>
      <c r="X68" s="1526"/>
      <c r="Y68" s="1526"/>
      <c r="Z68" s="1526"/>
    </row>
    <row r="69" spans="1:26">
      <c r="A69" s="1461" t="s">
        <v>1195</v>
      </c>
      <c r="B69" s="1477">
        <f t="shared" ref="B69:C71" si="178">B70+(B$68-B$72)*I69/SUM(I$68:I$71)</f>
        <v>119.51351351351352</v>
      </c>
      <c r="C69" s="1477">
        <f t="shared" si="178"/>
        <v>120.7878787878788</v>
      </c>
      <c r="D69" s="1477">
        <f t="shared" si="144"/>
        <v>120.7878787878788</v>
      </c>
      <c r="E69" s="1477">
        <f t="shared" ref="E69:F71" si="179">E70+(E$68-E$72)*K69/SUM(K$68:K$71)</f>
        <v>121.5975975975976</v>
      </c>
      <c r="F69" s="1477">
        <f t="shared" si="179"/>
        <v>107</v>
      </c>
      <c r="G69" s="3278">
        <v>2004</v>
      </c>
      <c r="H69" s="1487">
        <v>3</v>
      </c>
      <c r="I69" s="1487">
        <v>0.56000000000000005</v>
      </c>
      <c r="J69" s="1487">
        <v>0.8</v>
      </c>
      <c r="K69" s="1487">
        <v>0.83</v>
      </c>
      <c r="L69" s="1488">
        <v>0.06</v>
      </c>
      <c r="N69" s="1524">
        <f t="shared" si="176"/>
        <v>2.2725428130833527E-2</v>
      </c>
      <c r="O69" s="1525">
        <f t="shared" si="176"/>
        <v>1.7012227538543329E-2</v>
      </c>
      <c r="P69" s="1525">
        <f t="shared" si="177"/>
        <v>3.6925814703592477E-2</v>
      </c>
      <c r="Q69" s="1525">
        <f t="shared" si="177"/>
        <v>2.8846153846153744E-2</v>
      </c>
      <c r="R69" s="1474"/>
      <c r="S69" s="1472"/>
      <c r="T69" s="1473"/>
      <c r="U69" s="1473"/>
      <c r="V69" s="1473"/>
      <c r="X69" s="1526"/>
      <c r="Y69" s="1526"/>
      <c r="Z69" s="1526"/>
    </row>
    <row r="70" spans="1:26">
      <c r="A70" s="1461" t="s">
        <v>1196</v>
      </c>
      <c r="B70" s="1477">
        <f t="shared" si="178"/>
        <v>116.99099099099099</v>
      </c>
      <c r="C70" s="1477">
        <f t="shared" si="178"/>
        <v>118.84848484848486</v>
      </c>
      <c r="D70" s="1477">
        <f t="shared" si="144"/>
        <v>118.84848484848486</v>
      </c>
      <c r="E70" s="1477">
        <f t="shared" si="179"/>
        <v>117.60960960960961</v>
      </c>
      <c r="F70" s="1477">
        <f t="shared" si="179"/>
        <v>104</v>
      </c>
      <c r="G70" s="3278">
        <v>2004</v>
      </c>
      <c r="H70" s="1465">
        <v>2</v>
      </c>
      <c r="I70" s="1465">
        <v>1</v>
      </c>
      <c r="J70" s="1465">
        <v>1.5</v>
      </c>
      <c r="K70" s="1465">
        <v>1.5</v>
      </c>
      <c r="L70" s="1479">
        <v>0</v>
      </c>
      <c r="N70" s="1524">
        <f t="shared" si="176"/>
        <v>4.0581121662202721E-2</v>
      </c>
      <c r="O70" s="1525">
        <f t="shared" si="176"/>
        <v>3.1897926634768738E-2</v>
      </c>
      <c r="P70" s="1525">
        <f t="shared" si="177"/>
        <v>6.6733400066733395E-2</v>
      </c>
      <c r="Q70" s="1525">
        <f t="shared" si="177"/>
        <v>0</v>
      </c>
      <c r="R70" s="1474"/>
      <c r="S70" s="1472"/>
      <c r="T70" s="1473"/>
      <c r="U70" s="1473"/>
      <c r="V70" s="1473"/>
      <c r="X70" s="1526"/>
      <c r="Y70" s="1526"/>
      <c r="Z70" s="1526"/>
    </row>
    <row r="71" spans="1:26" s="1517" customFormat="1" ht="13.5" thickBot="1">
      <c r="A71" s="1461" t="s">
        <v>1197</v>
      </c>
      <c r="B71" s="1514">
        <f t="shared" si="178"/>
        <v>112.48648648648648</v>
      </c>
      <c r="C71" s="1514">
        <f t="shared" si="178"/>
        <v>115.21212121212122</v>
      </c>
      <c r="D71" s="1514">
        <f t="shared" si="144"/>
        <v>115.21212121212122</v>
      </c>
      <c r="E71" s="1514">
        <f t="shared" si="179"/>
        <v>110.4024024024024</v>
      </c>
      <c r="F71" s="1514">
        <f t="shared" si="179"/>
        <v>104</v>
      </c>
      <c r="G71" s="3279">
        <v>2004</v>
      </c>
      <c r="H71" s="1515">
        <v>1</v>
      </c>
      <c r="I71" s="1515">
        <v>0.33</v>
      </c>
      <c r="J71" s="1515">
        <v>0.5</v>
      </c>
      <c r="K71" s="1515">
        <v>0.5</v>
      </c>
      <c r="L71" s="1516">
        <v>0</v>
      </c>
      <c r="N71" s="1529">
        <f t="shared" si="176"/>
        <v>1.3391770148526898E-2</v>
      </c>
      <c r="O71" s="1530">
        <f t="shared" si="176"/>
        <v>1.063264221158958E-2</v>
      </c>
      <c r="P71" s="1530">
        <f t="shared" si="177"/>
        <v>2.2244466688911134E-2</v>
      </c>
      <c r="Q71" s="1530">
        <f t="shared" si="177"/>
        <v>0</v>
      </c>
      <c r="R71" s="1520"/>
      <c r="S71" s="1518">
        <f>B71/B72-1</f>
        <v>1.3391770148526883E-2</v>
      </c>
      <c r="T71" s="1519">
        <f>C71/C72-1</f>
        <v>1.063264221158966E-2</v>
      </c>
      <c r="U71" s="1519">
        <f>E71/E72-1</f>
        <v>2.2244466688911224E-2</v>
      </c>
      <c r="V71" s="1519">
        <f>F71/F72-1</f>
        <v>0</v>
      </c>
      <c r="X71" s="1531"/>
      <c r="Y71" s="1531"/>
      <c r="Z71" s="1531"/>
    </row>
    <row r="72" spans="1:26" ht="13.5" thickBot="1">
      <c r="A72" s="1461" t="s">
        <v>1198</v>
      </c>
      <c r="B72" s="1532">
        <v>111</v>
      </c>
      <c r="C72" s="1532">
        <v>114</v>
      </c>
      <c r="D72" s="1532">
        <f t="shared" si="144"/>
        <v>114</v>
      </c>
      <c r="E72" s="1532">
        <v>108</v>
      </c>
      <c r="F72" s="1533">
        <v>104</v>
      </c>
      <c r="G72" s="3277">
        <v>2003</v>
      </c>
      <c r="H72" s="1522">
        <v>4</v>
      </c>
      <c r="I72" s="1534"/>
      <c r="J72" s="1534"/>
      <c r="K72" s="1534"/>
      <c r="L72" s="1534"/>
      <c r="N72" s="1535"/>
      <c r="O72" s="1534"/>
      <c r="P72" s="1534"/>
      <c r="Q72" s="1534"/>
      <c r="S72" s="1535"/>
      <c r="T72" s="1534"/>
      <c r="U72" s="1534"/>
      <c r="V72" s="1534"/>
      <c r="X72" s="1526"/>
      <c r="Y72" s="1526"/>
      <c r="Z72" s="1526"/>
    </row>
    <row r="73" spans="1:26">
      <c r="A73" s="1461" t="s">
        <v>1199</v>
      </c>
      <c r="B73" s="1536">
        <f t="shared" ref="B73:C75" si="180">B74+(B$72-B$76)/4</f>
        <v>109.75</v>
      </c>
      <c r="C73" s="1536">
        <f t="shared" si="180"/>
        <v>112.25</v>
      </c>
      <c r="D73" s="1536">
        <f t="shared" si="144"/>
        <v>112.25</v>
      </c>
      <c r="E73" s="1536">
        <f t="shared" ref="E73:F75" si="181">E74+(E$72-E$76)/4</f>
        <v>107.25</v>
      </c>
      <c r="F73" s="1536">
        <f t="shared" si="181"/>
        <v>103.5</v>
      </c>
      <c r="G73" s="3278">
        <v>2003</v>
      </c>
      <c r="H73" s="1487">
        <v>3</v>
      </c>
      <c r="I73" s="1534"/>
      <c r="J73" s="1534"/>
      <c r="K73" s="1534"/>
      <c r="L73" s="1534"/>
      <c r="X73" s="1526"/>
      <c r="Y73" s="1526"/>
      <c r="Z73" s="1526"/>
    </row>
    <row r="74" spans="1:26">
      <c r="A74" s="1461" t="s">
        <v>1200</v>
      </c>
      <c r="B74" s="1536">
        <f t="shared" si="180"/>
        <v>108.5</v>
      </c>
      <c r="C74" s="1536">
        <f t="shared" si="180"/>
        <v>110.5</v>
      </c>
      <c r="D74" s="1536">
        <f t="shared" si="144"/>
        <v>110.5</v>
      </c>
      <c r="E74" s="1536">
        <f t="shared" si="181"/>
        <v>106.5</v>
      </c>
      <c r="F74" s="1536">
        <f t="shared" si="181"/>
        <v>103</v>
      </c>
      <c r="G74" s="3278">
        <v>2003</v>
      </c>
      <c r="H74" s="1465">
        <v>2</v>
      </c>
      <c r="I74" s="1534"/>
      <c r="J74" s="1534"/>
      <c r="K74" s="1534"/>
      <c r="L74" s="1534"/>
      <c r="X74" s="1526"/>
      <c r="Y74" s="1526"/>
      <c r="Z74" s="1526"/>
    </row>
    <row r="75" spans="1:26" ht="13.5" thickBot="1">
      <c r="A75" s="1461" t="s">
        <v>1201</v>
      </c>
      <c r="B75" s="1536">
        <f t="shared" si="180"/>
        <v>107.25</v>
      </c>
      <c r="C75" s="1536">
        <f t="shared" si="180"/>
        <v>108.75</v>
      </c>
      <c r="D75" s="1536">
        <f t="shared" si="144"/>
        <v>108.75</v>
      </c>
      <c r="E75" s="1536">
        <f t="shared" si="181"/>
        <v>105.75</v>
      </c>
      <c r="F75" s="1536">
        <f t="shared" si="181"/>
        <v>102.5</v>
      </c>
      <c r="G75" s="3279">
        <v>2003</v>
      </c>
      <c r="H75" s="1537">
        <v>1</v>
      </c>
      <c r="I75" s="1534"/>
      <c r="J75" s="1534"/>
      <c r="K75" s="1534"/>
      <c r="L75" s="1534"/>
      <c r="S75" s="1472"/>
      <c r="T75" s="1473"/>
      <c r="U75" s="1473"/>
      <c r="X75" s="1526"/>
      <c r="Y75" s="1526"/>
      <c r="Z75" s="1526"/>
    </row>
    <row r="76" spans="1:26" ht="13.5" thickBot="1">
      <c r="A76" s="1461" t="s">
        <v>1202</v>
      </c>
      <c r="B76" s="1538">
        <v>106</v>
      </c>
      <c r="C76" s="1538">
        <v>107</v>
      </c>
      <c r="D76" s="1538">
        <f t="shared" si="144"/>
        <v>107</v>
      </c>
      <c r="E76" s="1538">
        <v>105</v>
      </c>
      <c r="F76" s="1539">
        <v>102</v>
      </c>
      <c r="G76" s="3277">
        <v>2002</v>
      </c>
      <c r="H76" s="1482">
        <v>4</v>
      </c>
      <c r="I76" s="1534"/>
      <c r="J76" s="1534"/>
      <c r="K76" s="1534"/>
      <c r="L76" s="1534"/>
      <c r="N76" s="1535"/>
      <c r="O76" s="1534"/>
      <c r="P76" s="1534"/>
      <c r="Q76" s="1534"/>
      <c r="S76" s="1535"/>
      <c r="T76" s="1534"/>
      <c r="U76" s="1534"/>
      <c r="V76" s="1534"/>
      <c r="X76" s="1526"/>
      <c r="Y76" s="1526"/>
      <c r="Z76" s="1526"/>
    </row>
    <row r="77" spans="1:26">
      <c r="A77" s="1461" t="s">
        <v>1203</v>
      </c>
      <c r="B77" s="1536">
        <f t="shared" ref="B77:C79" si="182">B78+(B$76-B$80)/4</f>
        <v>105</v>
      </c>
      <c r="C77" s="1536">
        <f t="shared" si="182"/>
        <v>106</v>
      </c>
      <c r="D77" s="1536">
        <f t="shared" si="144"/>
        <v>106</v>
      </c>
      <c r="E77" s="1536">
        <f t="shared" ref="E77:F79" si="183">E78+(E$76-E$80)/4</f>
        <v>104.5</v>
      </c>
      <c r="F77" s="1536">
        <f t="shared" si="183"/>
        <v>101.5</v>
      </c>
      <c r="G77" s="3278">
        <v>2002</v>
      </c>
      <c r="H77" s="1487">
        <v>3</v>
      </c>
      <c r="I77" s="1534"/>
      <c r="J77" s="1534"/>
      <c r="K77" s="1534"/>
      <c r="L77" s="1534"/>
      <c r="X77" s="1526"/>
      <c r="Y77" s="1526"/>
      <c r="Z77" s="1526"/>
    </row>
    <row r="78" spans="1:26">
      <c r="A78" s="1461" t="s">
        <v>1204</v>
      </c>
      <c r="B78" s="1536">
        <f t="shared" si="182"/>
        <v>104</v>
      </c>
      <c r="C78" s="1536">
        <f t="shared" si="182"/>
        <v>105</v>
      </c>
      <c r="D78" s="1536">
        <f t="shared" si="144"/>
        <v>105</v>
      </c>
      <c r="E78" s="1536">
        <f t="shared" si="183"/>
        <v>104</v>
      </c>
      <c r="F78" s="1536">
        <f t="shared" si="183"/>
        <v>101</v>
      </c>
      <c r="G78" s="3278">
        <v>2002</v>
      </c>
      <c r="H78" s="1465">
        <v>2</v>
      </c>
      <c r="I78" s="1534"/>
      <c r="J78" s="1534"/>
      <c r="K78" s="1534"/>
      <c r="L78" s="1534"/>
      <c r="X78" s="1526"/>
      <c r="Y78" s="1526"/>
      <c r="Z78" s="1526"/>
    </row>
    <row r="79" spans="1:26" s="1498" customFormat="1" ht="13.5" thickBot="1">
      <c r="A79" s="1494" t="s">
        <v>1205</v>
      </c>
      <c r="B79" s="1540">
        <f t="shared" si="182"/>
        <v>103</v>
      </c>
      <c r="C79" s="1540">
        <f t="shared" si="182"/>
        <v>104</v>
      </c>
      <c r="D79" s="1540">
        <f t="shared" si="144"/>
        <v>104</v>
      </c>
      <c r="E79" s="1540">
        <f t="shared" si="183"/>
        <v>103.5</v>
      </c>
      <c r="F79" s="1540">
        <f t="shared" si="183"/>
        <v>100.5</v>
      </c>
      <c r="G79" s="3279">
        <v>2002</v>
      </c>
      <c r="H79" s="1541">
        <v>1</v>
      </c>
      <c r="I79" s="1542"/>
      <c r="J79" s="1542"/>
      <c r="K79" s="1542"/>
      <c r="L79" s="1542"/>
      <c r="N79" s="1543"/>
      <c r="S79" s="1543"/>
      <c r="X79" s="1544"/>
      <c r="Y79" s="1544"/>
      <c r="Z79" s="1544"/>
    </row>
    <row r="80" spans="1:26" ht="13.5" thickBot="1">
      <c r="B80" s="1545">
        <v>102</v>
      </c>
      <c r="C80" s="1546">
        <v>103</v>
      </c>
      <c r="D80" s="1546">
        <f t="shared" si="144"/>
        <v>103</v>
      </c>
      <c r="E80" s="1546">
        <v>103</v>
      </c>
      <c r="F80" s="1547">
        <v>100</v>
      </c>
      <c r="I80" s="1534"/>
      <c r="J80" s="1534"/>
      <c r="K80" s="1534"/>
      <c r="L80" s="1534"/>
      <c r="N80" s="1535"/>
      <c r="O80" s="1534"/>
      <c r="P80" s="1534"/>
      <c r="Q80" s="1534"/>
      <c r="S80" s="1535"/>
      <c r="T80" s="1534"/>
      <c r="U80" s="1534"/>
      <c r="V80" s="1534"/>
      <c r="X80" s="1476"/>
      <c r="Y80" s="1476"/>
      <c r="Z80" s="1476"/>
    </row>
    <row r="82" spans="1:22" s="1549" customFormat="1">
      <c r="A82" s="1548" t="s">
        <v>1206</v>
      </c>
      <c r="G82" s="1550"/>
      <c r="N82" s="1550"/>
      <c r="S82" s="1550"/>
    </row>
    <row r="83" spans="1:22" s="1549" customFormat="1">
      <c r="A83" s="1549" t="s">
        <v>1207</v>
      </c>
      <c r="G83" s="1550"/>
      <c r="N83" s="1550"/>
      <c r="S83" s="1550"/>
    </row>
    <row r="84" spans="1:22" s="1549" customFormat="1">
      <c r="A84" s="1549" t="s">
        <v>1208</v>
      </c>
      <c r="G84" s="1550"/>
      <c r="I84" s="1551"/>
      <c r="J84" s="1551"/>
      <c r="K84" s="1551"/>
      <c r="L84" s="1551"/>
      <c r="N84" s="1552"/>
      <c r="O84" s="1551"/>
      <c r="P84" s="1551"/>
      <c r="Q84" s="1551"/>
      <c r="S84" s="1552"/>
      <c r="T84" s="1551"/>
      <c r="U84" s="1551"/>
      <c r="V84" s="1551"/>
    </row>
    <row r="85" spans="1:22" s="1549" customFormat="1">
      <c r="A85" s="1549" t="s">
        <v>1209</v>
      </c>
      <c r="G85" s="1550"/>
      <c r="N85" s="1550"/>
      <c r="S85" s="1550"/>
    </row>
    <row r="92" spans="1:22" ht="13.5" thickBot="1"/>
    <row r="93" spans="1:22">
      <c r="G93" s="1471"/>
      <c r="S93" s="1553" t="s">
        <v>1210</v>
      </c>
      <c r="T93" s="1554" t="s">
        <v>1211</v>
      </c>
      <c r="U93" s="1554" t="s">
        <v>1212</v>
      </c>
      <c r="V93" s="1554" t="s">
        <v>1213</v>
      </c>
    </row>
    <row r="94" spans="1:22">
      <c r="G94" s="1471"/>
      <c r="N94" s="1475"/>
      <c r="O94" s="1476"/>
      <c r="P94" s="1476"/>
      <c r="Q94" s="1476"/>
      <c r="S94" s="1555">
        <v>2006</v>
      </c>
      <c r="T94" s="1556">
        <v>15.1</v>
      </c>
      <c r="U94" s="1556">
        <v>7.43</v>
      </c>
      <c r="V94" s="1556">
        <v>26.26</v>
      </c>
    </row>
    <row r="95" spans="1:22">
      <c r="G95" s="1471"/>
      <c r="N95" s="1475"/>
      <c r="O95" s="1476"/>
      <c r="P95" s="1476"/>
      <c r="Q95" s="1476"/>
      <c r="S95" s="1557">
        <v>2005</v>
      </c>
      <c r="T95" s="1558">
        <v>13.9</v>
      </c>
      <c r="U95" s="1558">
        <v>7.49</v>
      </c>
      <c r="V95" s="1558">
        <v>24.92</v>
      </c>
    </row>
    <row r="96" spans="1:22">
      <c r="G96" s="1471"/>
      <c r="N96" s="1475"/>
      <c r="O96" s="1476"/>
      <c r="P96" s="1476"/>
      <c r="Q96" s="1476"/>
      <c r="S96" s="1555">
        <v>2004</v>
      </c>
      <c r="T96" s="1556">
        <v>9.48</v>
      </c>
      <c r="U96" s="1556">
        <v>7.2</v>
      </c>
      <c r="V96" s="1556">
        <v>14.68</v>
      </c>
    </row>
    <row r="97" spans="7:22">
      <c r="G97" s="1471"/>
      <c r="N97" s="1475"/>
      <c r="O97" s="1476"/>
      <c r="P97" s="1476"/>
      <c r="Q97" s="1476"/>
      <c r="S97" s="1557">
        <v>2003</v>
      </c>
      <c r="T97" s="1558">
        <v>4.5</v>
      </c>
      <c r="U97" s="1558">
        <v>6.12</v>
      </c>
      <c r="V97" s="1558">
        <v>2.34</v>
      </c>
    </row>
    <row r="98" spans="7:22" ht="13.5" thickBot="1">
      <c r="G98" s="1471"/>
      <c r="N98" s="1475"/>
      <c r="O98" s="1476"/>
      <c r="P98" s="1476"/>
      <c r="Q98" s="1476"/>
      <c r="S98" s="1559">
        <v>2002</v>
      </c>
      <c r="T98" s="1560">
        <v>3.59</v>
      </c>
      <c r="U98" s="1560">
        <v>4.54</v>
      </c>
      <c r="V98" s="1560">
        <v>2.5499999999999998</v>
      </c>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row r="114" spans="7:19">
      <c r="G114" s="1471"/>
      <c r="N114" s="1475"/>
      <c r="O114" s="1476"/>
      <c r="P114" s="1476"/>
      <c r="Q114" s="1476"/>
      <c r="S114" s="1471"/>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52"/>
      <c r="B4" s="2969" t="s">
        <v>1624</v>
      </c>
      <c r="C4" s="2969"/>
      <c r="D4" s="2969"/>
      <c r="E4" s="1952"/>
    </row>
    <row r="5" spans="1:5" ht="16.5" thickTop="1">
      <c r="A5" s="1950"/>
      <c r="B5" s="2967" t="s">
        <v>1616</v>
      </c>
      <c r="C5" s="1953" t="s">
        <v>1617</v>
      </c>
      <c r="D5" s="1040">
        <f ca="1">结果表!H101</f>
        <v>2330</v>
      </c>
      <c r="E5" s="1950"/>
    </row>
    <row r="6" spans="1:5" ht="15.75">
      <c r="A6" s="1950"/>
      <c r="B6" s="2967"/>
      <c r="C6" s="1953" t="s">
        <v>1618</v>
      </c>
      <c r="D6" s="1040" t="str">
        <f ca="1">NUMBERSTRING(INT(D5*10000),2)&amp;"元整"</f>
        <v>贰仟叁佰叁拾万元整</v>
      </c>
      <c r="E6" s="1950"/>
    </row>
    <row r="7" spans="1:5" ht="15.75">
      <c r="A7" s="1950"/>
      <c r="B7" s="2972"/>
      <c r="C7" s="1954" t="s">
        <v>1619</v>
      </c>
      <c r="D7" s="1041">
        <f ca="1">结果表!H102</f>
        <v>100202</v>
      </c>
      <c r="E7" s="1950"/>
    </row>
    <row r="8" spans="1:5" ht="15.75">
      <c r="A8" s="1950"/>
      <c r="B8" s="2973" t="str">
        <f>结果表!E103</f>
        <v>2.估价师知悉的法定优先受偿款</v>
      </c>
      <c r="C8" s="1955" t="s">
        <v>1620</v>
      </c>
      <c r="D8" s="1041">
        <f>结果表!H103</f>
        <v>0</v>
      </c>
      <c r="E8" s="1950"/>
    </row>
    <row r="9" spans="1:5" ht="15.75">
      <c r="A9" s="1950"/>
      <c r="B9" s="2975"/>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6" t="str">
        <f>结果表!E107</f>
        <v>3.房地产抵押价值</v>
      </c>
      <c r="C13" s="1958" t="s">
        <v>1617</v>
      </c>
      <c r="D13" s="1043">
        <f ca="1">结果表!H107</f>
        <v>2330</v>
      </c>
      <c r="E13" s="1950"/>
    </row>
    <row r="14" spans="1:5" ht="15.75">
      <c r="A14" s="1950"/>
      <c r="B14" s="2967"/>
      <c r="C14" s="1953" t="s">
        <v>1618</v>
      </c>
      <c r="D14" s="1040" t="str">
        <f ca="1">NUMBERSTRING(INT(D13*10000),2)&amp;"元整"</f>
        <v>贰仟叁佰叁拾万元整</v>
      </c>
      <c r="E14" s="1950"/>
    </row>
    <row r="15" spans="1:5" ht="15">
      <c r="A15" s="1950"/>
      <c r="B15" s="2972"/>
      <c r="C15" s="1954" t="s">
        <v>1628</v>
      </c>
      <c r="D15" s="1052">
        <f ca="1">结果表!H108</f>
        <v>100202</v>
      </c>
      <c r="E15" s="1950"/>
    </row>
    <row r="16" spans="1:5" ht="15">
      <c r="A16" s="1950"/>
      <c r="B16" s="2973" t="str">
        <f>结果表!E109</f>
        <v>——</v>
      </c>
      <c r="C16" s="1958" t="s">
        <v>1629</v>
      </c>
      <c r="D16" s="1959" t="str">
        <f>结果表!H109</f>
        <v>——</v>
      </c>
      <c r="E16" s="1950"/>
    </row>
    <row r="17" spans="1:5" ht="15.75">
      <c r="A17" s="1950"/>
      <c r="B17" s="2974"/>
      <c r="C17" s="1953" t="s">
        <v>1630</v>
      </c>
      <c r="D17" s="1040" t="e">
        <f>NUMBERSTRING(INT(D16*10000),2)&amp;"元整"</f>
        <v>#VALUE!</v>
      </c>
      <c r="E17" s="1950"/>
    </row>
    <row r="18" spans="1:5" ht="15">
      <c r="A18" s="1950"/>
      <c r="B18" s="2975"/>
      <c r="C18" s="1954" t="s">
        <v>1619</v>
      </c>
      <c r="D18" s="1052" t="str">
        <f>结果表!H110</f>
        <v>——</v>
      </c>
      <c r="E18" s="1950"/>
    </row>
    <row r="19" spans="1:5" ht="15.75">
      <c r="A19" s="1950"/>
      <c r="B19" s="2966" t="str">
        <f>结果表!E111</f>
        <v>——</v>
      </c>
      <c r="C19" s="1958" t="s">
        <v>1617</v>
      </c>
      <c r="D19" s="1041" t="str">
        <f>结果表!H111</f>
        <v>——</v>
      </c>
      <c r="E19" s="1950"/>
    </row>
    <row r="20" spans="1:5" ht="15.75">
      <c r="A20" s="1950"/>
      <c r="B20" s="2967"/>
      <c r="C20" s="1953" t="s">
        <v>1630</v>
      </c>
      <c r="D20" s="1040" t="e">
        <f>NUMBERSTRING(INT(D19*10000),2)&amp;"元整"</f>
        <v>#VALUE!</v>
      </c>
      <c r="E20" s="1950"/>
    </row>
    <row r="21" spans="1:5" ht="15.75" thickBot="1">
      <c r="A21" s="1950"/>
      <c r="B21" s="2968"/>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9" t="s">
        <v>3003</v>
      </c>
      <c r="D1" s="3290"/>
      <c r="E1" s="3290"/>
      <c r="F1" s="3290"/>
      <c r="G1" s="3290"/>
      <c r="H1" s="3290"/>
      <c r="I1" s="3290"/>
      <c r="J1" s="3290"/>
      <c r="K1" s="3290"/>
      <c r="L1" s="3290"/>
      <c r="M1" s="3290"/>
      <c r="N1" s="3290"/>
      <c r="O1" s="3290"/>
      <c r="P1" s="3290"/>
      <c r="Q1" s="3290"/>
      <c r="R1" s="3290"/>
      <c r="S1" s="3291"/>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3012</v>
      </c>
      <c r="B17" s="2901"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2" t="s">
        <v>3014</v>
      </c>
      <c r="E19" s="1784"/>
      <c r="F19" s="1784"/>
      <c r="G19" s="1784"/>
      <c r="H19" s="1280"/>
      <c r="I19" s="168"/>
      <c r="J19" s="168"/>
      <c r="K19" s="168"/>
      <c r="L19" s="168"/>
      <c r="M19" s="168"/>
      <c r="N19" s="168"/>
      <c r="O19" s="168"/>
      <c r="P19" s="168"/>
      <c r="Q19" s="168"/>
      <c r="R19" s="788"/>
      <c r="S19" s="138"/>
    </row>
    <row r="20" spans="1:45" ht="16.5" thickBot="1">
      <c r="A20" s="715" t="s">
        <v>3015</v>
      </c>
      <c r="B20" s="338" t="e">
        <f ca="1">IF(D20="——",S22,S22-F20)</f>
        <v>#REF!</v>
      </c>
      <c r="C20" s="168"/>
      <c r="D20" s="2903" t="s">
        <v>3016</v>
      </c>
      <c r="E20" s="1785"/>
      <c r="F20" s="1204" t="e">
        <f ca="1">SUMIF(INDIRECT("'"&amp;H20&amp;"'"&amp;"!A:A"),"承租人权益价值",INDIRECT("'"&amp;H20&amp;"'"&amp;"!c:c"))</f>
        <v>#REF!</v>
      </c>
      <c r="G20" s="1204" t="s">
        <v>3017</v>
      </c>
      <c r="H20" s="2904"/>
      <c r="I20" s="168"/>
      <c r="J20" s="168"/>
      <c r="K20" s="168"/>
      <c r="L20" s="168"/>
      <c r="M20" s="168"/>
      <c r="N20" s="168"/>
      <c r="O20" s="168"/>
      <c r="P20" s="168"/>
      <c r="Q20" s="168"/>
      <c r="R20" s="788"/>
      <c r="S20" s="138"/>
    </row>
    <row r="21" spans="1:45" ht="15.75">
      <c r="A21" s="715" t="s">
        <v>3018</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46" t="s">
        <v>33</v>
      </c>
      <c r="D22" s="3147"/>
      <c r="E22" s="3147"/>
      <c r="F22" s="3147"/>
      <c r="G22" s="3147"/>
      <c r="H22" s="3147"/>
      <c r="I22" s="3147"/>
      <c r="J22" s="3147"/>
      <c r="K22" s="3147"/>
      <c r="L22" s="3147"/>
      <c r="M22" s="3147"/>
      <c r="N22" s="3147"/>
      <c r="O22" s="3147"/>
      <c r="P22" s="3147"/>
      <c r="Q22" s="3288"/>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28462</v>
      </c>
      <c r="C2" s="2" t="s">
        <v>133</v>
      </c>
      <c r="D2" s="243"/>
      <c r="E2" s="243"/>
      <c r="F2" s="243"/>
      <c r="G2" s="243"/>
    </row>
    <row r="3" spans="1:7" s="244" customFormat="1" ht="18" customHeight="1" thickBot="1">
      <c r="A3" s="247" t="s">
        <v>85</v>
      </c>
      <c r="B3" s="248">
        <f ca="1">ROUND(B2*10000/'数据-汇总表'!E3,0)</f>
        <v>1224014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4</v>
      </c>
      <c r="D9" s="1032">
        <f>'数据-汇总表'!E5</f>
        <v>232.53</v>
      </c>
      <c r="E9" s="269">
        <f>'数据-取费表'!B27</f>
        <v>160</v>
      </c>
      <c r="F9" s="265"/>
      <c r="G9" s="270"/>
    </row>
    <row r="10" spans="1:7" s="258" customFormat="1" ht="13.5" customHeight="1">
      <c r="A10" s="950" t="s">
        <v>801</v>
      </c>
      <c r="B10" s="268" t="s">
        <v>94</v>
      </c>
      <c r="C10" s="269">
        <f>ROUND(D10*E10/10000,0)</f>
        <v>0</v>
      </c>
      <c r="D10" s="1032">
        <f>'数据-汇总表'!E6</f>
        <v>0</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5</v>
      </c>
      <c r="D19" s="1036">
        <f>'数据-汇总表'!E3</f>
        <v>232.53</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3154</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3154</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28372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93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81</v>
      </c>
      <c r="D34" s="261"/>
      <c r="E34" s="264"/>
      <c r="F34" s="301">
        <f>IF('数据-取费表'!B24=0,1,'数据-取费表'!N16)</f>
        <v>1</v>
      </c>
      <c r="G34" s="263" t="s">
        <v>116</v>
      </c>
    </row>
    <row r="35" spans="1:7" ht="13.5" customHeight="1">
      <c r="A35" s="951" t="s">
        <v>796</v>
      </c>
      <c r="B35" s="259" t="s">
        <v>60</v>
      </c>
      <c r="C35" s="264">
        <f>ROUND(C34*F35,0)</f>
        <v>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v>
      </c>
      <c r="D36" s="264"/>
      <c r="E36" s="264"/>
      <c r="F36" s="303">
        <f>'数据-取费表'!B34</f>
        <v>0.05</v>
      </c>
      <c r="G36" s="304" t="s">
        <v>62</v>
      </c>
    </row>
    <row r="37" spans="1:7" s="302" customFormat="1" ht="13.5" customHeight="1">
      <c r="A37" s="951" t="s">
        <v>798</v>
      </c>
      <c r="B37" s="259" t="s">
        <v>118</v>
      </c>
      <c r="C37" s="293">
        <f>ROUND(E37*D37*F34/10000,0)</f>
        <v>5</v>
      </c>
      <c r="D37" s="261">
        <f>'数据-汇总表'!E3</f>
        <v>232.53</v>
      </c>
      <c r="E37" s="293">
        <f>'数据-取费表'!B35</f>
        <v>200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4</v>
      </c>
      <c r="D42" s="282"/>
      <c r="E42" s="282"/>
      <c r="F42" s="283"/>
      <c r="G42" s="3199" t="s">
        <v>121</v>
      </c>
    </row>
    <row r="43" spans="1:7" ht="13.5" customHeight="1">
      <c r="A43" s="951" t="s">
        <v>792</v>
      </c>
      <c r="B43" s="259" t="s">
        <v>1060</v>
      </c>
      <c r="C43" s="282">
        <f ca="1">ROUND(IF('数据-取费表'!B22&lt;=1,C39*F22*'数据-取费表'!B21/2,C39*(POWER((1+F22),'数据-取费表'!B21/2)-1)),0)</f>
        <v>0</v>
      </c>
      <c r="D43" s="282"/>
      <c r="E43" s="282"/>
      <c r="F43" s="283"/>
      <c r="G43" s="3200"/>
    </row>
    <row r="44" spans="1:7" ht="13.5" customHeight="1">
      <c r="A44" s="951" t="s">
        <v>793</v>
      </c>
      <c r="B44" s="259" t="s">
        <v>1062</v>
      </c>
      <c r="C44" s="282">
        <f ca="1">ROUND(IF('数据-取费表'!B22&lt;=1,C40*F22*'数据-取费表'!B21/2,C40*(POWER((1+F22),'数据-取费表'!B21/2)-1)),4)</f>
        <v>1E-3</v>
      </c>
      <c r="D44" s="282"/>
      <c r="E44" s="282"/>
      <c r="F44" s="283"/>
      <c r="G44" s="3201"/>
    </row>
    <row r="45" spans="1:7" s="258" customFormat="1" ht="13.5" customHeight="1">
      <c r="A45" s="948" t="s">
        <v>786</v>
      </c>
      <c r="B45" s="288" t="s">
        <v>112</v>
      </c>
      <c r="C45" s="289">
        <f>C46</f>
        <v>14</v>
      </c>
      <c r="D45" s="279">
        <f>C47</f>
        <v>3.0000000000000001E-3</v>
      </c>
      <c r="E45" s="280" t="s">
        <v>129</v>
      </c>
      <c r="F45" s="290"/>
      <c r="G45" s="291" t="s">
        <v>1068</v>
      </c>
    </row>
    <row r="46" spans="1:7" s="258" customFormat="1" ht="13.5" customHeight="1">
      <c r="A46" s="951" t="s">
        <v>794</v>
      </c>
      <c r="B46" s="292" t="s">
        <v>1061</v>
      </c>
      <c r="C46" s="293">
        <f>ROUND((C33+C39)*F27,0)</f>
        <v>14</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122</v>
      </c>
      <c r="D49" s="276"/>
      <c r="E49" s="276"/>
      <c r="F49" s="308"/>
      <c r="G49" s="278" t="s">
        <v>1069</v>
      </c>
    </row>
    <row r="50" spans="1:7" s="302" customFormat="1" ht="24">
      <c r="A50" s="948" t="s">
        <v>789</v>
      </c>
      <c r="B50" s="254" t="s">
        <v>124</v>
      </c>
      <c r="C50" s="276"/>
      <c r="D50" s="276"/>
      <c r="E50" s="276"/>
      <c r="F50" s="308">
        <f>IF('数据-取费表'!B24=0,'数据-取费表'!N16,1)</f>
        <v>0.74</v>
      </c>
      <c r="G50" s="291" t="s">
        <v>125</v>
      </c>
    </row>
    <row r="51" spans="1:7" ht="16.5" customHeight="1">
      <c r="A51" s="948" t="s">
        <v>790</v>
      </c>
      <c r="B51" s="254" t="s">
        <v>132</v>
      </c>
      <c r="C51" s="276">
        <f ca="1">ROUND(C49*F50,0)</f>
        <v>90</v>
      </c>
      <c r="D51" s="276"/>
      <c r="E51" s="276"/>
      <c r="F51" s="308"/>
      <c r="G51" s="278" t="s">
        <v>64</v>
      </c>
    </row>
    <row r="52" spans="1:7" s="252" customFormat="1" ht="16.5" thickBot="1">
      <c r="A52" s="309" t="s">
        <v>65</v>
      </c>
      <c r="B52" s="310"/>
      <c r="C52" s="311">
        <f ca="1">C31+C51</f>
        <v>28462</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867</v>
      </c>
      <c r="B1" s="329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44032</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7"/>
  <sheetViews>
    <sheetView workbookViewId="0">
      <selection activeCell="C17" sqref="C17"/>
    </sheetView>
  </sheetViews>
  <sheetFormatPr defaultRowHeight="15.75"/>
  <cols>
    <col min="1" max="1" width="4.5" style="2963" customWidth="1"/>
    <col min="2" max="2" width="30.875" style="2963" customWidth="1"/>
    <col min="3" max="3" width="26.375" style="2963" customWidth="1"/>
    <col min="4" max="4" width="52.875" style="2963" customWidth="1"/>
    <col min="5" max="5" width="9" style="2963"/>
    <col min="6" max="6" width="4.75" style="2963" customWidth="1"/>
    <col min="7" max="7" width="7.375" style="2963" customWidth="1"/>
    <col min="8" max="8" width="6.375" style="2963" customWidth="1"/>
    <col min="9" max="16384" width="9" style="2963"/>
  </cols>
  <sheetData>
    <row r="4" spans="1:8">
      <c r="A4" s="2963">
        <v>1</v>
      </c>
      <c r="B4" s="2963" t="s">
        <v>3108</v>
      </c>
      <c r="C4" s="2963" t="s">
        <v>3106</v>
      </c>
      <c r="D4" s="2963" t="s">
        <v>3109</v>
      </c>
      <c r="E4" s="2963">
        <v>232.53</v>
      </c>
      <c r="F4" s="2963">
        <v>2</v>
      </c>
      <c r="G4" s="2964" t="s">
        <v>3110</v>
      </c>
      <c r="H4" s="2963" t="s">
        <v>3107</v>
      </c>
    </row>
    <row r="5" spans="1:8">
      <c r="A5" s="2963">
        <v>2</v>
      </c>
      <c r="B5" s="2963" t="s">
        <v>3111</v>
      </c>
      <c r="C5" s="2963" t="s">
        <v>3106</v>
      </c>
      <c r="D5" s="2963" t="s">
        <v>3112</v>
      </c>
      <c r="E5" s="2963">
        <v>232.53</v>
      </c>
      <c r="F5" s="2963">
        <v>2</v>
      </c>
      <c r="G5" s="2964" t="s">
        <v>3110</v>
      </c>
      <c r="H5" s="2963" t="s">
        <v>3107</v>
      </c>
    </row>
    <row r="6" spans="1:8">
      <c r="A6" s="2963">
        <v>3</v>
      </c>
      <c r="B6" s="2963" t="s">
        <v>3113</v>
      </c>
      <c r="C6" s="2963" t="s">
        <v>3106</v>
      </c>
      <c r="D6" s="2963" t="s">
        <v>3114</v>
      </c>
      <c r="E6" s="2963">
        <v>232.53</v>
      </c>
      <c r="F6" s="2963">
        <v>2</v>
      </c>
      <c r="G6" s="2964" t="s">
        <v>3110</v>
      </c>
      <c r="H6" s="2963" t="s">
        <v>3107</v>
      </c>
    </row>
    <row r="7" spans="1:8">
      <c r="A7" s="2963">
        <v>4</v>
      </c>
      <c r="B7" s="2963" t="s">
        <v>3115</v>
      </c>
      <c r="C7" s="2963" t="s">
        <v>3106</v>
      </c>
      <c r="D7" s="2963" t="s">
        <v>3116</v>
      </c>
      <c r="E7" s="2963">
        <v>232.53</v>
      </c>
      <c r="F7" s="2963">
        <v>2</v>
      </c>
      <c r="G7" s="2964" t="s">
        <v>3110</v>
      </c>
      <c r="H7" s="2963" t="s">
        <v>3107</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1635</v>
      </c>
      <c r="B2" s="2986" t="s">
        <v>1636</v>
      </c>
      <c r="C2" s="2986" t="s">
        <v>1637</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4" t="s">
        <v>1632</v>
      </c>
      <c r="E3" s="1044" t="s">
        <v>1638</v>
      </c>
      <c r="F3" s="1044" t="s">
        <v>1632</v>
      </c>
      <c r="G3" s="1044" t="s">
        <v>1633</v>
      </c>
      <c r="H3" s="1044" t="s">
        <v>1632</v>
      </c>
      <c r="I3" s="1044" t="s">
        <v>1633</v>
      </c>
    </row>
    <row r="4" spans="1:9" ht="15">
      <c r="A4" s="1964" t="str">
        <f>项目基本情况!S2</f>
        <v>北京市房地产</v>
      </c>
      <c r="B4" s="1044">
        <f>项目基本情况!C17</f>
        <v>232.53</v>
      </c>
      <c r="C4" s="1044">
        <f>项目基本情况!C18</f>
        <v>377.51</v>
      </c>
      <c r="D4" s="1044" t="e">
        <f ca="1">结果表!D118</f>
        <v>#REF!</v>
      </c>
      <c r="E4" s="1044" t="e">
        <f ca="1">结果表!E118</f>
        <v>#REF!</v>
      </c>
      <c r="F4" s="1044" t="e">
        <f ca="1">结果表!F118</f>
        <v>#REF!</v>
      </c>
      <c r="G4" s="1044" t="e">
        <f ca="1">结果表!G118</f>
        <v>#REF!</v>
      </c>
      <c r="H4" s="1044">
        <f ca="1">结果表!H118</f>
        <v>2330</v>
      </c>
      <c r="I4" s="1044">
        <f ca="1">结果表!I118</f>
        <v>100202</v>
      </c>
    </row>
    <row r="5" spans="1:9" ht="30" customHeight="1">
      <c r="A5" s="2980" t="s">
        <v>1634</v>
      </c>
      <c r="B5" s="2980"/>
      <c r="C5" s="2980"/>
      <c r="D5" s="2981" t="e">
        <f ca="1">结果表!D119</f>
        <v>#REF!</v>
      </c>
      <c r="E5" s="2981"/>
      <c r="F5" s="2981" t="e">
        <f ca="1">结果表!F119</f>
        <v>#REF!</v>
      </c>
      <c r="G5" s="2981"/>
      <c r="H5" s="2981" t="str">
        <f ca="1">结果表!H119</f>
        <v>贰仟叁佰叁拾万元整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1634</v>
      </c>
      <c r="B7" s="2980"/>
      <c r="C7" s="2980"/>
      <c r="D7" s="2982" t="str">
        <f>结果表!D121</f>
        <v>零元整</v>
      </c>
      <c r="E7" s="2983"/>
      <c r="F7" s="2983"/>
      <c r="G7" s="2983"/>
      <c r="H7" s="2983"/>
      <c r="I7" s="2984"/>
    </row>
    <row r="8" spans="1:9" ht="15.75">
      <c r="A8" s="2979" t="str">
        <f>结果表!A122</f>
        <v>房地产抵押价值</v>
      </c>
      <c r="B8" s="2979"/>
      <c r="C8" s="2979"/>
      <c r="D8" s="2979">
        <f ca="1">结果表!D122</f>
        <v>2330</v>
      </c>
      <c r="E8" s="2979"/>
      <c r="F8" s="2979"/>
      <c r="G8" s="2979"/>
      <c r="H8" s="2979"/>
      <c r="I8" s="2979"/>
    </row>
    <row r="9" spans="1:9" ht="15">
      <c r="A9" s="2980" t="s">
        <v>1634</v>
      </c>
      <c r="B9" s="2980"/>
      <c r="C9" s="2980"/>
      <c r="D9" s="2981" t="str">
        <f ca="1">结果表!D123</f>
        <v>贰仟叁佰叁拾万元整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1634</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1634</v>
      </c>
      <c r="B13" s="2976"/>
      <c r="C13" s="2976"/>
      <c r="D13" s="2977" t="e">
        <f>结果表!D127</f>
        <v>#VALUE!</v>
      </c>
      <c r="E13" s="2977"/>
      <c r="F13" s="2977"/>
      <c r="G13" s="2977"/>
      <c r="H13" s="2977"/>
      <c r="I13" s="2977"/>
    </row>
    <row r="14" spans="1:9" ht="15" thickTop="1">
      <c r="A14" s="2978" t="s">
        <v>1639</v>
      </c>
      <c r="B14" s="2978"/>
      <c r="C14" s="2978"/>
      <c r="D14" s="2978"/>
      <c r="E14" s="2978"/>
      <c r="F14" s="2978"/>
      <c r="G14" s="2978"/>
      <c r="H14" s="2978"/>
      <c r="I14" s="2978"/>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93" t="s">
        <v>1656</v>
      </c>
      <c r="B1" s="2993"/>
      <c r="C1" s="2993"/>
      <c r="D1" s="2993"/>
    </row>
    <row r="2" spans="1:4" ht="18">
      <c r="A2" s="2994" t="s">
        <v>1640</v>
      </c>
      <c r="B2" s="2994"/>
      <c r="C2" s="2994"/>
      <c r="D2" s="2994"/>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2994" t="s">
        <v>1646</v>
      </c>
      <c r="B6" s="2994"/>
      <c r="C6" s="2994"/>
      <c r="D6" s="2994"/>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95" t="s">
        <v>1649</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1650</v>
      </c>
      <c r="B16" s="2989"/>
      <c r="C16" s="2989"/>
      <c r="D16" s="2989"/>
    </row>
    <row r="17" spans="1:4" ht="144" customHeight="1">
      <c r="A17" s="2989" t="s">
        <v>1651</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1652</v>
      </c>
      <c r="B22" s="2991"/>
      <c r="C22" s="2991"/>
      <c r="D22" s="2991"/>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01" t="s">
        <v>1663</v>
      </c>
      <c r="B15" s="2996" t="s">
        <v>136</v>
      </c>
      <c r="C15" s="2997"/>
    </row>
    <row r="16" spans="1:7" ht="13.5">
      <c r="A16" s="3002"/>
      <c r="B16" s="2996" t="s">
        <v>69</v>
      </c>
      <c r="C16" s="2997"/>
    </row>
    <row r="17" spans="1:3" ht="13.5">
      <c r="A17" s="3002"/>
      <c r="B17" s="2999" t="s">
        <v>1664</v>
      </c>
      <c r="C17" s="1991" t="s">
        <v>1663</v>
      </c>
    </row>
    <row r="18" spans="1:3" ht="13.5">
      <c r="A18" s="3002"/>
      <c r="B18" s="2999"/>
      <c r="C18" s="1991" t="s">
        <v>1665</v>
      </c>
    </row>
    <row r="19" spans="1:3" ht="13.5">
      <c r="A19" s="3002"/>
      <c r="B19" s="2999"/>
      <c r="C19" s="1991" t="s">
        <v>1666</v>
      </c>
    </row>
    <row r="20" spans="1:3" ht="13.5">
      <c r="A20" s="3003"/>
      <c r="B20" s="2998" t="s">
        <v>1667</v>
      </c>
      <c r="C20" s="2997"/>
    </row>
    <row r="21" spans="1:3" ht="13.5">
      <c r="A21" s="1992" t="s">
        <v>1668</v>
      </c>
      <c r="B21" s="1993"/>
      <c r="C21" s="1994"/>
    </row>
    <row r="22" spans="1:3" ht="13.5">
      <c r="A22" s="3000" t="s">
        <v>1669</v>
      </c>
      <c r="B22" s="2998" t="s">
        <v>1670</v>
      </c>
      <c r="C22" s="2997"/>
    </row>
    <row r="23" spans="1:3" ht="13.5">
      <c r="A23" s="3000"/>
      <c r="B23" s="2998" t="s">
        <v>1671</v>
      </c>
      <c r="C23" s="2997"/>
    </row>
    <row r="24" spans="1:3" ht="13.5">
      <c r="A24" s="3000"/>
      <c r="B24" s="2998" t="s">
        <v>1672</v>
      </c>
      <c r="C24" s="2997"/>
    </row>
    <row r="25" spans="1:3" ht="13.5">
      <c r="A25" s="3000"/>
      <c r="B25" s="2999" t="s">
        <v>1673</v>
      </c>
      <c r="C25" s="1991" t="s">
        <v>1674</v>
      </c>
    </row>
    <row r="26" spans="1:3" ht="13.5">
      <c r="A26" s="3000"/>
      <c r="B26" s="2999"/>
      <c r="C26" s="1991" t="s">
        <v>1675</v>
      </c>
    </row>
    <row r="27" spans="1:3" ht="13.5">
      <c r="A27" s="3000"/>
      <c r="B27" s="2999"/>
      <c r="C27" s="1991" t="s">
        <v>1676</v>
      </c>
    </row>
    <row r="28" spans="1:3" ht="13.5">
      <c r="A28" s="3000"/>
      <c r="B28" s="2999"/>
      <c r="C28" s="1991" t="s">
        <v>1677</v>
      </c>
    </row>
    <row r="29" spans="1:3" ht="13.5">
      <c r="A29" s="3000"/>
      <c r="B29" s="2999"/>
      <c r="C29" s="1991" t="s">
        <v>1678</v>
      </c>
    </row>
    <row r="30" spans="1:3" ht="13.5">
      <c r="A30" s="3000"/>
      <c r="B30" s="2999"/>
      <c r="C30" s="1991" t="s">
        <v>1679</v>
      </c>
    </row>
    <row r="31" spans="1:3" ht="13.5">
      <c r="A31" s="3000"/>
      <c r="B31" s="2999"/>
      <c r="C31" s="1991" t="s">
        <v>1680</v>
      </c>
    </row>
    <row r="32" spans="1:3" ht="13.5">
      <c r="A32" s="3000"/>
      <c r="B32" s="2999"/>
      <c r="C32" s="1991" t="s">
        <v>1681</v>
      </c>
    </row>
    <row r="33" spans="1:3" ht="13.5">
      <c r="A33" s="3000"/>
      <c r="B33" s="2999"/>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44032</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0">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f ca="1">IF(C7&lt;B2,"已过期",1120050019)</f>
        <v>1120050019</v>
      </c>
      <c r="C7" s="2340">
        <v>44395</v>
      </c>
      <c r="D7" s="2343" t="s">
        <v>834</v>
      </c>
      <c r="E7" s="1022">
        <f ca="1">IF(F7&lt;B2,"已过期",2002110030)</f>
        <v>2002110030</v>
      </c>
      <c r="F7" s="1030">
        <v>46387</v>
      </c>
    </row>
    <row r="8" spans="1:6" ht="24" customHeight="1">
      <c r="A8" s="1702" t="s">
        <v>835</v>
      </c>
      <c r="B8" s="1022">
        <f ca="1">IF(C8&lt;B2,"已过期",1120000080)</f>
        <v>1120000080</v>
      </c>
      <c r="C8" s="2920">
        <v>44876</v>
      </c>
      <c r="D8" s="2343" t="s">
        <v>835</v>
      </c>
      <c r="E8" s="1022">
        <f ca="1">IF(F8&lt;B2,"已过期",2000110082)</f>
        <v>2000110082</v>
      </c>
      <c r="F8" s="1030">
        <v>46387</v>
      </c>
    </row>
    <row r="9" spans="1:6" ht="24" customHeight="1">
      <c r="A9" s="1702" t="s">
        <v>836</v>
      </c>
      <c r="B9" s="1022">
        <f ca="1">IF(C9&lt;B2,"已过期",1419970001)</f>
        <v>1419970001</v>
      </c>
      <c r="C9" s="2920">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0"/>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3043</v>
      </c>
      <c r="B14" s="1022">
        <f ca="1">IF(C14&lt;B2,"已过期",1120040230)</f>
        <v>1120040230</v>
      </c>
      <c r="C14" s="2340">
        <v>44864</v>
      </c>
      <c r="D14" s="2343" t="s">
        <v>3043</v>
      </c>
      <c r="E14" s="1022">
        <f ca="1">IF(F14&lt;B2,"已过期",98030020)</f>
        <v>98030020</v>
      </c>
      <c r="F14" s="1030">
        <v>47118</v>
      </c>
    </row>
    <row r="15" spans="1:6" ht="24" customHeight="1">
      <c r="A15" s="1703"/>
      <c r="B15" s="1022"/>
      <c r="C15" s="2340"/>
      <c r="D15" s="2344"/>
      <c r="E15" s="1022"/>
      <c r="F15" s="1023"/>
    </row>
    <row r="16" spans="1:6" ht="24" customHeight="1">
      <c r="A16" s="1702"/>
      <c r="B16" s="1022"/>
      <c r="C16" s="2920"/>
      <c r="D16" s="2343"/>
      <c r="E16" s="1022"/>
      <c r="F16" s="1030"/>
    </row>
    <row r="17" spans="1:7" ht="24" customHeight="1">
      <c r="A17" s="1702"/>
      <c r="B17" s="1022"/>
      <c r="C17" s="2340"/>
      <c r="D17" s="2343"/>
      <c r="E17" s="1022"/>
      <c r="F17" s="1030"/>
    </row>
    <row r="18" spans="1:7" ht="24" customHeight="1">
      <c r="A18" s="1702" t="s">
        <v>3050</v>
      </c>
      <c r="B18" s="1022">
        <v>1120190079</v>
      </c>
      <c r="C18" s="2920">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f ca="1">IF(C22&lt;B2,"已过期",1120020033)</f>
        <v>1120020033</v>
      </c>
      <c r="C22" s="2920">
        <v>44339</v>
      </c>
      <c r="D22" s="2343" t="s">
        <v>841</v>
      </c>
      <c r="E22" s="1022">
        <f ca="1">IF(F22&lt;B2,"已过期",2000110137)</f>
        <v>2000110137</v>
      </c>
      <c r="F22" s="1030">
        <v>46387</v>
      </c>
    </row>
    <row r="23" spans="1:7" ht="24" customHeight="1">
      <c r="A23" s="1702" t="s">
        <v>3052</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004" t="s">
        <v>842</v>
      </c>
      <c r="B25" s="3004"/>
      <c r="C25" s="3004"/>
      <c r="D25" s="3004"/>
      <c r="E25" s="3004"/>
      <c r="F25" s="3004"/>
      <c r="G25" s="3004"/>
    </row>
    <row r="26" spans="1:7" s="1025" customFormat="1" ht="24" customHeight="1">
      <c r="A26" s="3005" t="s">
        <v>843</v>
      </c>
      <c r="B26" s="3005"/>
      <c r="C26" s="3006"/>
      <c r="D26" s="3007" t="s">
        <v>844</v>
      </c>
      <c r="E26" s="3005"/>
      <c r="F26" s="3005"/>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Sheet1</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2020-07-20T09:07:39Z</dcterms:modified>
</cp:coreProperties>
</file>